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R&amp;M - Equipe Contábil\2023\COMERCIAL HORTI-FRIOS\01-Janeiro\Demonstrativos do Fechamento\"/>
    </mc:Choice>
  </mc:AlternateContent>
  <xr:revisionPtr revIDLastSave="0" documentId="13_ncr:1_{1E611C9B-8BA3-4865-B58B-C128B07F74CA}" xr6:coauthVersionLast="47" xr6:coauthVersionMax="47" xr10:uidLastSave="{00000000-0000-0000-0000-000000000000}"/>
  <bookViews>
    <workbookView xWindow="-90" yWindow="-90" windowWidth="19380" windowHeight="10260" xr2:uid="{C18B0967-F420-4138-AD54-E213185DE34D}"/>
  </bookViews>
  <sheets>
    <sheet name="Início" sheetId="7" r:id="rId1"/>
    <sheet name="Movimento" sheetId="5" r:id="rId2"/>
    <sheet name="Balancete" sheetId="1" r:id="rId3"/>
    <sheet name="Patrimonial" sheetId="2" r:id="rId4"/>
    <sheet name="Resultado" sheetId="3" r:id="rId5"/>
    <sheet name="DRE, DFC E Indices" sheetId="4" r:id="rId6"/>
    <sheet name="SIEG" sheetId="12" r:id="rId7"/>
  </sheets>
  <definedNames>
    <definedName name="_xlnm._FilterDatabase" localSheetId="2" hidden="1">Balancete!$A$1:$G$451</definedName>
    <definedName name="_xlnm._FilterDatabase" localSheetId="1" hidden="1">Movimento!$A$1:$G$8632</definedName>
    <definedName name="_xlnm._FilterDatabase" localSheetId="3" hidden="1">Patrimonial!$A$1:$O$508</definedName>
    <definedName name="_xlnm._FilterDatabase" localSheetId="4" hidden="1">Resultado!$A$1:$O$126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4" l="1"/>
  <c r="D129" i="3"/>
  <c r="E129" i="3"/>
  <c r="F129" i="3"/>
  <c r="G129" i="3"/>
  <c r="H129" i="3"/>
  <c r="I129" i="3"/>
  <c r="J129" i="3"/>
  <c r="K129" i="3"/>
  <c r="L129" i="3"/>
  <c r="M129" i="3"/>
  <c r="N129" i="3"/>
  <c r="O129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N33" i="4"/>
  <c r="M22" i="4"/>
  <c r="F8630" i="5" l="1"/>
  <c r="F8631" i="5"/>
  <c r="F8632" i="5" l="1"/>
  <c r="Q811" i="12" l="1"/>
  <c r="P811" i="12"/>
  <c r="Q810" i="12"/>
  <c r="P810" i="12"/>
  <c r="Q809" i="12"/>
  <c r="P809" i="12"/>
  <c r="Q808" i="12"/>
  <c r="P808" i="12"/>
  <c r="Q807" i="12"/>
  <c r="P807" i="12"/>
  <c r="Q806" i="12"/>
  <c r="P806" i="12"/>
  <c r="Q805" i="12"/>
  <c r="P805" i="12"/>
  <c r="Q804" i="12"/>
  <c r="P804" i="12"/>
  <c r="Q803" i="12"/>
  <c r="P803" i="12"/>
  <c r="Q802" i="12"/>
  <c r="P802" i="12"/>
  <c r="Q801" i="12"/>
  <c r="P801" i="12"/>
  <c r="Q800" i="12"/>
  <c r="P800" i="12"/>
  <c r="Q799" i="12"/>
  <c r="P799" i="12"/>
  <c r="Q798" i="12"/>
  <c r="P798" i="12"/>
  <c r="Q797" i="12"/>
  <c r="P797" i="12"/>
  <c r="Q796" i="12"/>
  <c r="P796" i="12"/>
  <c r="Q795" i="12"/>
  <c r="P795" i="12"/>
  <c r="Q794" i="12"/>
  <c r="P794" i="12"/>
  <c r="Q793" i="12"/>
  <c r="P793" i="12"/>
  <c r="Q792" i="12"/>
  <c r="P792" i="12"/>
  <c r="Q791" i="12"/>
  <c r="P791" i="12"/>
  <c r="Q790" i="12"/>
  <c r="P790" i="12"/>
  <c r="Q789" i="12"/>
  <c r="P789" i="12"/>
  <c r="Q788" i="12"/>
  <c r="P788" i="12"/>
  <c r="Q787" i="12"/>
  <c r="P787" i="12"/>
  <c r="Q786" i="12"/>
  <c r="P786" i="12"/>
  <c r="Q785" i="12"/>
  <c r="P785" i="12"/>
  <c r="Q784" i="12"/>
  <c r="P784" i="12"/>
  <c r="Q783" i="12"/>
  <c r="P783" i="12"/>
  <c r="Q782" i="12"/>
  <c r="P782" i="12"/>
  <c r="Q781" i="12"/>
  <c r="P781" i="12"/>
  <c r="Q780" i="12"/>
  <c r="P780" i="12"/>
  <c r="Q779" i="12"/>
  <c r="P779" i="12"/>
  <c r="Q778" i="12"/>
  <c r="P778" i="12"/>
  <c r="Q777" i="12"/>
  <c r="P777" i="12"/>
  <c r="Q776" i="12"/>
  <c r="P776" i="12"/>
  <c r="Q775" i="12"/>
  <c r="P775" i="12"/>
  <c r="Q774" i="12"/>
  <c r="P774" i="12"/>
  <c r="Q773" i="12"/>
  <c r="P773" i="12"/>
  <c r="Q772" i="12"/>
  <c r="P772" i="12"/>
  <c r="Q771" i="12"/>
  <c r="P771" i="12"/>
  <c r="Q770" i="12"/>
  <c r="P770" i="12"/>
  <c r="Q769" i="12"/>
  <c r="P769" i="12"/>
  <c r="Q768" i="12"/>
  <c r="P768" i="12"/>
  <c r="Q767" i="12"/>
  <c r="P767" i="12"/>
  <c r="Q766" i="12"/>
  <c r="P766" i="12"/>
  <c r="Q765" i="12"/>
  <c r="P765" i="12"/>
  <c r="Q764" i="12"/>
  <c r="P764" i="12"/>
  <c r="Q763" i="12"/>
  <c r="P763" i="12"/>
  <c r="Q762" i="12"/>
  <c r="P762" i="12"/>
  <c r="Q761" i="12"/>
  <c r="P761" i="12"/>
  <c r="Q760" i="12"/>
  <c r="P760" i="12"/>
  <c r="Q759" i="12"/>
  <c r="P759" i="12"/>
  <c r="Q758" i="12"/>
  <c r="P758" i="12"/>
  <c r="Q757" i="12"/>
  <c r="P757" i="12"/>
  <c r="Q756" i="12"/>
  <c r="P756" i="12"/>
  <c r="Q755" i="12"/>
  <c r="P755" i="12"/>
  <c r="Q754" i="12"/>
  <c r="P754" i="12"/>
  <c r="Q753" i="12"/>
  <c r="P753" i="12"/>
  <c r="Q752" i="12"/>
  <c r="P752" i="12"/>
  <c r="Q751" i="12"/>
  <c r="P751" i="12"/>
  <c r="Q750" i="12"/>
  <c r="P750" i="12"/>
  <c r="Q749" i="12"/>
  <c r="P749" i="12"/>
  <c r="Q748" i="12"/>
  <c r="P748" i="12"/>
  <c r="Q747" i="12"/>
  <c r="P747" i="12"/>
  <c r="Q746" i="12"/>
  <c r="P746" i="12"/>
  <c r="Q745" i="12"/>
  <c r="P745" i="12"/>
  <c r="Q744" i="12"/>
  <c r="P744" i="12"/>
  <c r="Q743" i="12"/>
  <c r="P743" i="12"/>
  <c r="Q742" i="12"/>
  <c r="P742" i="12"/>
  <c r="Q741" i="12"/>
  <c r="P741" i="12"/>
  <c r="Q740" i="12"/>
  <c r="P740" i="12"/>
  <c r="Q739" i="12"/>
  <c r="P739" i="12"/>
  <c r="Q738" i="12"/>
  <c r="P738" i="12"/>
  <c r="Q737" i="12"/>
  <c r="P737" i="12"/>
  <c r="Q736" i="12"/>
  <c r="P736" i="12"/>
  <c r="Q735" i="12"/>
  <c r="P735" i="12"/>
  <c r="Q734" i="12"/>
  <c r="P734" i="12"/>
  <c r="Q733" i="12"/>
  <c r="P733" i="12"/>
  <c r="Q732" i="12"/>
  <c r="P732" i="12"/>
  <c r="Q731" i="12"/>
  <c r="P731" i="12"/>
  <c r="Q730" i="12"/>
  <c r="P730" i="12"/>
  <c r="Q729" i="12"/>
  <c r="P729" i="12"/>
  <c r="Q728" i="12"/>
  <c r="P728" i="12"/>
  <c r="Q727" i="12"/>
  <c r="P727" i="12"/>
  <c r="Q726" i="12"/>
  <c r="P726" i="12"/>
  <c r="Q725" i="12"/>
  <c r="P725" i="12"/>
  <c r="Q724" i="12"/>
  <c r="P724" i="12"/>
  <c r="Q723" i="12"/>
  <c r="P723" i="12"/>
  <c r="Q722" i="12"/>
  <c r="P722" i="12"/>
  <c r="Q721" i="12"/>
  <c r="P721" i="12"/>
  <c r="Q720" i="12"/>
  <c r="P720" i="12"/>
  <c r="Q719" i="12"/>
  <c r="P719" i="12"/>
  <c r="Q718" i="12"/>
  <c r="P718" i="12"/>
  <c r="Q717" i="12"/>
  <c r="P717" i="12"/>
  <c r="Q716" i="12"/>
  <c r="P716" i="12"/>
  <c r="Q715" i="12"/>
  <c r="P715" i="12"/>
  <c r="Q714" i="12"/>
  <c r="P714" i="12"/>
  <c r="Q713" i="12"/>
  <c r="P713" i="12"/>
  <c r="Q712" i="12"/>
  <c r="P712" i="12"/>
  <c r="Q711" i="12"/>
  <c r="P711" i="12"/>
  <c r="Q710" i="12"/>
  <c r="P710" i="12"/>
  <c r="Q709" i="12"/>
  <c r="P709" i="12"/>
  <c r="Q708" i="12"/>
  <c r="P708" i="12"/>
  <c r="Q707" i="12"/>
  <c r="P707" i="12"/>
  <c r="Q706" i="12"/>
  <c r="P706" i="12"/>
  <c r="Q705" i="12"/>
  <c r="P705" i="12"/>
  <c r="Q704" i="12"/>
  <c r="P704" i="12"/>
  <c r="Q703" i="12"/>
  <c r="P703" i="12"/>
  <c r="Q702" i="12"/>
  <c r="P702" i="12"/>
  <c r="Q701" i="12"/>
  <c r="P701" i="12"/>
  <c r="Q700" i="12"/>
  <c r="P700" i="12"/>
  <c r="Q699" i="12"/>
  <c r="P699" i="12"/>
  <c r="Q698" i="12"/>
  <c r="P698" i="12"/>
  <c r="Q697" i="12"/>
  <c r="P697" i="12"/>
  <c r="Q696" i="12"/>
  <c r="P696" i="12"/>
  <c r="Q695" i="12"/>
  <c r="P695" i="12"/>
  <c r="Q694" i="12"/>
  <c r="P694" i="12"/>
  <c r="Q693" i="12"/>
  <c r="P693" i="12"/>
  <c r="Q692" i="12"/>
  <c r="P692" i="12"/>
  <c r="Q691" i="12"/>
  <c r="P691" i="12"/>
  <c r="Q690" i="12"/>
  <c r="P690" i="12"/>
  <c r="Q689" i="12"/>
  <c r="P689" i="12"/>
  <c r="Q688" i="12"/>
  <c r="P688" i="12"/>
  <c r="Q687" i="12"/>
  <c r="P687" i="12"/>
  <c r="Q686" i="12"/>
  <c r="P686" i="12"/>
  <c r="Q685" i="12"/>
  <c r="P685" i="12"/>
  <c r="Q684" i="12"/>
  <c r="P684" i="12"/>
  <c r="Q683" i="12"/>
  <c r="P683" i="12"/>
  <c r="Q682" i="12"/>
  <c r="P682" i="12"/>
  <c r="Q681" i="12"/>
  <c r="P681" i="12"/>
  <c r="Q680" i="12"/>
  <c r="P680" i="12"/>
  <c r="Q679" i="12"/>
  <c r="P679" i="12"/>
  <c r="Q678" i="12"/>
  <c r="P678" i="12"/>
  <c r="Q677" i="12"/>
  <c r="P677" i="12"/>
  <c r="Q676" i="12"/>
  <c r="P676" i="12"/>
  <c r="Q675" i="12"/>
  <c r="P675" i="12"/>
  <c r="Q674" i="12"/>
  <c r="P674" i="12"/>
  <c r="Q673" i="12"/>
  <c r="P673" i="12"/>
  <c r="Q672" i="12"/>
  <c r="P672" i="12"/>
  <c r="Q671" i="12"/>
  <c r="P671" i="12"/>
  <c r="Q670" i="12"/>
  <c r="P670" i="12"/>
  <c r="Q669" i="12"/>
  <c r="P669" i="12"/>
  <c r="Q668" i="12"/>
  <c r="P668" i="12"/>
  <c r="Q667" i="12"/>
  <c r="P667" i="12"/>
  <c r="Q666" i="12"/>
  <c r="P666" i="12"/>
  <c r="Q665" i="12"/>
  <c r="P665" i="12"/>
  <c r="Q664" i="12"/>
  <c r="P664" i="12"/>
  <c r="Q663" i="12"/>
  <c r="P663" i="12"/>
  <c r="Q662" i="12"/>
  <c r="P662" i="12"/>
  <c r="Q661" i="12"/>
  <c r="P661" i="12"/>
  <c r="Q660" i="12"/>
  <c r="P660" i="12"/>
  <c r="Q659" i="12"/>
  <c r="P659" i="12"/>
  <c r="Q658" i="12"/>
  <c r="P658" i="12"/>
  <c r="Q657" i="12"/>
  <c r="P657" i="12"/>
  <c r="Q656" i="12"/>
  <c r="P656" i="12"/>
  <c r="Q655" i="12"/>
  <c r="P655" i="12"/>
  <c r="Q654" i="12"/>
  <c r="P654" i="12"/>
  <c r="Q653" i="12"/>
  <c r="P653" i="12"/>
  <c r="Q652" i="12"/>
  <c r="P652" i="12"/>
  <c r="Q651" i="12"/>
  <c r="P651" i="12"/>
  <c r="Q650" i="12"/>
  <c r="P650" i="12"/>
  <c r="Q649" i="12"/>
  <c r="P649" i="12"/>
  <c r="Q648" i="12"/>
  <c r="P648" i="12"/>
  <c r="Q647" i="12"/>
  <c r="P647" i="12"/>
  <c r="Q646" i="12"/>
  <c r="P646" i="12"/>
  <c r="Q645" i="12"/>
  <c r="P645" i="12"/>
  <c r="Q644" i="12"/>
  <c r="P644" i="12"/>
  <c r="Q643" i="12"/>
  <c r="P643" i="12"/>
  <c r="Q642" i="12"/>
  <c r="P642" i="12"/>
  <c r="Q641" i="12"/>
  <c r="P641" i="12"/>
  <c r="Q640" i="12"/>
  <c r="P640" i="12"/>
  <c r="Q639" i="12"/>
  <c r="P639" i="12"/>
  <c r="Q638" i="12"/>
  <c r="P638" i="12"/>
  <c r="Q637" i="12"/>
  <c r="P637" i="12"/>
  <c r="Q636" i="12"/>
  <c r="P636" i="12"/>
  <c r="Q635" i="12"/>
  <c r="P635" i="12"/>
  <c r="Q634" i="12"/>
  <c r="P634" i="12"/>
  <c r="Q633" i="12"/>
  <c r="P633" i="12"/>
  <c r="Q632" i="12"/>
  <c r="P632" i="12"/>
  <c r="Q631" i="12"/>
  <c r="P631" i="12"/>
  <c r="Q630" i="12"/>
  <c r="P630" i="12"/>
  <c r="Q629" i="12"/>
  <c r="P629" i="12"/>
  <c r="Q628" i="12"/>
  <c r="P628" i="12"/>
  <c r="Q627" i="12"/>
  <c r="P627" i="12"/>
  <c r="Q626" i="12"/>
  <c r="P626" i="12"/>
  <c r="Q625" i="12"/>
  <c r="P625" i="12"/>
  <c r="Q624" i="12"/>
  <c r="P624" i="12"/>
  <c r="Q623" i="12"/>
  <c r="P623" i="12"/>
  <c r="Q622" i="12"/>
  <c r="P622" i="12"/>
  <c r="Q621" i="12"/>
  <c r="P621" i="12"/>
  <c r="Q620" i="12"/>
  <c r="P620" i="12"/>
  <c r="Q619" i="12"/>
  <c r="P619" i="12"/>
  <c r="Q618" i="12"/>
  <c r="P618" i="12"/>
  <c r="Q617" i="12"/>
  <c r="P617" i="12"/>
  <c r="Q616" i="12"/>
  <c r="P616" i="12"/>
  <c r="Q615" i="12"/>
  <c r="P615" i="12"/>
  <c r="Q614" i="12"/>
  <c r="P614" i="12"/>
  <c r="Q613" i="12"/>
  <c r="P613" i="12"/>
  <c r="Q612" i="12"/>
  <c r="P612" i="12"/>
  <c r="Q611" i="12"/>
  <c r="P611" i="12"/>
  <c r="Q610" i="12"/>
  <c r="P610" i="12"/>
  <c r="Q609" i="12"/>
  <c r="P609" i="12"/>
  <c r="Q608" i="12"/>
  <c r="P608" i="12"/>
  <c r="Q607" i="12"/>
  <c r="P607" i="12"/>
  <c r="Q606" i="12"/>
  <c r="P606" i="12"/>
  <c r="Q605" i="12"/>
  <c r="P605" i="12"/>
  <c r="Q604" i="12"/>
  <c r="P604" i="12"/>
  <c r="Q603" i="12"/>
  <c r="P603" i="12"/>
  <c r="Q602" i="12"/>
  <c r="P602" i="12"/>
  <c r="Q601" i="12"/>
  <c r="P601" i="12"/>
  <c r="Q600" i="12"/>
  <c r="P600" i="12"/>
  <c r="Q599" i="12"/>
  <c r="P599" i="12"/>
  <c r="Q598" i="12"/>
  <c r="P598" i="12"/>
  <c r="Q597" i="12"/>
  <c r="P597" i="12"/>
  <c r="Q596" i="12"/>
  <c r="P596" i="12"/>
  <c r="Q595" i="12"/>
  <c r="P595" i="12"/>
  <c r="Q594" i="12"/>
  <c r="P594" i="12"/>
  <c r="Q593" i="12"/>
  <c r="P593" i="12"/>
  <c r="Q592" i="12"/>
  <c r="P592" i="12"/>
  <c r="Q591" i="12"/>
  <c r="P591" i="12"/>
  <c r="Q590" i="12"/>
  <c r="P590" i="12"/>
  <c r="Q589" i="12"/>
  <c r="P589" i="12"/>
  <c r="Q588" i="12"/>
  <c r="P588" i="12"/>
  <c r="Q587" i="12"/>
  <c r="P587" i="12"/>
  <c r="Q586" i="12"/>
  <c r="P586" i="12"/>
  <c r="Q585" i="12"/>
  <c r="P585" i="12"/>
  <c r="Q584" i="12"/>
  <c r="P584" i="12"/>
  <c r="Q583" i="12"/>
  <c r="P583" i="12"/>
  <c r="Q582" i="12"/>
  <c r="P582" i="12"/>
  <c r="Q581" i="12"/>
  <c r="P581" i="12"/>
  <c r="Q580" i="12"/>
  <c r="P580" i="12"/>
  <c r="Q579" i="12"/>
  <c r="P579" i="12"/>
  <c r="Q578" i="12"/>
  <c r="P578" i="12"/>
  <c r="Q577" i="12"/>
  <c r="P577" i="12"/>
  <c r="Q576" i="12"/>
  <c r="P576" i="12"/>
  <c r="Q575" i="12"/>
  <c r="P575" i="12"/>
  <c r="Q574" i="12"/>
  <c r="P574" i="12"/>
  <c r="Q573" i="12"/>
  <c r="P573" i="12"/>
  <c r="Q572" i="12"/>
  <c r="P572" i="12"/>
  <c r="Q571" i="12"/>
  <c r="P571" i="12"/>
  <c r="Q570" i="12"/>
  <c r="P570" i="12"/>
  <c r="Q569" i="12"/>
  <c r="P569" i="12"/>
  <c r="Q568" i="12"/>
  <c r="P568" i="12"/>
  <c r="Q567" i="12"/>
  <c r="P567" i="12"/>
  <c r="Q566" i="12"/>
  <c r="P566" i="12"/>
  <c r="Q565" i="12"/>
  <c r="P565" i="12"/>
  <c r="Q564" i="12"/>
  <c r="P564" i="12"/>
  <c r="Q563" i="12"/>
  <c r="P563" i="12"/>
  <c r="Q562" i="12"/>
  <c r="P562" i="12"/>
  <c r="Q561" i="12"/>
  <c r="P561" i="12"/>
  <c r="Q560" i="12"/>
  <c r="P560" i="12"/>
  <c r="Q559" i="12"/>
  <c r="P559" i="12"/>
  <c r="Q558" i="12"/>
  <c r="P558" i="12"/>
  <c r="Q557" i="12"/>
  <c r="P557" i="12"/>
  <c r="Q556" i="12"/>
  <c r="P556" i="12"/>
  <c r="Q555" i="12"/>
  <c r="P555" i="12"/>
  <c r="Q554" i="12"/>
  <c r="P554" i="12"/>
  <c r="Q553" i="12"/>
  <c r="P553" i="12"/>
  <c r="Q552" i="12"/>
  <c r="P552" i="12"/>
  <c r="Q551" i="12"/>
  <c r="P551" i="12"/>
  <c r="Q550" i="12"/>
  <c r="P550" i="12"/>
  <c r="Q549" i="12"/>
  <c r="P549" i="12"/>
  <c r="Q548" i="12"/>
  <c r="P548" i="12"/>
  <c r="Q547" i="12"/>
  <c r="P547" i="12"/>
  <c r="Q546" i="12"/>
  <c r="P546" i="12"/>
  <c r="Q545" i="12"/>
  <c r="P545" i="12"/>
  <c r="Q544" i="12"/>
  <c r="P544" i="12"/>
  <c r="Q543" i="12"/>
  <c r="P543" i="12"/>
  <c r="Q542" i="12"/>
  <c r="P542" i="12"/>
  <c r="Q541" i="12"/>
  <c r="P541" i="12"/>
  <c r="Q540" i="12"/>
  <c r="P540" i="12"/>
  <c r="Q539" i="12"/>
  <c r="P539" i="12"/>
  <c r="Q538" i="12"/>
  <c r="P538" i="12"/>
  <c r="Q537" i="12"/>
  <c r="P537" i="12"/>
  <c r="Q536" i="12"/>
  <c r="P536" i="12"/>
  <c r="Q535" i="12"/>
  <c r="P535" i="12"/>
  <c r="Q534" i="12"/>
  <c r="P534" i="12"/>
  <c r="Q533" i="12"/>
  <c r="P533" i="12"/>
  <c r="Q532" i="12"/>
  <c r="P532" i="12"/>
  <c r="Q531" i="12"/>
  <c r="P531" i="12"/>
  <c r="Q530" i="12"/>
  <c r="P530" i="12"/>
  <c r="Q529" i="12"/>
  <c r="P529" i="12"/>
  <c r="Q528" i="12"/>
  <c r="P528" i="12"/>
  <c r="Q527" i="12"/>
  <c r="P527" i="12"/>
  <c r="Q526" i="12"/>
  <c r="P526" i="12"/>
  <c r="Q525" i="12"/>
  <c r="P525" i="12"/>
  <c r="Q524" i="12"/>
  <c r="P524" i="12"/>
  <c r="Q523" i="12"/>
  <c r="P523" i="12"/>
  <c r="Q522" i="12"/>
  <c r="P522" i="12"/>
  <c r="Q521" i="12"/>
  <c r="P521" i="12"/>
  <c r="Q520" i="12"/>
  <c r="P520" i="12"/>
  <c r="Q519" i="12"/>
  <c r="P519" i="12"/>
  <c r="Q518" i="12"/>
  <c r="P518" i="12"/>
  <c r="Q517" i="12"/>
  <c r="P517" i="12"/>
  <c r="Q516" i="12"/>
  <c r="P516" i="12"/>
  <c r="Q515" i="12"/>
  <c r="P515" i="12"/>
  <c r="Q514" i="12"/>
  <c r="P514" i="12"/>
  <c r="Q513" i="12"/>
  <c r="P513" i="12"/>
  <c r="Q512" i="12"/>
  <c r="P512" i="12"/>
  <c r="Q511" i="12"/>
  <c r="P511" i="12"/>
  <c r="Q510" i="12"/>
  <c r="P510" i="12"/>
  <c r="Q509" i="12"/>
  <c r="P509" i="12"/>
  <c r="Q508" i="12"/>
  <c r="P508" i="12"/>
  <c r="Q507" i="12"/>
  <c r="P507" i="12"/>
  <c r="Q506" i="12"/>
  <c r="P506" i="12"/>
  <c r="Q505" i="12"/>
  <c r="P505" i="12"/>
  <c r="Q504" i="12"/>
  <c r="P504" i="12"/>
  <c r="Q503" i="12"/>
  <c r="P503" i="12"/>
  <c r="Q502" i="12"/>
  <c r="P502" i="12"/>
  <c r="Q501" i="12"/>
  <c r="P501" i="12"/>
  <c r="Q500" i="12"/>
  <c r="P500" i="12"/>
  <c r="Q499" i="12"/>
  <c r="P499" i="12"/>
  <c r="Q498" i="12"/>
  <c r="P498" i="12"/>
  <c r="Q497" i="12"/>
  <c r="P497" i="12"/>
  <c r="Q496" i="12"/>
  <c r="P496" i="12"/>
  <c r="Q495" i="12"/>
  <c r="P495" i="12"/>
  <c r="Q494" i="12"/>
  <c r="P494" i="12"/>
  <c r="Q493" i="12"/>
  <c r="P493" i="12"/>
  <c r="Q492" i="12"/>
  <c r="P492" i="12"/>
  <c r="Q491" i="12"/>
  <c r="P491" i="12"/>
  <c r="Q490" i="12"/>
  <c r="P490" i="12"/>
  <c r="Q489" i="12"/>
  <c r="P489" i="12"/>
  <c r="Q488" i="12"/>
  <c r="P488" i="12"/>
  <c r="Q487" i="12"/>
  <c r="P487" i="12"/>
  <c r="Q486" i="12"/>
  <c r="P486" i="12"/>
  <c r="Q485" i="12"/>
  <c r="P485" i="12"/>
  <c r="Q484" i="12"/>
  <c r="P484" i="12"/>
  <c r="Q483" i="12"/>
  <c r="P483" i="12"/>
  <c r="Q482" i="12"/>
  <c r="P482" i="12"/>
  <c r="Q481" i="12"/>
  <c r="P481" i="12"/>
  <c r="Q480" i="12"/>
  <c r="P480" i="12"/>
  <c r="Q479" i="12"/>
  <c r="P479" i="12"/>
  <c r="Q478" i="12"/>
  <c r="P478" i="12"/>
  <c r="Q477" i="12"/>
  <c r="P477" i="12"/>
  <c r="Q476" i="12"/>
  <c r="P476" i="12"/>
  <c r="Q475" i="12"/>
  <c r="P475" i="12"/>
  <c r="Q474" i="12"/>
  <c r="P474" i="12"/>
  <c r="Q473" i="12"/>
  <c r="P473" i="12"/>
  <c r="Q472" i="12"/>
  <c r="P472" i="12"/>
  <c r="Q471" i="12"/>
  <c r="P471" i="12"/>
  <c r="Q470" i="12"/>
  <c r="P470" i="12"/>
  <c r="Q469" i="12"/>
  <c r="P469" i="12"/>
  <c r="Q468" i="12"/>
  <c r="P468" i="12"/>
  <c r="Q467" i="12"/>
  <c r="P467" i="12"/>
  <c r="Q466" i="12"/>
  <c r="P466" i="12"/>
  <c r="Q465" i="12"/>
  <c r="P465" i="12"/>
  <c r="Q464" i="12"/>
  <c r="P464" i="12"/>
  <c r="Q463" i="12"/>
  <c r="P463" i="12"/>
  <c r="Q462" i="12"/>
  <c r="P462" i="12"/>
  <c r="Q461" i="12"/>
  <c r="P461" i="12"/>
  <c r="Q460" i="12"/>
  <c r="P460" i="12"/>
  <c r="Q459" i="12"/>
  <c r="P459" i="12"/>
  <c r="Q458" i="12"/>
  <c r="P458" i="12"/>
  <c r="Q457" i="12"/>
  <c r="P457" i="12"/>
  <c r="Q456" i="12"/>
  <c r="P456" i="12"/>
  <c r="Q455" i="12"/>
  <c r="P455" i="12"/>
  <c r="Q454" i="12"/>
  <c r="P454" i="12"/>
  <c r="Q453" i="12"/>
  <c r="P453" i="12"/>
  <c r="Q452" i="12"/>
  <c r="P452" i="12"/>
  <c r="Q451" i="12"/>
  <c r="P451" i="12"/>
  <c r="Q450" i="12"/>
  <c r="P450" i="12"/>
  <c r="Q449" i="12"/>
  <c r="P449" i="12"/>
  <c r="Q448" i="12"/>
  <c r="P448" i="12"/>
  <c r="Q447" i="12"/>
  <c r="P447" i="12"/>
  <c r="Q446" i="12"/>
  <c r="P446" i="12"/>
  <c r="Q445" i="12"/>
  <c r="P445" i="12"/>
  <c r="Q444" i="12"/>
  <c r="P444" i="12"/>
  <c r="Q443" i="12"/>
  <c r="P443" i="12"/>
  <c r="Q442" i="12"/>
  <c r="P442" i="12"/>
  <c r="Q441" i="12"/>
  <c r="P441" i="12"/>
  <c r="Q440" i="12"/>
  <c r="P440" i="12"/>
  <c r="Q439" i="12"/>
  <c r="P439" i="12"/>
  <c r="Q438" i="12"/>
  <c r="P438" i="12"/>
  <c r="Q437" i="12"/>
  <c r="P437" i="12"/>
  <c r="Q436" i="12"/>
  <c r="P436" i="12"/>
  <c r="Q435" i="12"/>
  <c r="P435" i="12"/>
  <c r="Q434" i="12"/>
  <c r="P434" i="12"/>
  <c r="Q433" i="12"/>
  <c r="P433" i="12"/>
  <c r="Q432" i="12"/>
  <c r="P432" i="12"/>
  <c r="Q431" i="12"/>
  <c r="P431" i="12"/>
  <c r="Q430" i="12"/>
  <c r="P430" i="12"/>
  <c r="Q429" i="12"/>
  <c r="P429" i="12"/>
  <c r="Q428" i="12"/>
  <c r="P428" i="12"/>
  <c r="Q427" i="12"/>
  <c r="P427" i="12"/>
  <c r="Q426" i="12"/>
  <c r="P426" i="12"/>
  <c r="Q425" i="12"/>
  <c r="P425" i="12"/>
  <c r="Q424" i="12"/>
  <c r="P424" i="12"/>
  <c r="Q423" i="12"/>
  <c r="P423" i="12"/>
  <c r="Q422" i="12"/>
  <c r="P422" i="12"/>
  <c r="Q421" i="12"/>
  <c r="P421" i="12"/>
  <c r="Q420" i="12"/>
  <c r="P420" i="12"/>
  <c r="Q419" i="12"/>
  <c r="P419" i="12"/>
  <c r="Q418" i="12"/>
  <c r="P418" i="12"/>
  <c r="Q417" i="12"/>
  <c r="P417" i="12"/>
  <c r="Q416" i="12"/>
  <c r="P416" i="12"/>
  <c r="Q415" i="12"/>
  <c r="P415" i="12"/>
  <c r="Q414" i="12"/>
  <c r="P414" i="12"/>
  <c r="Q413" i="12"/>
  <c r="P413" i="12"/>
  <c r="Q412" i="12"/>
  <c r="P412" i="12"/>
  <c r="Q411" i="12"/>
  <c r="P411" i="12"/>
  <c r="Q410" i="12"/>
  <c r="P410" i="12"/>
  <c r="Q409" i="12"/>
  <c r="P409" i="12"/>
  <c r="Q408" i="12"/>
  <c r="P408" i="12"/>
  <c r="Q407" i="12"/>
  <c r="P407" i="12"/>
  <c r="Q406" i="12"/>
  <c r="P406" i="12"/>
  <c r="Q405" i="12"/>
  <c r="P405" i="12"/>
  <c r="Q404" i="12"/>
  <c r="P404" i="12"/>
  <c r="Q403" i="12"/>
  <c r="P403" i="12"/>
  <c r="Q402" i="12"/>
  <c r="P402" i="12"/>
  <c r="Q401" i="12"/>
  <c r="P401" i="12"/>
  <c r="Q400" i="12"/>
  <c r="P400" i="12"/>
  <c r="Q399" i="12"/>
  <c r="P399" i="12"/>
  <c r="Q398" i="12"/>
  <c r="P398" i="12"/>
  <c r="Q397" i="12"/>
  <c r="P397" i="12"/>
  <c r="Q396" i="12"/>
  <c r="P396" i="12"/>
  <c r="Q395" i="12"/>
  <c r="P395" i="12"/>
  <c r="Q394" i="12"/>
  <c r="P394" i="12"/>
  <c r="Q393" i="12"/>
  <c r="P393" i="12"/>
  <c r="Q392" i="12"/>
  <c r="P392" i="12"/>
  <c r="Q391" i="12"/>
  <c r="P391" i="12"/>
  <c r="Q390" i="12"/>
  <c r="P390" i="12"/>
  <c r="Q389" i="12"/>
  <c r="P389" i="12"/>
  <c r="Q388" i="12"/>
  <c r="P388" i="12"/>
  <c r="Q387" i="12"/>
  <c r="P387" i="12"/>
  <c r="Q386" i="12"/>
  <c r="P386" i="12"/>
  <c r="Q385" i="12"/>
  <c r="P385" i="12"/>
  <c r="Q384" i="12"/>
  <c r="P384" i="12"/>
  <c r="Q383" i="12"/>
  <c r="P383" i="12"/>
  <c r="Q382" i="12"/>
  <c r="P382" i="12"/>
  <c r="Q381" i="12"/>
  <c r="P381" i="12"/>
  <c r="Q380" i="12"/>
  <c r="P380" i="12"/>
  <c r="Q379" i="12"/>
  <c r="P379" i="12"/>
  <c r="Q378" i="12"/>
  <c r="P378" i="12"/>
  <c r="Q377" i="12"/>
  <c r="P377" i="12"/>
  <c r="Q376" i="12"/>
  <c r="P376" i="12"/>
  <c r="Q375" i="12"/>
  <c r="P375" i="12"/>
  <c r="Q374" i="12"/>
  <c r="P374" i="12"/>
  <c r="Q373" i="12"/>
  <c r="P373" i="12"/>
  <c r="Q372" i="12"/>
  <c r="P372" i="12"/>
  <c r="Q371" i="12"/>
  <c r="P371" i="12"/>
  <c r="Q370" i="12"/>
  <c r="P370" i="12"/>
  <c r="Q369" i="12"/>
  <c r="P369" i="12"/>
  <c r="Q368" i="12"/>
  <c r="P368" i="12"/>
  <c r="Q367" i="12"/>
  <c r="P367" i="12"/>
  <c r="Q366" i="12"/>
  <c r="P366" i="12"/>
  <c r="Q365" i="12"/>
  <c r="P365" i="12"/>
  <c r="Q364" i="12"/>
  <c r="P364" i="12"/>
  <c r="Q363" i="12"/>
  <c r="P363" i="12"/>
  <c r="Q362" i="12"/>
  <c r="P362" i="12"/>
  <c r="Q361" i="12"/>
  <c r="P361" i="12"/>
  <c r="Q360" i="12"/>
  <c r="P360" i="12"/>
  <c r="Q359" i="12"/>
  <c r="P359" i="12"/>
  <c r="Q358" i="12"/>
  <c r="P358" i="12"/>
  <c r="Q357" i="12"/>
  <c r="P357" i="12"/>
  <c r="Q356" i="12"/>
  <c r="P356" i="12"/>
  <c r="Q355" i="12"/>
  <c r="P355" i="12"/>
  <c r="Q354" i="12"/>
  <c r="P354" i="12"/>
  <c r="Q353" i="12"/>
  <c r="P353" i="12"/>
  <c r="Q352" i="12"/>
  <c r="P352" i="12"/>
  <c r="Q351" i="12"/>
  <c r="P351" i="12"/>
  <c r="Q350" i="12"/>
  <c r="P350" i="12"/>
  <c r="Q349" i="12"/>
  <c r="P349" i="12"/>
  <c r="Q348" i="12"/>
  <c r="P348" i="12"/>
  <c r="Q347" i="12"/>
  <c r="P347" i="12"/>
  <c r="Q346" i="12"/>
  <c r="P346" i="12"/>
  <c r="Q345" i="12"/>
  <c r="P345" i="12"/>
  <c r="Q344" i="12"/>
  <c r="P344" i="12"/>
  <c r="Q343" i="12"/>
  <c r="P343" i="12"/>
  <c r="Q342" i="12"/>
  <c r="P342" i="12"/>
  <c r="Q341" i="12"/>
  <c r="P341" i="12"/>
  <c r="Q340" i="12"/>
  <c r="P340" i="12"/>
  <c r="Q339" i="12"/>
  <c r="P339" i="12"/>
  <c r="Q338" i="12"/>
  <c r="P338" i="12"/>
  <c r="Q337" i="12"/>
  <c r="P337" i="12"/>
  <c r="Q336" i="12"/>
  <c r="P336" i="12"/>
  <c r="Q335" i="12"/>
  <c r="P335" i="12"/>
  <c r="Q334" i="12"/>
  <c r="P334" i="12"/>
  <c r="Q333" i="12"/>
  <c r="P333" i="12"/>
  <c r="Q332" i="12"/>
  <c r="P332" i="12"/>
  <c r="Q331" i="12"/>
  <c r="P331" i="12"/>
  <c r="Q330" i="12"/>
  <c r="P330" i="12"/>
  <c r="Q329" i="12"/>
  <c r="P329" i="12"/>
  <c r="Q328" i="12"/>
  <c r="P328" i="12"/>
  <c r="Q327" i="12"/>
  <c r="P327" i="12"/>
  <c r="Q326" i="12"/>
  <c r="P326" i="12"/>
  <c r="Q325" i="12"/>
  <c r="P325" i="12"/>
  <c r="Q324" i="12"/>
  <c r="P324" i="12"/>
  <c r="Q323" i="12"/>
  <c r="P323" i="12"/>
  <c r="Q322" i="12"/>
  <c r="P322" i="12"/>
  <c r="Q321" i="12"/>
  <c r="P321" i="12"/>
  <c r="Q320" i="12"/>
  <c r="P320" i="12"/>
  <c r="Q319" i="12"/>
  <c r="P319" i="12"/>
  <c r="Q318" i="12"/>
  <c r="P318" i="12"/>
  <c r="Q317" i="12"/>
  <c r="P317" i="12"/>
  <c r="Q316" i="12"/>
  <c r="P316" i="12"/>
  <c r="Q315" i="12"/>
  <c r="P315" i="12"/>
  <c r="Q314" i="12"/>
  <c r="P314" i="12"/>
  <c r="Q313" i="12"/>
  <c r="P313" i="12"/>
  <c r="Q312" i="12"/>
  <c r="P312" i="12"/>
  <c r="Q311" i="12"/>
  <c r="P311" i="12"/>
  <c r="Q310" i="12"/>
  <c r="P310" i="12"/>
  <c r="Q309" i="12"/>
  <c r="P309" i="12"/>
  <c r="Q308" i="12"/>
  <c r="P308" i="12"/>
  <c r="Q307" i="12"/>
  <c r="P307" i="12"/>
  <c r="Q306" i="12"/>
  <c r="P306" i="12"/>
  <c r="Q305" i="12"/>
  <c r="P305" i="12"/>
  <c r="Q304" i="12"/>
  <c r="P304" i="12"/>
  <c r="Q303" i="12"/>
  <c r="P303" i="12"/>
  <c r="Q302" i="12"/>
  <c r="P302" i="12"/>
  <c r="Q301" i="12"/>
  <c r="P301" i="12"/>
  <c r="Q300" i="12"/>
  <c r="P300" i="12"/>
  <c r="Q299" i="12"/>
  <c r="P299" i="12"/>
  <c r="Q298" i="12"/>
  <c r="P298" i="12"/>
  <c r="Q297" i="12"/>
  <c r="P297" i="12"/>
  <c r="Q296" i="12"/>
  <c r="P296" i="12"/>
  <c r="Q295" i="12"/>
  <c r="P295" i="12"/>
  <c r="Q294" i="12"/>
  <c r="P294" i="12"/>
  <c r="Q293" i="12"/>
  <c r="P293" i="12"/>
  <c r="Q292" i="12"/>
  <c r="P292" i="12"/>
  <c r="Q291" i="12"/>
  <c r="P291" i="12"/>
  <c r="Q290" i="12"/>
  <c r="P290" i="12"/>
  <c r="Q289" i="12"/>
  <c r="P289" i="12"/>
  <c r="Q288" i="12"/>
  <c r="P288" i="12"/>
  <c r="Q287" i="12"/>
  <c r="P287" i="12"/>
  <c r="Q286" i="12"/>
  <c r="P286" i="12"/>
  <c r="Q285" i="12"/>
  <c r="P285" i="12"/>
  <c r="Q284" i="12"/>
  <c r="P284" i="12"/>
  <c r="Q283" i="12"/>
  <c r="P283" i="12"/>
  <c r="Q282" i="12"/>
  <c r="P282" i="12"/>
  <c r="Q281" i="12"/>
  <c r="P281" i="12"/>
  <c r="Q280" i="12"/>
  <c r="P280" i="12"/>
  <c r="Q279" i="12"/>
  <c r="P279" i="12"/>
  <c r="Q278" i="12"/>
  <c r="P278" i="12"/>
  <c r="Q277" i="12"/>
  <c r="P277" i="12"/>
  <c r="Q276" i="12"/>
  <c r="P276" i="12"/>
  <c r="Q275" i="12"/>
  <c r="P275" i="12"/>
  <c r="Q274" i="12"/>
  <c r="P274" i="12"/>
  <c r="Q273" i="12"/>
  <c r="P273" i="12"/>
  <c r="Q272" i="12"/>
  <c r="P272" i="12"/>
  <c r="Q271" i="12"/>
  <c r="P271" i="12"/>
  <c r="Q270" i="12"/>
  <c r="P270" i="12"/>
  <c r="Q269" i="12"/>
  <c r="P269" i="12"/>
  <c r="Q268" i="12"/>
  <c r="P268" i="12"/>
  <c r="Q267" i="12"/>
  <c r="P267" i="12"/>
  <c r="Q266" i="12"/>
  <c r="P266" i="12"/>
  <c r="Q265" i="12"/>
  <c r="P265" i="12"/>
  <c r="Q264" i="12"/>
  <c r="P264" i="12"/>
  <c r="Q263" i="12"/>
  <c r="P263" i="12"/>
  <c r="Q262" i="12"/>
  <c r="P262" i="12"/>
  <c r="Q261" i="12"/>
  <c r="P261" i="12"/>
  <c r="Q260" i="12"/>
  <c r="P260" i="12"/>
  <c r="Q259" i="12"/>
  <c r="P259" i="12"/>
  <c r="Q258" i="12"/>
  <c r="P258" i="12"/>
  <c r="Q257" i="12"/>
  <c r="P257" i="12"/>
  <c r="Q256" i="12"/>
  <c r="P256" i="12"/>
  <c r="Q255" i="12"/>
  <c r="P255" i="12"/>
  <c r="Q254" i="12"/>
  <c r="P254" i="12"/>
  <c r="Q253" i="12"/>
  <c r="P253" i="12"/>
  <c r="Q252" i="12"/>
  <c r="P252" i="12"/>
  <c r="Q251" i="12"/>
  <c r="P251" i="12"/>
  <c r="Q250" i="12"/>
  <c r="P250" i="12"/>
  <c r="Q249" i="12"/>
  <c r="P249" i="12"/>
  <c r="Q248" i="12"/>
  <c r="P248" i="12"/>
  <c r="Q247" i="12"/>
  <c r="P247" i="12"/>
  <c r="Q246" i="12"/>
  <c r="P246" i="12"/>
  <c r="Q245" i="12"/>
  <c r="P245" i="12"/>
  <c r="Q244" i="12"/>
  <c r="P244" i="12"/>
  <c r="Q243" i="12"/>
  <c r="P243" i="12"/>
  <c r="Q242" i="12"/>
  <c r="P242" i="12"/>
  <c r="Q241" i="12"/>
  <c r="P241" i="12"/>
  <c r="Q240" i="12"/>
  <c r="P240" i="12"/>
  <c r="Q239" i="12"/>
  <c r="P239" i="12"/>
  <c r="Q238" i="12"/>
  <c r="P238" i="12"/>
  <c r="Q237" i="12"/>
  <c r="P237" i="12"/>
  <c r="Q236" i="12"/>
  <c r="P236" i="12"/>
  <c r="Q235" i="12"/>
  <c r="P235" i="12"/>
  <c r="Q234" i="12"/>
  <c r="P234" i="12"/>
  <c r="Q233" i="12"/>
  <c r="P233" i="12"/>
  <c r="Q232" i="12"/>
  <c r="P232" i="12"/>
  <c r="Q231" i="12"/>
  <c r="P231" i="12"/>
  <c r="Q230" i="12"/>
  <c r="P230" i="12"/>
  <c r="Q229" i="12"/>
  <c r="P229" i="12"/>
  <c r="Q228" i="12"/>
  <c r="P228" i="12"/>
  <c r="Q227" i="12"/>
  <c r="P227" i="12"/>
  <c r="Q226" i="12"/>
  <c r="P226" i="12"/>
  <c r="Q225" i="12"/>
  <c r="P225" i="12"/>
  <c r="Q224" i="12"/>
  <c r="P224" i="12"/>
  <c r="Q223" i="12"/>
  <c r="P223" i="12"/>
  <c r="Q222" i="12"/>
  <c r="P222" i="12"/>
  <c r="Q221" i="12"/>
  <c r="P221" i="12"/>
  <c r="Q220" i="12"/>
  <c r="P220" i="12"/>
  <c r="Q219" i="12"/>
  <c r="P219" i="12"/>
  <c r="Q218" i="12"/>
  <c r="P218" i="12"/>
  <c r="Q217" i="12"/>
  <c r="P217" i="12"/>
  <c r="Q216" i="12"/>
  <c r="P216" i="12"/>
  <c r="Q215" i="12"/>
  <c r="P215" i="12"/>
  <c r="Q214" i="12"/>
  <c r="P214" i="12"/>
  <c r="Q213" i="12"/>
  <c r="P213" i="12"/>
  <c r="Q212" i="12"/>
  <c r="P212" i="12"/>
  <c r="Q211" i="12"/>
  <c r="P211" i="12"/>
  <c r="Q210" i="12"/>
  <c r="P210" i="12"/>
  <c r="Q209" i="12"/>
  <c r="P209" i="12"/>
  <c r="Q208" i="12"/>
  <c r="P208" i="12"/>
  <c r="Q207" i="12"/>
  <c r="P207" i="12"/>
  <c r="Q206" i="12"/>
  <c r="P206" i="12"/>
  <c r="Q205" i="12"/>
  <c r="P205" i="12"/>
  <c r="Q204" i="12"/>
  <c r="P204" i="12"/>
  <c r="Q203" i="12"/>
  <c r="P203" i="12"/>
  <c r="Q202" i="12"/>
  <c r="P202" i="12"/>
  <c r="Q201" i="12"/>
  <c r="P201" i="12"/>
  <c r="Q200" i="12"/>
  <c r="P200" i="12"/>
  <c r="Q199" i="12"/>
  <c r="P199" i="12"/>
  <c r="Q198" i="12"/>
  <c r="P198" i="12"/>
  <c r="Q197" i="12"/>
  <c r="P197" i="12"/>
  <c r="Q196" i="12"/>
  <c r="P196" i="12"/>
  <c r="Q195" i="12"/>
  <c r="P195" i="12"/>
  <c r="Q194" i="12"/>
  <c r="P194" i="12"/>
  <c r="Q193" i="12"/>
  <c r="P193" i="12"/>
  <c r="Q192" i="12"/>
  <c r="P192" i="12"/>
  <c r="Q191" i="12"/>
  <c r="P191" i="12"/>
  <c r="Q190" i="12"/>
  <c r="P190" i="12"/>
  <c r="Q189" i="12"/>
  <c r="P189" i="12"/>
  <c r="Q188" i="12"/>
  <c r="P188" i="12"/>
  <c r="Q187" i="12"/>
  <c r="P187" i="12"/>
  <c r="Q186" i="12"/>
  <c r="P186" i="12"/>
  <c r="Q185" i="12"/>
  <c r="P185" i="12"/>
  <c r="Q184" i="12"/>
  <c r="P184" i="12"/>
  <c r="Q183" i="12"/>
  <c r="P183" i="12"/>
  <c r="Q182" i="12"/>
  <c r="P182" i="12"/>
  <c r="Q181" i="12"/>
  <c r="P181" i="12"/>
  <c r="Q180" i="12"/>
  <c r="P180" i="12"/>
  <c r="Q179" i="12"/>
  <c r="P179" i="12"/>
  <c r="Q178" i="12"/>
  <c r="P178" i="12"/>
  <c r="Q177" i="12"/>
  <c r="P177" i="12"/>
  <c r="Q176" i="12"/>
  <c r="P176" i="12"/>
  <c r="Q175" i="12"/>
  <c r="P175" i="12"/>
  <c r="Q174" i="12"/>
  <c r="P174" i="12"/>
  <c r="Q173" i="12"/>
  <c r="P173" i="12"/>
  <c r="Q172" i="12"/>
  <c r="P172" i="12"/>
  <c r="Q171" i="12"/>
  <c r="P171" i="12"/>
  <c r="Q170" i="12"/>
  <c r="P170" i="12"/>
  <c r="Q169" i="12"/>
  <c r="P169" i="12"/>
  <c r="Q168" i="12"/>
  <c r="P168" i="12"/>
  <c r="Q167" i="12"/>
  <c r="P167" i="12"/>
  <c r="Q166" i="12"/>
  <c r="P166" i="12"/>
  <c r="Q165" i="12"/>
  <c r="P165" i="12"/>
  <c r="Q164" i="12"/>
  <c r="P164" i="12"/>
  <c r="Q163" i="12"/>
  <c r="P163" i="12"/>
  <c r="Q162" i="12"/>
  <c r="P162" i="12"/>
  <c r="Q161" i="12"/>
  <c r="P161" i="12"/>
  <c r="Q160" i="12"/>
  <c r="P160" i="12"/>
  <c r="Q159" i="12"/>
  <c r="P159" i="12"/>
  <c r="Q158" i="12"/>
  <c r="P158" i="12"/>
  <c r="Q157" i="12"/>
  <c r="P157" i="12"/>
  <c r="Q156" i="12"/>
  <c r="P156" i="12"/>
  <c r="Q155" i="12"/>
  <c r="P155" i="12"/>
  <c r="Q154" i="12"/>
  <c r="P154" i="12"/>
  <c r="Q153" i="12"/>
  <c r="P153" i="12"/>
  <c r="Q152" i="12"/>
  <c r="P152" i="12"/>
  <c r="Q151" i="12"/>
  <c r="P151" i="12"/>
  <c r="Q150" i="12"/>
  <c r="P150" i="12"/>
  <c r="Q149" i="12"/>
  <c r="P149" i="12"/>
  <c r="Q148" i="12"/>
  <c r="P148" i="12"/>
  <c r="Q147" i="12"/>
  <c r="P147" i="12"/>
  <c r="Q146" i="12"/>
  <c r="P146" i="12"/>
  <c r="Q145" i="12"/>
  <c r="P145" i="12"/>
  <c r="Q144" i="12"/>
  <c r="P144" i="12"/>
  <c r="Q143" i="12"/>
  <c r="P143" i="12"/>
  <c r="Q142" i="12"/>
  <c r="P142" i="12"/>
  <c r="Q141" i="12"/>
  <c r="P141" i="12"/>
  <c r="Q140" i="12"/>
  <c r="P140" i="12"/>
  <c r="Q139" i="12"/>
  <c r="P139" i="12"/>
  <c r="Q138" i="12"/>
  <c r="P138" i="12"/>
  <c r="Q137" i="12"/>
  <c r="P137" i="12"/>
  <c r="Q136" i="12"/>
  <c r="P136" i="12"/>
  <c r="Q135" i="12"/>
  <c r="P135" i="12"/>
  <c r="Q134" i="12"/>
  <c r="P134" i="12"/>
  <c r="Q133" i="12"/>
  <c r="P133" i="12"/>
  <c r="Q132" i="12"/>
  <c r="P132" i="12"/>
  <c r="Q131" i="12"/>
  <c r="P131" i="12"/>
  <c r="Q130" i="12"/>
  <c r="P130" i="12"/>
  <c r="Q129" i="12"/>
  <c r="P129" i="12"/>
  <c r="Q128" i="12"/>
  <c r="P128" i="12"/>
  <c r="Q127" i="12"/>
  <c r="P127" i="12"/>
  <c r="Q126" i="12"/>
  <c r="P126" i="12"/>
  <c r="Q125" i="12"/>
  <c r="P125" i="12"/>
  <c r="Q124" i="12"/>
  <c r="P124" i="12"/>
  <c r="Q123" i="12"/>
  <c r="P123" i="12"/>
  <c r="Q122" i="12"/>
  <c r="P122" i="12"/>
  <c r="Q121" i="12"/>
  <c r="P121" i="12"/>
  <c r="Q120" i="12"/>
  <c r="P120" i="12"/>
  <c r="Q119" i="12"/>
  <c r="P119" i="12"/>
  <c r="Q118" i="12"/>
  <c r="P118" i="12"/>
  <c r="Q117" i="12"/>
  <c r="P117" i="12"/>
  <c r="Q116" i="12"/>
  <c r="P116" i="12"/>
  <c r="Q115" i="12"/>
  <c r="P115" i="12"/>
  <c r="Q114" i="12"/>
  <c r="P114" i="12"/>
  <c r="Q113" i="12"/>
  <c r="P113" i="12"/>
  <c r="Q112" i="12"/>
  <c r="P112" i="12"/>
  <c r="Q111" i="12"/>
  <c r="P111" i="12"/>
  <c r="Q110" i="12"/>
  <c r="P110" i="12"/>
  <c r="Q109" i="12"/>
  <c r="P109" i="12"/>
  <c r="Q108" i="12"/>
  <c r="P108" i="12"/>
  <c r="Q107" i="12"/>
  <c r="P107" i="12"/>
  <c r="Q106" i="12"/>
  <c r="P106" i="12"/>
  <c r="Q105" i="12"/>
  <c r="P105" i="12"/>
  <c r="Q104" i="12"/>
  <c r="P104" i="12"/>
  <c r="Q103" i="12"/>
  <c r="P103" i="12"/>
  <c r="Q102" i="12"/>
  <c r="P102" i="12"/>
  <c r="Q101" i="12"/>
  <c r="P101" i="12"/>
  <c r="Q100" i="12"/>
  <c r="P100" i="12"/>
  <c r="Q99" i="12"/>
  <c r="P99" i="12"/>
  <c r="Q98" i="12"/>
  <c r="P98" i="12"/>
  <c r="Q97" i="12"/>
  <c r="P97" i="12"/>
  <c r="Q96" i="12"/>
  <c r="P96" i="12"/>
  <c r="Q95" i="12"/>
  <c r="P95" i="12"/>
  <c r="Q94" i="12"/>
  <c r="P94" i="12"/>
  <c r="Q93" i="12"/>
  <c r="P93" i="12"/>
  <c r="Q92" i="12"/>
  <c r="P92" i="12"/>
  <c r="Q91" i="12"/>
  <c r="P91" i="12"/>
  <c r="Q90" i="12"/>
  <c r="P90" i="12"/>
  <c r="Q89" i="12"/>
  <c r="P89" i="12"/>
  <c r="Q88" i="12"/>
  <c r="P88" i="12"/>
  <c r="Q87" i="12"/>
  <c r="P87" i="12"/>
  <c r="Q86" i="12"/>
  <c r="P86" i="12"/>
  <c r="Q85" i="12"/>
  <c r="P85" i="12"/>
  <c r="Q84" i="12"/>
  <c r="P84" i="12"/>
  <c r="Q83" i="12"/>
  <c r="P83" i="12"/>
  <c r="Q82" i="12"/>
  <c r="P82" i="12"/>
  <c r="Q81" i="12"/>
  <c r="P81" i="12"/>
  <c r="Q80" i="12"/>
  <c r="P80" i="12"/>
  <c r="Q79" i="12"/>
  <c r="P79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Q71" i="12"/>
  <c r="P71" i="12"/>
  <c r="Q70" i="12"/>
  <c r="P70" i="12"/>
  <c r="Q69" i="12"/>
  <c r="P69" i="12"/>
  <c r="Q68" i="12"/>
  <c r="P68" i="12"/>
  <c r="Q67" i="12"/>
  <c r="P67" i="12"/>
  <c r="Q66" i="12"/>
  <c r="P66" i="12"/>
  <c r="Q65" i="12"/>
  <c r="P65" i="12"/>
  <c r="Q64" i="12"/>
  <c r="P64" i="12"/>
  <c r="Q63" i="12"/>
  <c r="P63" i="12"/>
  <c r="Q62" i="12"/>
  <c r="P62" i="12"/>
  <c r="Q61" i="12"/>
  <c r="P61" i="12"/>
  <c r="Q60" i="12"/>
  <c r="P60" i="12"/>
  <c r="Q59" i="12"/>
  <c r="P59" i="12"/>
  <c r="Q58" i="12"/>
  <c r="P58" i="12"/>
  <c r="Q57" i="12"/>
  <c r="P57" i="12"/>
  <c r="Q56" i="12"/>
  <c r="P56" i="12"/>
  <c r="Q55" i="12"/>
  <c r="P55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D1" i="12"/>
  <c r="B1" i="12"/>
  <c r="O32" i="4"/>
  <c r="O31" i="4"/>
  <c r="O30" i="4"/>
  <c r="O29" i="4"/>
  <c r="O28" i="4"/>
  <c r="D28" i="4"/>
  <c r="E28" i="4"/>
  <c r="F28" i="4"/>
  <c r="G28" i="4"/>
  <c r="H28" i="4"/>
  <c r="I28" i="4"/>
  <c r="J28" i="4"/>
  <c r="K28" i="4"/>
  <c r="L28" i="4"/>
  <c r="M28" i="4"/>
  <c r="N28" i="4"/>
  <c r="D29" i="4"/>
  <c r="E29" i="4"/>
  <c r="F29" i="4"/>
  <c r="G29" i="4"/>
  <c r="H29" i="4"/>
  <c r="I29" i="4"/>
  <c r="J29" i="4"/>
  <c r="K29" i="4"/>
  <c r="L29" i="4"/>
  <c r="M29" i="4"/>
  <c r="N29" i="4"/>
  <c r="D30" i="4"/>
  <c r="E30" i="4"/>
  <c r="F30" i="4"/>
  <c r="G30" i="4"/>
  <c r="H30" i="4"/>
  <c r="I30" i="4"/>
  <c r="J30" i="4"/>
  <c r="K30" i="4"/>
  <c r="L30" i="4"/>
  <c r="M30" i="4"/>
  <c r="N30" i="4"/>
  <c r="D31" i="4"/>
  <c r="E31" i="4"/>
  <c r="F31" i="4"/>
  <c r="G31" i="4"/>
  <c r="H31" i="4"/>
  <c r="I31" i="4"/>
  <c r="J31" i="4"/>
  <c r="K31" i="4"/>
  <c r="L31" i="4"/>
  <c r="M31" i="4"/>
  <c r="N31" i="4"/>
  <c r="D32" i="4"/>
  <c r="E32" i="4"/>
  <c r="F32" i="4"/>
  <c r="G32" i="4"/>
  <c r="H32" i="4"/>
  <c r="I32" i="4"/>
  <c r="J32" i="4"/>
  <c r="K32" i="4"/>
  <c r="L32" i="4"/>
  <c r="M32" i="4"/>
  <c r="N32" i="4"/>
  <c r="C32" i="4"/>
  <c r="C31" i="4"/>
  <c r="C30" i="4"/>
  <c r="C29" i="4"/>
  <c r="C28" i="4"/>
  <c r="C12" i="4"/>
  <c r="D12" i="4"/>
  <c r="E12" i="4"/>
  <c r="F12" i="4"/>
  <c r="G12" i="4"/>
  <c r="H12" i="4"/>
  <c r="I12" i="4"/>
  <c r="J12" i="4"/>
  <c r="K12" i="4"/>
  <c r="L12" i="4"/>
  <c r="M12" i="4"/>
  <c r="N12" i="4"/>
  <c r="N9" i="4"/>
  <c r="N7" i="4"/>
  <c r="N6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N10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8" i="4"/>
  <c r="E18" i="4"/>
  <c r="F18" i="4"/>
  <c r="G18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1" i="4"/>
  <c r="E21" i="4"/>
  <c r="F21" i="4"/>
  <c r="G21" i="4"/>
  <c r="H21" i="4"/>
  <c r="I21" i="4"/>
  <c r="J21" i="4"/>
  <c r="K21" i="4"/>
  <c r="L21" i="4"/>
  <c r="M21" i="4"/>
  <c r="N21" i="4"/>
  <c r="D24" i="4"/>
  <c r="D25" i="4" s="1"/>
  <c r="E24" i="4"/>
  <c r="E25" i="4" s="1"/>
  <c r="F24" i="4"/>
  <c r="F25" i="4" s="1"/>
  <c r="G24" i="4"/>
  <c r="H24" i="4"/>
  <c r="H25" i="4" s="1"/>
  <c r="I24" i="4"/>
  <c r="I25" i="4" s="1"/>
  <c r="J24" i="4"/>
  <c r="J25" i="4" s="1"/>
  <c r="K24" i="4"/>
  <c r="K25" i="4" s="1"/>
  <c r="L24" i="4"/>
  <c r="L25" i="4" s="1"/>
  <c r="M24" i="4"/>
  <c r="M25" i="4" s="1"/>
  <c r="N24" i="4"/>
  <c r="N25" i="4" s="1"/>
  <c r="G25" i="4"/>
  <c r="C24" i="4"/>
  <c r="C21" i="4"/>
  <c r="C19" i="4"/>
  <c r="C18" i="4"/>
  <c r="C16" i="4"/>
  <c r="C15" i="4"/>
  <c r="C14" i="4"/>
  <c r="C13" i="4"/>
  <c r="C10" i="4"/>
  <c r="C9" i="4"/>
  <c r="C7" i="4"/>
  <c r="C6" i="4"/>
  <c r="F8" i="4" l="1"/>
  <c r="M8" i="4"/>
  <c r="M11" i="4" s="1"/>
  <c r="M17" i="4" s="1"/>
  <c r="M20" i="4" s="1"/>
  <c r="G8" i="4"/>
  <c r="G11" i="4" s="1"/>
  <c r="G17" i="4" s="1"/>
  <c r="G20" i="4" s="1"/>
  <c r="G22" i="4" s="1"/>
  <c r="E8" i="4"/>
  <c r="E11" i="4" s="1"/>
  <c r="E17" i="4" s="1"/>
  <c r="E20" i="4" s="1"/>
  <c r="E22" i="4" s="1"/>
  <c r="O6" i="4"/>
  <c r="O7" i="4"/>
  <c r="F11" i="4"/>
  <c r="F17" i="4" s="1"/>
  <c r="F20" i="4" s="1"/>
  <c r="F22" i="4" s="1"/>
  <c r="O9" i="4"/>
  <c r="J8" i="4"/>
  <c r="J11" i="4" s="1"/>
  <c r="J17" i="4" s="1"/>
  <c r="J20" i="4" s="1"/>
  <c r="J22" i="4" s="1"/>
  <c r="I8" i="4"/>
  <c r="I11" i="4" s="1"/>
  <c r="I17" i="4" s="1"/>
  <c r="I20" i="4" s="1"/>
  <c r="I22" i="4" s="1"/>
  <c r="L8" i="4"/>
  <c r="L11" i="4" s="1"/>
  <c r="L17" i="4" s="1"/>
  <c r="L20" i="4" s="1"/>
  <c r="L22" i="4" s="1"/>
  <c r="D8" i="4"/>
  <c r="D11" i="4" s="1"/>
  <c r="D17" i="4" s="1"/>
  <c r="D20" i="4" s="1"/>
  <c r="D22" i="4" s="1"/>
  <c r="K8" i="4"/>
  <c r="K11" i="4" s="1"/>
  <c r="K17" i="4" s="1"/>
  <c r="K20" i="4" s="1"/>
  <c r="K22" i="4" s="1"/>
  <c r="H8" i="4"/>
  <c r="H11" i="4" s="1"/>
  <c r="H17" i="4" s="1"/>
  <c r="H20" i="4" s="1"/>
  <c r="H22" i="4" s="1"/>
  <c r="O12" i="4"/>
  <c r="N8" i="4"/>
  <c r="N11" i="4" s="1"/>
  <c r="N17" i="4" s="1"/>
  <c r="N20" i="4" s="1"/>
  <c r="N22" i="4" s="1"/>
  <c r="O24" i="4"/>
  <c r="I33" i="4" l="1"/>
  <c r="C25" i="4"/>
  <c r="O25" i="4" s="1"/>
  <c r="M36" i="4"/>
  <c r="N40" i="4"/>
  <c r="O16" i="4"/>
  <c r="O14" i="4"/>
  <c r="O18" i="4"/>
  <c r="O19" i="4"/>
  <c r="O15" i="4"/>
  <c r="O10" i="4"/>
  <c r="O21" i="4"/>
  <c r="O13" i="4"/>
  <c r="C8" i="4"/>
  <c r="O8" i="4" s="1"/>
  <c r="M40" i="4" l="1"/>
  <c r="N34" i="4"/>
  <c r="L38" i="4"/>
  <c r="M33" i="4"/>
  <c r="M34" i="4"/>
  <c r="M35" i="4"/>
  <c r="N38" i="4"/>
  <c r="L33" i="4"/>
  <c r="L34" i="4"/>
  <c r="L36" i="4"/>
  <c r="L35" i="4"/>
  <c r="N36" i="4"/>
  <c r="L37" i="4"/>
  <c r="N35" i="4"/>
  <c r="M38" i="4" l="1"/>
  <c r="N39" i="4"/>
  <c r="L40" i="4"/>
  <c r="L39" i="4"/>
  <c r="M39" i="4"/>
  <c r="M37" i="4"/>
  <c r="N37" i="4" l="1"/>
  <c r="C33" i="4" l="1"/>
  <c r="C11" i="4" l="1"/>
  <c r="O11" i="4" s="1"/>
  <c r="K36" i="4"/>
  <c r="K35" i="4"/>
  <c r="K33" i="4"/>
  <c r="K34" i="4"/>
  <c r="K38" i="4"/>
  <c r="J38" i="4"/>
  <c r="J36" i="4"/>
  <c r="C34" i="4"/>
  <c r="J35" i="4"/>
  <c r="J34" i="4"/>
  <c r="J33" i="4"/>
  <c r="J37" i="4"/>
  <c r="C17" i="4" l="1"/>
  <c r="K40" i="4"/>
  <c r="K39" i="4"/>
  <c r="K37" i="4"/>
  <c r="J40" i="4"/>
  <c r="J39" i="4"/>
  <c r="C20" i="4" l="1"/>
  <c r="O17" i="4"/>
  <c r="I36" i="4"/>
  <c r="I35" i="4"/>
  <c r="I34" i="4"/>
  <c r="G36" i="4"/>
  <c r="H36" i="4"/>
  <c r="D35" i="4"/>
  <c r="F35" i="4"/>
  <c r="C22" i="4" l="1"/>
  <c r="O22" i="4" s="1"/>
  <c r="O20" i="4"/>
  <c r="C37" i="4"/>
  <c r="C36" i="4"/>
  <c r="C35" i="4"/>
  <c r="I38" i="4"/>
  <c r="I40" i="4"/>
  <c r="I37" i="4"/>
  <c r="I39" i="4"/>
  <c r="H35" i="4"/>
  <c r="D36" i="4"/>
  <c r="F36" i="4"/>
  <c r="G35" i="4"/>
  <c r="D34" i="4"/>
  <c r="D33" i="4"/>
  <c r="G33" i="4"/>
  <c r="E34" i="4"/>
  <c r="E36" i="4"/>
  <c r="E33" i="4"/>
  <c r="H34" i="4"/>
  <c r="H33" i="4"/>
  <c r="F34" i="4"/>
  <c r="G34" i="4"/>
  <c r="F33" i="4"/>
  <c r="E35" i="4"/>
  <c r="O34" i="4" l="1"/>
  <c r="O35" i="4"/>
  <c r="O33" i="4"/>
  <c r="O36" i="4"/>
  <c r="C38" i="4"/>
  <c r="H37" i="4"/>
  <c r="H38" i="4"/>
  <c r="F37" i="4"/>
  <c r="F38" i="4"/>
  <c r="E37" i="4"/>
  <c r="E38" i="4"/>
  <c r="G37" i="4"/>
  <c r="G38" i="4"/>
  <c r="D37" i="4"/>
  <c r="D38" i="4"/>
  <c r="O37" i="4" l="1"/>
  <c r="O38" i="4"/>
  <c r="C39" i="4"/>
  <c r="E40" i="4"/>
  <c r="E39" i="4"/>
  <c r="F40" i="4"/>
  <c r="F39" i="4"/>
  <c r="D40" i="4"/>
  <c r="D39" i="4"/>
  <c r="G40" i="4"/>
  <c r="G39" i="4"/>
  <c r="H40" i="4"/>
  <c r="H39" i="4"/>
  <c r="O39" i="4" l="1"/>
  <c r="C40" i="4"/>
  <c r="O4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Contabil 2 - João Soares</author>
  </authors>
  <commentList>
    <comment ref="G2" authorId="0" shapeId="0" xr:uid="{12677EF0-AD05-4607-9370-FFFA2D5E2FB4}">
      <text>
        <r>
          <rPr>
            <b/>
            <sz val="9"/>
            <color indexed="81"/>
            <rFont val="Segoe UI"/>
            <family val="2"/>
          </rPr>
          <t xml:space="preserve">
-10%
</t>
        </r>
      </text>
    </comment>
    <comment ref="G7" authorId="0" shapeId="0" xr:uid="{29BD65EE-123D-4838-A147-77799882FBC0}">
      <text>
        <r>
          <rPr>
            <b/>
            <sz val="9"/>
            <color indexed="81"/>
            <rFont val="Segoe UI"/>
            <family val="2"/>
          </rPr>
          <t>-54%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7" authorId="0" shapeId="0" xr:uid="{F337486C-924F-4B7D-B8B7-05EB9ECFA395}">
      <text>
        <r>
          <rPr>
            <b/>
            <sz val="9"/>
            <color indexed="81"/>
            <rFont val="Segoe UI"/>
            <family val="2"/>
          </rPr>
          <t>-10%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19" authorId="0" shapeId="0" xr:uid="{01807758-8533-4797-920C-4AEEC8F85524}">
      <text>
        <r>
          <rPr>
            <b/>
            <sz val="9"/>
            <color indexed="81"/>
            <rFont val="Segoe UI"/>
            <family val="2"/>
          </rPr>
          <t>+26%</t>
        </r>
      </text>
    </comment>
    <comment ref="G152" authorId="0" shapeId="0" xr:uid="{52F5262B-9DFB-49D0-BF1C-E4FDFBD9F69F}">
      <text>
        <r>
          <rPr>
            <b/>
            <sz val="9"/>
            <color indexed="81"/>
            <rFont val="Segoe UI"/>
            <family val="2"/>
          </rPr>
          <t>-5%</t>
        </r>
      </text>
    </comment>
    <comment ref="G162" authorId="0" shapeId="0" xr:uid="{EECC78AE-5F7A-4944-B07F-CF6C34A174FD}">
      <text>
        <r>
          <rPr>
            <b/>
            <sz val="9"/>
            <color indexed="81"/>
            <rFont val="Segoe UI"/>
            <family val="2"/>
          </rPr>
          <t>-11%</t>
        </r>
      </text>
    </comment>
    <comment ref="G317" authorId="0" shapeId="0" xr:uid="{D18CD408-E59C-4A35-B4A3-7158C87D5D2F}">
      <text>
        <r>
          <rPr>
            <b/>
            <sz val="9"/>
            <color indexed="81"/>
            <rFont val="Segoe UI"/>
            <family val="2"/>
          </rPr>
          <t>+65%</t>
        </r>
      </text>
    </comment>
    <comment ref="G320" authorId="0" shapeId="0" xr:uid="{D5F2DC38-ABFA-4A13-81F2-4671375A2039}">
      <text>
        <r>
          <rPr>
            <b/>
            <sz val="9"/>
            <color indexed="81"/>
            <rFont val="Segoe UI"/>
            <family val="2"/>
          </rPr>
          <t>+14%</t>
        </r>
      </text>
    </comment>
    <comment ref="G328" authorId="0" shapeId="0" xr:uid="{D7FBEA7E-445F-4483-9D1E-256E9ED79371}">
      <text>
        <r>
          <rPr>
            <b/>
            <sz val="9"/>
            <color indexed="81"/>
            <rFont val="Segoe UI"/>
            <family val="2"/>
          </rPr>
          <t>+100%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Contabil 2 - João Soares</author>
  </authors>
  <commentList>
    <comment ref="O5" authorId="0" shapeId="0" xr:uid="{BC6596D1-C567-4114-87E0-9A7BA52B85D4}">
      <text>
        <r>
          <rPr>
            <b/>
            <sz val="9"/>
            <color indexed="81"/>
            <rFont val="Segoe UI"/>
            <family val="2"/>
          </rPr>
          <t>+4%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9" authorId="0" shapeId="0" xr:uid="{9F3751D0-54B4-4CFB-BE9C-BAEF3BA42088}">
      <text>
        <r>
          <rPr>
            <b/>
            <sz val="9"/>
            <color indexed="81"/>
            <rFont val="Segoe UI"/>
            <family val="2"/>
          </rPr>
          <t>Provável alteração na parametrização entre CC. OP e CC.VENDAS
(Será revisado)</t>
        </r>
      </text>
    </comment>
    <comment ref="O12" authorId="0" shapeId="0" xr:uid="{D415BD19-9598-4CF4-ADA1-FD16E973C424}">
      <text>
        <r>
          <rPr>
            <b/>
            <sz val="9"/>
            <color indexed="81"/>
            <rFont val="Segoe UI"/>
            <family val="2"/>
          </rPr>
          <t>Representa boa parte dos 4% do aumento desse centro de custo operacional.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36" authorId="0" shapeId="0" xr:uid="{A5659BA7-A4E4-43B7-9679-63B66011F173}">
      <text>
        <r>
          <rPr>
            <b/>
            <sz val="9"/>
            <color indexed="81"/>
            <rFont val="Segoe UI"/>
            <family val="2"/>
          </rPr>
          <t>-15%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43" authorId="0" shapeId="0" xr:uid="{FF5FAE3A-C71A-4EC1-A61A-C84F3F2982BB}">
      <text>
        <r>
          <rPr>
            <b/>
            <sz val="9"/>
            <color indexed="81"/>
            <rFont val="Segoe UI"/>
            <family val="2"/>
          </rPr>
          <t>Compra de:
- Pneus
- Faixa Para-Choque
- Tinta Automotiva</t>
        </r>
      </text>
    </comment>
    <comment ref="O44" authorId="0" shapeId="0" xr:uid="{75680424-396B-4A1D-BEDD-104606DABC37}">
      <text>
        <r>
          <rPr>
            <b/>
            <sz val="9"/>
            <color indexed="81"/>
            <rFont val="Segoe UI"/>
            <family val="2"/>
          </rPr>
          <t>Maqlarem(2) + IFCO</t>
        </r>
      </text>
    </comment>
    <comment ref="M45" authorId="0" shapeId="0" xr:uid="{20339DB1-59F2-4DBA-A970-E070E33525BC}">
      <text>
        <r>
          <rPr>
            <b/>
            <sz val="9"/>
            <color indexed="81"/>
            <rFont val="Segoe UI"/>
            <family val="2"/>
          </rPr>
          <t>Jair Bernardino
6.600,00 (01/11)
6.600,00 (30/11)
Carlos Eduardo
   867,00 (08/11)
2.247,92 (18/11)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45" authorId="0" shapeId="0" xr:uid="{BD00BB4C-C6F9-4A2F-8756-D3F8020A76DD}">
      <text>
        <r>
          <rPr>
            <b/>
            <sz val="9"/>
            <color indexed="81"/>
            <rFont val="Segoe UI"/>
            <family val="2"/>
          </rPr>
          <t>Carlos Eduardo
2.566,57(16/12)</t>
        </r>
      </text>
    </comment>
    <comment ref="O45" authorId="0" shapeId="0" xr:uid="{950E2EC2-6653-40F9-9DB7-751D6BF051E3}">
      <text>
        <r>
          <rPr>
            <b/>
            <sz val="9"/>
            <color indexed="81"/>
            <rFont val="Segoe UI"/>
            <family val="2"/>
          </rPr>
          <t xml:space="preserve">Jair Bernardino
6.600,00(02/01)
João Elias
6.175,49(06/01)
</t>
        </r>
      </text>
    </comment>
    <comment ref="N46" authorId="0" shapeId="0" xr:uid="{BB52451C-53E2-4967-AD6D-F2641B41BE28}">
      <text>
        <r>
          <rPr>
            <b/>
            <sz val="9"/>
            <color indexed="81"/>
            <rFont val="Segoe UI"/>
            <family val="2"/>
          </rPr>
          <t>Pagamento dos seguros dos veículos:
- PGR 1544 - (R$ 471,19)
- PGR 1404 - (R$ 475,88)
Indevidamente alocado ao resultado em dezembro/2022 Realizamos o ajuste em Janeiro.</t>
        </r>
      </text>
    </comment>
    <comment ref="O64" authorId="0" shapeId="0" xr:uid="{C8A88237-67EE-4C3A-B6E2-980E4B399A67}">
      <text>
        <r>
          <rPr>
            <b/>
            <sz val="9"/>
            <color indexed="81"/>
            <rFont val="Segoe UI"/>
            <family val="2"/>
          </rPr>
          <t>Taxa de Bombeiro(Vistoria)</t>
        </r>
      </text>
    </comment>
    <comment ref="O68" authorId="0" shapeId="0" xr:uid="{584CA76F-4B74-483A-9EC6-ED7CB73C5065}">
      <text>
        <r>
          <rPr>
            <b/>
            <sz val="9"/>
            <color indexed="81"/>
            <rFont val="Segoe UI"/>
            <family val="2"/>
          </rPr>
          <t>-11%</t>
        </r>
      </text>
    </comment>
    <comment ref="O69" authorId="0" shapeId="0" xr:uid="{08709100-F56A-42F5-A20B-885091ED825D}">
      <text>
        <r>
          <rPr>
            <b/>
            <sz val="9"/>
            <color indexed="81"/>
            <rFont val="Segoe UI"/>
            <family val="2"/>
          </rPr>
          <t>+40%</t>
        </r>
      </text>
    </comment>
    <comment ref="O76" authorId="0" shapeId="0" xr:uid="{40CCE1EE-AA13-4CFA-BFDF-60058939BE24}">
      <text>
        <r>
          <rPr>
            <b/>
            <sz val="9"/>
            <color indexed="81"/>
            <rFont val="Segoe UI"/>
            <family val="2"/>
          </rPr>
          <t xml:space="preserve">- MB COMERCIAL LTDA ME 
- J.K.J.  REFRIGERACAO LTDA 
- CASA DAS TINTAS COMERCIO
- ROSEMA PEREIRA DO NASCIMENTO EXTINTORES
- TUPAN CONSTRUCOES LTDA </t>
        </r>
      </text>
    </comment>
    <comment ref="O79" authorId="0" shapeId="0" xr:uid="{6C3AC21F-5A94-4DBA-BE37-0D7F1D584497}">
      <text>
        <r>
          <rPr>
            <b/>
            <sz val="9"/>
            <color indexed="81"/>
            <rFont val="Segoe UI"/>
            <family val="2"/>
          </rPr>
          <t>NFSe da GS Consult representam 70% do movimento dessa conta.</t>
        </r>
      </text>
    </comment>
    <comment ref="O80" authorId="0" shapeId="0" xr:uid="{0B45FCFA-4654-47FB-94D8-F2A2AFFAAF30}">
      <text>
        <r>
          <rPr>
            <b/>
            <sz val="9"/>
            <color indexed="81"/>
            <rFont val="Segoe UI"/>
            <family val="2"/>
          </rPr>
          <t xml:space="preserve">- MOB2CON SOLUCOES
- DG INFORMATICA LTDA
- NEXXERA MERCANTIL
- OMIEXPERIENCE S.A.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81" authorId="0" shapeId="0" xr:uid="{13D24018-A5DF-4AFC-AF69-78463FB41EC2}">
      <text>
        <r>
          <rPr>
            <b/>
            <sz val="9"/>
            <color indexed="81"/>
            <rFont val="Segoe UI"/>
            <family val="2"/>
          </rPr>
          <t>Foi destrinchados quase 100% das Notas Fiscais que estão sendo integradas como Material de Consumo.</t>
        </r>
      </text>
    </comment>
    <comment ref="O82" authorId="0" shapeId="0" xr:uid="{39C2E0BC-BE14-41F6-AE4F-18CE300C8329}">
      <text>
        <r>
          <rPr>
            <b/>
            <sz val="9"/>
            <color indexed="81"/>
            <rFont val="Segoe UI"/>
            <family val="2"/>
          </rPr>
          <t>Ubers
(Redução 32%)</t>
        </r>
      </text>
    </comment>
    <comment ref="O86" authorId="0" shapeId="0" xr:uid="{F9C50001-07AC-43E7-AD62-6AAB42E8521F}">
      <text>
        <r>
          <rPr>
            <b/>
            <sz val="9"/>
            <color indexed="81"/>
            <rFont val="Segoe UI"/>
            <family val="2"/>
          </rPr>
          <t>Redução considerável, menos de 50% da média dos últimos 3 meses.</t>
        </r>
      </text>
    </comment>
    <comment ref="O89" authorId="0" shapeId="0" xr:uid="{A26BBCE1-91E2-4DD1-BB8D-7F83B0EAFAD2}">
      <text>
        <r>
          <rPr>
            <b/>
            <sz val="9"/>
            <color indexed="81"/>
            <rFont val="Segoe UI"/>
            <family val="2"/>
          </rPr>
          <t>Haverá reajuste?</t>
        </r>
      </text>
    </comment>
    <comment ref="O111" authorId="0" shapeId="0" xr:uid="{09CFCAD2-1B46-453B-B9CE-A43BDB314A15}">
      <text>
        <r>
          <rPr>
            <b/>
            <sz val="9"/>
            <color indexed="81"/>
            <rFont val="Segoe UI"/>
            <family val="2"/>
          </rPr>
          <t>Redução de 10%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Contabil 2 - João Soares</author>
  </authors>
  <commentList>
    <comment ref="N6" authorId="0" shapeId="0" xr:uid="{717A40FA-0871-43F8-9150-548CC6D5A1DF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-10%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7" authorId="0" shapeId="0" xr:uid="{3D99B461-5586-4A6F-93C8-56AFB6B9D75F}">
      <text>
        <r>
          <rPr>
            <b/>
            <sz val="9"/>
            <color indexed="81"/>
            <rFont val="Segoe UI"/>
            <family val="2"/>
          </rPr>
          <t>-9%</t>
        </r>
      </text>
    </comment>
    <comment ref="N9" authorId="0" shapeId="0" xr:uid="{A1E69AC3-57F4-47B3-85C9-66CBE7615B6C}">
      <text>
        <r>
          <rPr>
            <b/>
            <sz val="9"/>
            <color indexed="81"/>
            <rFont val="Segoe UI"/>
            <family val="2"/>
          </rPr>
          <t>-15%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0" authorId="0" shapeId="0" xr:uid="{40A07E1D-B449-4E37-B20D-3CFCB9A1A6E5}">
      <text>
        <r>
          <rPr>
            <b/>
            <sz val="9"/>
            <color indexed="81"/>
            <rFont val="Segoe UI"/>
            <family val="2"/>
          </rPr>
          <t>+15%</t>
        </r>
      </text>
    </comment>
    <comment ref="N11" authorId="0" shapeId="0" xr:uid="{46597EF2-174F-4DF0-89E7-3F45C5439071}">
      <text>
        <r>
          <rPr>
            <b/>
            <sz val="9"/>
            <color indexed="81"/>
            <rFont val="Segoe UI"/>
            <family val="2"/>
          </rPr>
          <t>-7%</t>
        </r>
      </text>
    </comment>
    <comment ref="N12" authorId="0" shapeId="0" xr:uid="{E3259687-2AAB-4C6B-8948-FB2C0105B8DC}">
      <text>
        <r>
          <rPr>
            <b/>
            <sz val="9"/>
            <color indexed="81"/>
            <rFont val="Segoe UI"/>
            <family val="2"/>
          </rPr>
          <t>Estável</t>
        </r>
      </text>
    </comment>
    <comment ref="N13" authorId="0" shapeId="0" xr:uid="{DF7B0737-D602-4BD2-A3B9-E33DB38832A2}">
      <text>
        <r>
          <rPr>
            <b/>
            <sz val="9"/>
            <color indexed="81"/>
            <rFont val="Segoe UI"/>
            <family val="2"/>
          </rPr>
          <t>Estável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4" authorId="0" shapeId="0" xr:uid="{0E6E757A-FF42-4BAC-ABBB-EB0364C9B9B5}">
      <text>
        <r>
          <rPr>
            <b/>
            <sz val="9"/>
            <color indexed="81"/>
            <rFont val="Segoe UI"/>
            <family val="2"/>
          </rPr>
          <t>Estável</t>
        </r>
      </text>
    </comment>
    <comment ref="N16" authorId="0" shapeId="0" xr:uid="{1FEFD1B9-C99E-46FF-B794-DC06F741FA05}">
      <text>
        <r>
          <rPr>
            <b/>
            <sz val="9"/>
            <color indexed="81"/>
            <rFont val="Segoe UI"/>
            <family val="2"/>
          </rPr>
          <t>Estável</t>
        </r>
      </text>
    </comment>
    <comment ref="N17" authorId="0" shapeId="0" xr:uid="{C622B2C9-C924-43CF-B92C-691ABF08C5E2}">
      <text>
        <r>
          <rPr>
            <b/>
            <sz val="9"/>
            <color indexed="81"/>
            <rFont val="Segoe UI"/>
            <family val="2"/>
          </rPr>
          <t>+45% prejuízo maior em relação ao último mês.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2" authorId="0" shapeId="0" xr:uid="{CBD2B847-659B-4472-91D5-8F4D7FE4BF36}">
      <text>
        <r>
          <rPr>
            <b/>
            <sz val="9"/>
            <color indexed="81"/>
            <rFont val="Segoe UI"/>
            <family val="2"/>
          </rPr>
          <t>Prejuízo de 9% a maior que o último mês.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8" authorId="0" shapeId="0" xr:uid="{7DE9B1D6-5EA4-4431-8AE5-53DA0AC26FC9}">
      <text>
        <r>
          <rPr>
            <b/>
            <sz val="9"/>
            <color indexed="81"/>
            <rFont val="Segoe UI"/>
            <family val="2"/>
          </rPr>
          <t>Redução de 5% na Líquidez Geral.</t>
        </r>
      </text>
    </comment>
    <comment ref="N29" authorId="0" shapeId="0" xr:uid="{85CC3522-543B-4FCE-9320-B6AAEB6D04D2}">
      <text>
        <r>
          <rPr>
            <b/>
            <sz val="9"/>
            <color indexed="81"/>
            <rFont val="Segoe UI"/>
            <family val="2"/>
          </rPr>
          <t>Redução de 3,5% da líquidez corrente.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0" authorId="0" shapeId="0" xr:uid="{BF88246E-762D-41BF-9361-E11D8DD6CB34}">
      <text>
        <r>
          <rPr>
            <b/>
            <sz val="9"/>
            <color indexed="81"/>
            <rFont val="Segoe UI"/>
            <family val="2"/>
          </rPr>
          <t xml:space="preserve">Redução de 4,3% da Líquidez Seca. 
</t>
        </r>
      </text>
    </comment>
    <comment ref="N31" authorId="0" shapeId="0" xr:uid="{C70A6D1C-9174-4C21-BF08-22ED1C77F86E}">
      <text>
        <r>
          <rPr>
            <b/>
            <sz val="9"/>
            <color indexed="81"/>
            <rFont val="Segoe UI"/>
            <family val="2"/>
          </rPr>
          <t>-30% Liquidez Imediata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<sst xmlns="http://schemas.openxmlformats.org/spreadsheetml/2006/main" count="29303" uniqueCount="5716">
  <si>
    <t>Código</t>
  </si>
  <si>
    <t>Classificação</t>
  </si>
  <si>
    <t>Descrição da conta</t>
  </si>
  <si>
    <t>Saldo Anterior</t>
  </si>
  <si>
    <t>Débito</t>
  </si>
  <si>
    <t>Crédito</t>
  </si>
  <si>
    <t>Saldo Atual</t>
  </si>
  <si>
    <t>1</t>
  </si>
  <si>
    <t>ATIVO</t>
  </si>
  <si>
    <t>1.1</t>
  </si>
  <si>
    <t>ATIVO CIRCULANTE</t>
  </si>
  <si>
    <t>1.1.1</t>
  </si>
  <si>
    <t>DISPONÍVEL</t>
  </si>
  <si>
    <t>1.1.1.01</t>
  </si>
  <si>
    <t>CAIXA</t>
  </si>
  <si>
    <t>1.1.1.01.001</t>
  </si>
  <si>
    <t>CAIXA GERAL</t>
  </si>
  <si>
    <t>1.1.1.02</t>
  </si>
  <si>
    <t>BANCOS CONTA MOVIMENTO</t>
  </si>
  <si>
    <t>1.1.1.02.001</t>
  </si>
  <si>
    <t>BANCO BRASIL C/C 110391-1</t>
  </si>
  <si>
    <t>BANCO BNB AG.192 CC.016413-9</t>
  </si>
  <si>
    <t>1.1.1.02.005</t>
  </si>
  <si>
    <t>BANCO BNB AG 192 C.C 015642-0 - GS</t>
  </si>
  <si>
    <t>1.1.1.02.006</t>
  </si>
  <si>
    <t>BANCO BNB AG 192 C.C 015643-8 - GS</t>
  </si>
  <si>
    <t>1.1.1.03</t>
  </si>
  <si>
    <t>APLICAÇÕES FINANCEIRAS LIQUIDEZ IMEDIATA</t>
  </si>
  <si>
    <t>1.1.1.03.003</t>
  </si>
  <si>
    <t>BNB AUTOMATICO FI RF CURTO PRAZO</t>
  </si>
  <si>
    <t>1.1.1.03.004</t>
  </si>
  <si>
    <t>BNB ESSENCIAL FIC FI RENDA FIXA RE</t>
  </si>
  <si>
    <t>1.1.1.03.005</t>
  </si>
  <si>
    <t>BNB CONTA RESERVA FI RF REF DI - GS</t>
  </si>
  <si>
    <t>1.1.2</t>
  </si>
  <si>
    <t>CLIENTES</t>
  </si>
  <si>
    <t>1.1.2.01</t>
  </si>
  <si>
    <t>DUPLICATAS A RECEBER</t>
  </si>
  <si>
    <t>1.1.2.01.001</t>
  </si>
  <si>
    <t>BOMPRECO SUPERMERCADO DO NORDESTE LTDA (B-17)</t>
  </si>
  <si>
    <t>BOMPRECO SUPERMERCADOS DO NORDESTE LTDA (B-006)</t>
  </si>
  <si>
    <t>BOMPRECO SUPERMERCADOS DO NORDESTE LTDA (B-009)</t>
  </si>
  <si>
    <t>BOMPRECO SUPERMERCADOS DO NORDESTE LTDA (B-032)</t>
  </si>
  <si>
    <t>BOMPRECO SUPERMERCADOS DO NORDESTE LTDA (B-035)</t>
  </si>
  <si>
    <t>BOMPRECO SUPERMERCADOS DO NORDESTE LTDA (B-05)</t>
  </si>
  <si>
    <t>BOMPRECO SUPERMERCADOS DO NORDESTE LTDA (B-1020)</t>
  </si>
  <si>
    <t>BOMPRECO SUPERMERCADOS DO NORDESTE LTDA (B-19)</t>
  </si>
  <si>
    <t>BOMPRECO SUPERMERCADOS DO NORDESTE LTDA (B-31)</t>
  </si>
  <si>
    <t>BOMPRECO SUPERMERCADOS DO NORDESTE LTDA (B-310)</t>
  </si>
  <si>
    <t>BOMPRECO SUPERMERCADOS DO NORDESTE LTDA (B-341)</t>
  </si>
  <si>
    <t>BOMPRECO SUPERMERCADOS DO NORDESTE LTDA (B-352)</t>
  </si>
  <si>
    <t>BOMPRECO SUPERMERCADOS DO NORDESTE LTDA (B-41)</t>
  </si>
  <si>
    <t>BOMPRECO SUPERMERCADOS DO NORDESTE LTDA CD MURIBECA</t>
  </si>
  <si>
    <t>BOMPRECO SUPERMERCADOS DO NORDESTE LTDA(-B337)</t>
  </si>
  <si>
    <t>BOMPRECO SUPERMERCADOS DO NORDESTE LTDA(B-01)</t>
  </si>
  <si>
    <t>BOMPRECO SUPERMERCADOS DO NORDESTE LTDA(B96)</t>
  </si>
  <si>
    <t>CARREFOUR COMERCIO E INDUSTRIA LTDA (BOA VIAGEM )</t>
  </si>
  <si>
    <t>CARREFOUR COMERCIO E INDUSTRIA LTDA (TORRE)</t>
  </si>
  <si>
    <t>COMPANHIA BRASILEIRA DE DISTRIBUICAO - (PARNAMIRIM)</t>
  </si>
  <si>
    <t>COMPANHIA BRASILEIRA DE DISTRIBUICAO ( ROSA E SILVA)</t>
  </si>
  <si>
    <t>COMPANHIA BRASILEIRA DE DISTRIBUICAO (ESPINHEIRO)</t>
  </si>
  <si>
    <t>COMPANHIA BRASILEIRA DE DISTRIBUICAO (EXTRA CONS. AGUIAR)</t>
  </si>
  <si>
    <t>COMPANHIA BRASILEIRA DE DISTRIBUICAO (EXTRA OLINDA)</t>
  </si>
  <si>
    <t>COMPANHIA BRASILEIRA DE DISTRIBUICAO (PIEDADE)</t>
  </si>
  <si>
    <t>COMPANHIA BRASILEIRA DE DISTRIBUICAO CD - PE</t>
  </si>
  <si>
    <t>SUPERMERCADO NORDESTAO LTDA (L.02)</t>
  </si>
  <si>
    <t>SUPERMERCADO NORDESTAO LTDA (L.03)</t>
  </si>
  <si>
    <t>SUPERMERCADO NORDESTAO LTDA (L.04)</t>
  </si>
  <si>
    <t>SUPERMERCADO NORDESTAO LTDA (L.05)</t>
  </si>
  <si>
    <t>SUPERMERCADO NORDESTAO LTDA (L.07)</t>
  </si>
  <si>
    <t>SUPERMERCADO NORDESTAO LTDA (L.09)</t>
  </si>
  <si>
    <t>WAL MART BRASIL LTDA</t>
  </si>
  <si>
    <t>WAL MART BRASIL LTDA (NATAL)</t>
  </si>
  <si>
    <t>WMS SUPERMERCADOS DO BRASIL LTDA - MAXXI CABO</t>
  </si>
  <si>
    <t>WMS SUPERMERCADOS DO BRASIL LTDA. (PARNAMIRIM)</t>
  </si>
  <si>
    <t>WMS SUPERMERCADOS DO BRASIL LTDA.( MAXXI OLINDA)</t>
  </si>
  <si>
    <t>WMS SUPERMERCADOS DO BRASIL LTDA.(ARAPIRACA)</t>
  </si>
  <si>
    <t>WMS SUPERMERCADOS DO BRASIL LTDA(LAGOA NOVA )</t>
  </si>
  <si>
    <t>1.1.2.01.010</t>
  </si>
  <si>
    <t>BM/ B3 - COMERCIAL DE ALIMENTOS CARDOSO LTDA</t>
  </si>
  <si>
    <t>DMA DISTRIBUIDORA S/A (MINEIRAO- RN)</t>
  </si>
  <si>
    <t>J R DE AGUIAR HORTIFRUTI LTDA( FRUT. TORRE)</t>
  </si>
  <si>
    <t>NIPPON INDUSTRIA E COMERCIO DE ALIMENTOS LTDA</t>
  </si>
  <si>
    <t>NOVO ATACADO COMERCIO DE ALIMENTOS LTDA (LJ01)</t>
  </si>
  <si>
    <t>PALLATOS INDUSTRIA DE ALIMENTOS LTDA</t>
  </si>
  <si>
    <t>UNICOMPRA SUPERMERCADOS LTDA</t>
  </si>
  <si>
    <t>1.1.2.01.011</t>
  </si>
  <si>
    <t>BM/ B5 - RC COMERCIO DE ALIMENTOS LTDA</t>
  </si>
  <si>
    <t>DS AFLITOS</t>
  </si>
  <si>
    <t>DS CASA AMARELA</t>
  </si>
  <si>
    <t>DS PIEDADE</t>
  </si>
  <si>
    <t>DS PINA</t>
  </si>
  <si>
    <t>DS RECIFE NORTE</t>
  </si>
  <si>
    <t>DS RECIFE SUL</t>
  </si>
  <si>
    <t>DS SETUBAL</t>
  </si>
  <si>
    <t>J ROBERTO COMERCIO DE HORTIFRUTIGRANJEIROS LTDA (ROSARINHO)</t>
  </si>
  <si>
    <t>QUITANDA ORGANICOS</t>
  </si>
  <si>
    <t>1.1.2.01.012</t>
  </si>
  <si>
    <t>BM/ B7 - COMERCIAL DE ALIMENTOS E J C LTDA</t>
  </si>
  <si>
    <t>1.1.2.01.013</t>
  </si>
  <si>
    <t>BM/B2-CARDOSO DA COSTA &amp; CIA. LTDA</t>
  </si>
  <si>
    <t>1.1.2.01.014</t>
  </si>
  <si>
    <t>(IF ESPINHEIRO) IF-BR COMERCIO DE ALIMENTOS E BEBIDAS LTDA</t>
  </si>
  <si>
    <t>1.1.2.01.019</t>
  </si>
  <si>
    <t>BOMPRECO SUPERMERCADOS DO NORDESTE LTDA (B-20)</t>
  </si>
  <si>
    <t>1.1.2.01.021</t>
  </si>
  <si>
    <t>BOMPRECO SUPERMERCADOS DO NORDESTE LTDA (B-29)</t>
  </si>
  <si>
    <t>1.1.2.01.022</t>
  </si>
  <si>
    <t>BOMPRECO SUPERMERCADOS DO NORDESTE LTDA (BESSA- B-34)</t>
  </si>
  <si>
    <t>1.1.2.02</t>
  </si>
  <si>
    <t>(-) DESCONTOS COMERCIAIS</t>
  </si>
  <si>
    <t>1.1.2.02.001</t>
  </si>
  <si>
    <t>DESCONTOS COMERCIAIS - BOMPRECO</t>
  </si>
  <si>
    <t>1.1.2.02.002</t>
  </si>
  <si>
    <t>DESCONTOS COMERCIAIS - CARREFOUR</t>
  </si>
  <si>
    <t>1.1.2.02.003</t>
  </si>
  <si>
    <t>DESCONTOS COMERCIAIS - COMPANHIA</t>
  </si>
  <si>
    <t>1.1.2.02.005</t>
  </si>
  <si>
    <t>DESCONTOS COMERCIAIS - SUPERMERCADO NORDESTAO</t>
  </si>
  <si>
    <t>1.1.2.02.006</t>
  </si>
  <si>
    <t>DESCONTOS COMERCIAIS - WALMART</t>
  </si>
  <si>
    <t>1.1.2.02.007</t>
  </si>
  <si>
    <t>DESCONTOS COMERCIAIS - WMS SUPERMERCADOS</t>
  </si>
  <si>
    <t>1.1.2.02.009</t>
  </si>
  <si>
    <t>DESCONTOS COMERCIAIS - UNICOMPRAS</t>
  </si>
  <si>
    <t>1.1.2.03</t>
  </si>
  <si>
    <t>(-) DEVOLUÇÕES</t>
  </si>
  <si>
    <t>1.1.2.03.001</t>
  </si>
  <si>
    <t>DEVOLUÇÕES - BOMPRECO</t>
  </si>
  <si>
    <t>1.1.2.03.002</t>
  </si>
  <si>
    <t>DEVOLUÇÕES - CARREFOUR</t>
  </si>
  <si>
    <t>1.1.2.03.003</t>
  </si>
  <si>
    <t>DEVOLUÇÕES - COMPANHIA</t>
  </si>
  <si>
    <t>1.1.2.03.006</t>
  </si>
  <si>
    <t>DEVOLUÇÕES - SUPERMERCADO NORDESTAO</t>
  </si>
  <si>
    <t>1.1.2.03.007</t>
  </si>
  <si>
    <t>DEVOLUÇÕES - WALMART</t>
  </si>
  <si>
    <t>1.1.2.03.008</t>
  </si>
  <si>
    <t>DEVOLUÇÕES - WMS</t>
  </si>
  <si>
    <t>1.1.3</t>
  </si>
  <si>
    <t>OUTROS CRÉDITOS</t>
  </si>
  <si>
    <t>1.1.3.05</t>
  </si>
  <si>
    <t>ADIANTAMENTOS A FORNECEDORES</t>
  </si>
  <si>
    <t>1.1.3.05.001</t>
  </si>
  <si>
    <t>ADIANTAMENTO A FORNECEDOR</t>
  </si>
  <si>
    <t>1.1.3.05.075</t>
  </si>
  <si>
    <t>MENDONÇA PLÁSTICO</t>
  </si>
  <si>
    <t>1.1.3.05.077</t>
  </si>
  <si>
    <t>DOMÍNIO HORTIFRIOS</t>
  </si>
  <si>
    <t>1.1.3.05.078</t>
  </si>
  <si>
    <t>MOB SOLUÇÕES TECNOLOGIA</t>
  </si>
  <si>
    <t>1.1.3.05.079</t>
  </si>
  <si>
    <t>LIVRARIA IDEA FIXA</t>
  </si>
  <si>
    <t>1.1.3.05.080</t>
  </si>
  <si>
    <t>ZUCCA ALIMENTOS</t>
  </si>
  <si>
    <t>1.1.3.05.081</t>
  </si>
  <si>
    <t xml:space="preserve">J A ALVES DE MOREIRA ME </t>
  </si>
  <si>
    <t>1.1.3.05.082</t>
  </si>
  <si>
    <t>MIGUEL RAIMUNDO</t>
  </si>
  <si>
    <t>1.1.3.06</t>
  </si>
  <si>
    <t>ADIANTAMENTO A EMPREGADOS</t>
  </si>
  <si>
    <t>ADIANTAMENTO DE SALÁRIO</t>
  </si>
  <si>
    <t>1.1.3.06.003</t>
  </si>
  <si>
    <t>ADIANTAMENTO DE FERIAS</t>
  </si>
  <si>
    <t>1.1.3.08</t>
  </si>
  <si>
    <t>TRIBUTOS A RECUPERAR/COMPENSAR</t>
  </si>
  <si>
    <t>1.1.3.08.002</t>
  </si>
  <si>
    <t>ICMS A RECUPERAR</t>
  </si>
  <si>
    <t>1.1.3.08.012</t>
  </si>
  <si>
    <t>COFINS A RECUPERAR</t>
  </si>
  <si>
    <t>1.1.3.08.013</t>
  </si>
  <si>
    <t>PIS A RECUPERAR</t>
  </si>
  <si>
    <t>1.1.5</t>
  </si>
  <si>
    <t>ESTOQUE</t>
  </si>
  <si>
    <t>1.1.5.01</t>
  </si>
  <si>
    <t>MERCADORIAS, PRODUTOS E INSUMOS</t>
  </si>
  <si>
    <t>1.1.5.01.001</t>
  </si>
  <si>
    <t>MERCADORIAS PARA REVENDA</t>
  </si>
  <si>
    <t>1.1.5.01.004</t>
  </si>
  <si>
    <t>MATERIAIS DE EMBALAGENS</t>
  </si>
  <si>
    <t>1.1.5.01.007</t>
  </si>
  <si>
    <t>TEMPEROS</t>
  </si>
  <si>
    <t>1.1.6</t>
  </si>
  <si>
    <t>DESPESAS PAGAS ANTECIPADAMENTE</t>
  </si>
  <si>
    <t>1.1.6.01</t>
  </si>
  <si>
    <t>DESPESAS DE MESES SEGUINTES</t>
  </si>
  <si>
    <t>1.1.6.01.001</t>
  </si>
  <si>
    <t>PRÊMIOS DE SEGUROS A APROPRIAR</t>
  </si>
  <si>
    <t>1.1.6.01.003</t>
  </si>
  <si>
    <t>CARTÃO DE INSCRIÇÃO MUNICIPAL (CIM)</t>
  </si>
  <si>
    <t>1.1.6.01.004</t>
  </si>
  <si>
    <t>IPVA</t>
  </si>
  <si>
    <t>1.1.6.01.005</t>
  </si>
  <si>
    <t>VALE TRANSPORTE</t>
  </si>
  <si>
    <t>1.1.6.01.007</t>
  </si>
  <si>
    <t>VALE REFEIÇÃO E COMBUSTIVEL</t>
  </si>
  <si>
    <t>1.2</t>
  </si>
  <si>
    <t>ATIVO NÃO-CIRCULANTE</t>
  </si>
  <si>
    <t>1.2.4</t>
  </si>
  <si>
    <t>IMOBILIZADO</t>
  </si>
  <si>
    <t>1.2.4.01</t>
  </si>
  <si>
    <t>IMÓVEIS</t>
  </si>
  <si>
    <t>1.2.4.01.002</t>
  </si>
  <si>
    <t>EDIFICAÇÕES</t>
  </si>
  <si>
    <t>1.2.4.02</t>
  </si>
  <si>
    <t>MÓVEIS E UTENSÍLIOS</t>
  </si>
  <si>
    <t>1.2.4.02.001</t>
  </si>
  <si>
    <t>1.2.4.03</t>
  </si>
  <si>
    <t>MÁQUINAS, EQUIPAMENTOS E FERRAMENTAS</t>
  </si>
  <si>
    <t>1.2.4.03.001</t>
  </si>
  <si>
    <t>MÁQUINAS E EQUIPAMENTOS</t>
  </si>
  <si>
    <t>1.2.4.03.002</t>
  </si>
  <si>
    <t>EQUIPAMENTOS DE REFRIGERAÇÃO</t>
  </si>
  <si>
    <t>1.2.4.04</t>
  </si>
  <si>
    <t>VEÍCULOS</t>
  </si>
  <si>
    <t>1.2.4.04.001</t>
  </si>
  <si>
    <t>1.2.4.05</t>
  </si>
  <si>
    <t>EQUIPAMENTO PROC. ELETRONICO DE DADOS</t>
  </si>
  <si>
    <t>1.2.4.05.001</t>
  </si>
  <si>
    <t>1.2.4.07</t>
  </si>
  <si>
    <t>(-) DEPRECIAÇÕES, AMORT. E EXAUS. ACUMUL</t>
  </si>
  <si>
    <t>1.2.4.07.001</t>
  </si>
  <si>
    <t>(-) DEPRECIAÇÕES DE EQUIPAMENTO PROC. ELETRONICO DE DADOS</t>
  </si>
  <si>
    <t>1.2.4.07.002</t>
  </si>
  <si>
    <t>(-) DEPRECIAÇÕES DE MÓVEIS E UTENSÍLIOS</t>
  </si>
  <si>
    <t>1.2.4.07.003</t>
  </si>
  <si>
    <t>(-) DEPRECIAÇÕES DE MÁQUINAS, EQUIP. FER</t>
  </si>
  <si>
    <t>1.2.4.07.004</t>
  </si>
  <si>
    <t>(-) DEPRECIAÇÕES DE VEÍCULOS</t>
  </si>
  <si>
    <t>1.2.4.07.007</t>
  </si>
  <si>
    <t>1.2.4.07.008</t>
  </si>
  <si>
    <t>(-) DEPRECIAÇÕES DE EDIFICAÇÕES</t>
  </si>
  <si>
    <t>2</t>
  </si>
  <si>
    <t>PASSIVO</t>
  </si>
  <si>
    <t>2.1</t>
  </si>
  <si>
    <t>PASSIVO CIRCULANTE</t>
  </si>
  <si>
    <t>2.1.1</t>
  </si>
  <si>
    <t>EMPRÉSTIMOS E FINANCIAMENTOS</t>
  </si>
  <si>
    <t>2.1.1.01</t>
  </si>
  <si>
    <t>EMPRÉSTIMOS</t>
  </si>
  <si>
    <t>2.1.1.01.004</t>
  </si>
  <si>
    <t>2.1.1.01.005</t>
  </si>
  <si>
    <t>FNE BNB CTR: [192.2020.10.5424] - C000000301/003</t>
  </si>
  <si>
    <t>2.1.1.01.006</t>
  </si>
  <si>
    <t>FNE BNB CTR: [192.2019.428.5257] - B900013001/002</t>
  </si>
  <si>
    <t>2.1.1.01.007</t>
  </si>
  <si>
    <t>( - ) JUROS A SER APROPRIADO S/ EMPRÉSTIMOS BNB 5424</t>
  </si>
  <si>
    <t>2.1.1.01.008</t>
  </si>
  <si>
    <t>( - ) JUROS A SER APROPRIADO S/ EMPRÉSTIMOS BNB 5257</t>
  </si>
  <si>
    <t>2.1.1.01.009</t>
  </si>
  <si>
    <t>( - ) JUROS A SER APROPRIADO S/ EMPRÉSTIMO BB 814</t>
  </si>
  <si>
    <t>2.1.3</t>
  </si>
  <si>
    <t>FORNECEDORES</t>
  </si>
  <si>
    <t>2.1.3.01</t>
  </si>
  <si>
    <t>2.1.3.01.001</t>
  </si>
  <si>
    <t>Acquapura Ltda.</t>
  </si>
  <si>
    <t>ARMAZEM CORAL LTDA</t>
  </si>
  <si>
    <t>C. F. BARBOSA MECANICA LTDA EPP</t>
  </si>
  <si>
    <t>CASA DO MERCEDES COM. PECAS ACESS. PARA CAMINHOES LTDA-EPP</t>
  </si>
  <si>
    <t>CHARLES TRANSPORTES EIRELI - ME</t>
  </si>
  <si>
    <t>CIL   COMERCIO DE INFORMATICA LTDA</t>
  </si>
  <si>
    <t>EDSON JOSE DA SILVA</t>
  </si>
  <si>
    <t>Etiquetas Guararapes Industria Grafica Ltda</t>
  </si>
  <si>
    <t>F.J EQUIPAMENTOS HIDRAULICOS</t>
  </si>
  <si>
    <t>FERREIRA COSTA   CIA. LTDA.</t>
  </si>
  <si>
    <t>HAPVIDA ASSISTENCIA MEDICA LTDA</t>
  </si>
  <si>
    <t>HIDEO HARUTA</t>
  </si>
  <si>
    <t>IFCO Systems do Brasil Servicos de Embalagem Ltda.</t>
  </si>
  <si>
    <t>J.A.B LEITE INDUSTRIA COMERCIO E EXPORTACAO LTDA</t>
  </si>
  <si>
    <t>JA TRANSPORTES</t>
  </si>
  <si>
    <t>JOSE DENILSON SANTOS</t>
  </si>
  <si>
    <t>JOSE PINTO DOS SANTOS</t>
  </si>
  <si>
    <t>JOSENILDO GUSTAVO DE ALMEIDA</t>
  </si>
  <si>
    <t>Kalunga Comercio Industria Grafica Ltda</t>
  </si>
  <si>
    <t>LABORQUIMICA CALDAS LTDA</t>
  </si>
  <si>
    <t>LUIZ AIRES DE ASSIS ME</t>
  </si>
  <si>
    <t>M CLAUDIO MOURA ME</t>
  </si>
  <si>
    <t>M J DE SOUZA CONFESSOR</t>
  </si>
  <si>
    <t>MACROPAC PROTECAO E EMBALAGEM LTDA</t>
  </si>
  <si>
    <t>MAGAZINE LUIZA S/A</t>
  </si>
  <si>
    <t>MAIS VERDE LTDA ME</t>
  </si>
  <si>
    <t>MANOEL CORREIA DE OLIVEIRA</t>
  </si>
  <si>
    <t>MARCONIEL FONTE DE OLIVEIRA ME</t>
  </si>
  <si>
    <t>MARCOS AURELIO DO NASCIMENTO</t>
  </si>
  <si>
    <t>MARQUES PLASTIC E CIA LTDA</t>
  </si>
  <si>
    <t>PETERFRUT COMERCIAL LTDA</t>
  </si>
  <si>
    <t>POSTO IBIZA LTDA</t>
  </si>
  <si>
    <t>R &amp; R INDUSTRIA ALIMENTICIA EIRELI</t>
  </si>
  <si>
    <t>RECIFILME COMERCIO LTDA</t>
  </si>
  <si>
    <t>RENATO DO NASCIMENTO CUNHA</t>
  </si>
  <si>
    <t>RONI PASCHOAL BRUNO - EIRELI</t>
  </si>
  <si>
    <t>SEBASTIAO LUIZ PEREIRA</t>
  </si>
  <si>
    <t>SEVERINO JOSE DA SILVA</t>
  </si>
  <si>
    <t>SEVERINO LUIZ DOS SANTOS</t>
  </si>
  <si>
    <t>SEVERINO MARCELINO DE LIMA</t>
  </si>
  <si>
    <t>VALDEMIR SEVERINO DA SILVA</t>
  </si>
  <si>
    <t>VALDERLANDIO VALENTIM GOMES</t>
  </si>
  <si>
    <t>2.1.3.01.025</t>
  </si>
  <si>
    <t>J. V. F. DE SIQUEIRA HORTIFRUTIGRANJEIRO EIRELI</t>
  </si>
  <si>
    <t>2.1.3.01.028</t>
  </si>
  <si>
    <t>COMERCIAL SAFRA COMERCIO ATACADISTA DE ALIMENTO</t>
  </si>
  <si>
    <t>2.1.3.01.030</t>
  </si>
  <si>
    <t>A.F.V DA FONSECA - EPP</t>
  </si>
  <si>
    <t>2.1.3.01.060</t>
  </si>
  <si>
    <t>PERBONI S/A - RECIFE</t>
  </si>
  <si>
    <t>2.1.3.01.078</t>
  </si>
  <si>
    <t>RC VIDROS AUTOMOTIVOS LTDA</t>
  </si>
  <si>
    <t>2.1.3.01.150</t>
  </si>
  <si>
    <t>ROMULO REVOREDO DO NASCIMENTO</t>
  </si>
  <si>
    <t>2.1.3.01.153</t>
  </si>
  <si>
    <t>PLACIDO INDUSTRIA COMERCIO LTDA</t>
  </si>
  <si>
    <t>2.1.3.01.174</t>
  </si>
  <si>
    <t>ATACADO DOS PRESENTES LTDA</t>
  </si>
  <si>
    <t>2.1.3.01.275</t>
  </si>
  <si>
    <t>RLH PNEUS LTDA</t>
  </si>
  <si>
    <t>2.1.3.01.276</t>
  </si>
  <si>
    <t>CIA BRASILEIRA DE DISTRIBUICAO</t>
  </si>
  <si>
    <t>2.1.3.01.286</t>
  </si>
  <si>
    <t>HELIO GUEDES DOS SANTOS</t>
  </si>
  <si>
    <t>2.1.3.01.288</t>
  </si>
  <si>
    <t>LOJAO DA CENOURA</t>
  </si>
  <si>
    <t>DG INFORMATICA LTDA</t>
  </si>
  <si>
    <t>2.1.3.01.300</t>
  </si>
  <si>
    <t>MVN CAMPOS &amp; CIA SERV CONTR QUALID ALIMENTICIOS LTDA ME</t>
  </si>
  <si>
    <t>2.1.3.01.302</t>
  </si>
  <si>
    <t>RC TRANSPORTES</t>
  </si>
  <si>
    <t>2.1.3.01.311</t>
  </si>
  <si>
    <t>ANDERSON ANGELO DOS SANTOS - ME</t>
  </si>
  <si>
    <t>2.1.3.01.312</t>
  </si>
  <si>
    <t>KLEBER PEREIRA DE MELO EIRELLI</t>
  </si>
  <si>
    <t>VFS SISTEMA ELETRONICO DE ALARME LTDA</t>
  </si>
  <si>
    <t>2.1.3.01.317</t>
  </si>
  <si>
    <t>WASHINGTON FRUTAS COMERCIO LTDA</t>
  </si>
  <si>
    <t>2.1.3.01.318</t>
  </si>
  <si>
    <t>RAIMUNDO DENILSON DA SILVA COSTA</t>
  </si>
  <si>
    <t>NEXXERA MERCANTIL SERVILOS S/A</t>
  </si>
  <si>
    <t>2.1.3.01.321</t>
  </si>
  <si>
    <t>VR BENEFICIOS E SERV. DE PROCESSAMENTO</t>
  </si>
  <si>
    <t>2.1.3.01.324</t>
  </si>
  <si>
    <t>T M COMBUSTIVEIS LTDA.</t>
  </si>
  <si>
    <t>2.1.3.01.329</t>
  </si>
  <si>
    <t>N F PEREIRA DA SILVA COMERCIO HORTIFRUTIGRANJEIRO</t>
  </si>
  <si>
    <t>2.1.3.01.333</t>
  </si>
  <si>
    <t>SUPREMO PREDILETA COM. IMP. EXP. LTDA</t>
  </si>
  <si>
    <t>2.1.3.01.336</t>
  </si>
  <si>
    <t>CRIS DIAS DOS SANTOS 04730386418</t>
  </si>
  <si>
    <t>2.1.3.01.337</t>
  </si>
  <si>
    <t>AGRICOLA QDELICIA FRUTAS LTDA</t>
  </si>
  <si>
    <t>2.1.3.01.338</t>
  </si>
  <si>
    <t>E. B. DE SANTANA HORTIFRUTI</t>
  </si>
  <si>
    <t>2.1.3.01.339</t>
  </si>
  <si>
    <t>PIERRE COSTA DE LIMA EIRELI EPP</t>
  </si>
  <si>
    <t>2.1.3.01.341</t>
  </si>
  <si>
    <t>SILVIO SERAFIM DA SILVA</t>
  </si>
  <si>
    <t>2.1.3.01.343</t>
  </si>
  <si>
    <t>MARIA LUIZA DE MORAIS</t>
  </si>
  <si>
    <t>2.1.3.01.344</t>
  </si>
  <si>
    <t>MIGUEL RAIMUNDO DE AGUIAR FILHO</t>
  </si>
  <si>
    <t>2.1.3.01.348</t>
  </si>
  <si>
    <t>PROMULTT DISTRIBUIDORA E COMERCIO DE PROD. DE HIGIENE LTDA</t>
  </si>
  <si>
    <t>2.1.3.01.351</t>
  </si>
  <si>
    <t>EDYPO C DA SILVA HORTIFRUTIGRANJEIROS</t>
  </si>
  <si>
    <t>2.1.3.01.353</t>
  </si>
  <si>
    <t>SORMA INTERAMERICANA IMPORTACAO E EXPORTACAO LTDA.</t>
  </si>
  <si>
    <t>2.1.3.01.355</t>
  </si>
  <si>
    <t>NOVA PRAGAS CONTROL SAUDE AMBIENTAL LTDA</t>
  </si>
  <si>
    <t>2.1.3.01.360</t>
  </si>
  <si>
    <t>MB COMERCIAL EIRELI</t>
  </si>
  <si>
    <t>2.1.3.01.362</t>
  </si>
  <si>
    <t>WR COMERCO E TRANPORTE LTDA ME</t>
  </si>
  <si>
    <t>2.1.3.01.368</t>
  </si>
  <si>
    <t>Equipacenter Comercio de Equipamentos Ltda</t>
  </si>
  <si>
    <t>2.1.3.01.369</t>
  </si>
  <si>
    <t>JONATHAN BARROS DA SILVA</t>
  </si>
  <si>
    <t>2.1.3.01.376</t>
  </si>
  <si>
    <t>MASCARENHAS &amp; CHAVES LTDA - EPP</t>
  </si>
  <si>
    <t>2.1.3.01.380</t>
  </si>
  <si>
    <t>J A ALVES DE MOREIRA ME</t>
  </si>
  <si>
    <t>2.1.3.01.385</t>
  </si>
  <si>
    <t>DISTRIBUIDORA DE SANEANTES MULTICLINIC DO BRASIL LTDA</t>
  </si>
  <si>
    <t>2.1.3.01.389</t>
  </si>
  <si>
    <t>JOAO BOSCO FERREIRA DA COSTA 02576594476</t>
  </si>
  <si>
    <t>2.1.3.01.392</t>
  </si>
  <si>
    <t>ISRAEL AUGUSTO DE OLIVEIRA</t>
  </si>
  <si>
    <t>2.1.3.01.397</t>
  </si>
  <si>
    <t>DAVI WENDELL GOIS DA SILVA ME</t>
  </si>
  <si>
    <t>2.1.3.01.399</t>
  </si>
  <si>
    <t>FLORENCIO MELO LTDA</t>
  </si>
  <si>
    <t>2.1.3.01.400</t>
  </si>
  <si>
    <t>ELETRICA PIONEIRA LTDA ME</t>
  </si>
  <si>
    <t>2.1.3.01.402</t>
  </si>
  <si>
    <t>MAIS FRUTOS LTDA</t>
  </si>
  <si>
    <t>2.1.3.01.403</t>
  </si>
  <si>
    <t>BRAZ JOSE LOPES DA SILVA</t>
  </si>
  <si>
    <t>2.1.3.01.408</t>
  </si>
  <si>
    <t>HERBUS INDUSTRIA DO VESTUARIO LTDA</t>
  </si>
  <si>
    <t>2.1.3.01.411</t>
  </si>
  <si>
    <t>VINI COMERCIO DE ALHOS LTDA</t>
  </si>
  <si>
    <t>2.1.3.01.413</t>
  </si>
  <si>
    <t>NORVAC INDUSTRIA E COMERCIO DE EMBALAGENS LTDA</t>
  </si>
  <si>
    <t>2.1.3.01.414</t>
  </si>
  <si>
    <t>ROSINEIDE MARIA DA SILVA LIMA COMERCIO E SERVICOS DE MA</t>
  </si>
  <si>
    <t>2.1.3.01.416</t>
  </si>
  <si>
    <t>PEROLA COMERCIO DE EMBALAGENS LTDA ME</t>
  </si>
  <si>
    <t>2.1.3.01.421</t>
  </si>
  <si>
    <t>LUCIANO ALVES RODRIGUES</t>
  </si>
  <si>
    <t>2.1.3.01.430</t>
  </si>
  <si>
    <t>ASSOCIACAO INSTITUTO DE TECNOLOGIA DE PERNAMBUCO ITEP</t>
  </si>
  <si>
    <t>2.1.3.01.431</t>
  </si>
  <si>
    <t>ROSEMA PEREIRA DO NASCIMENTO EXTINTORES ME</t>
  </si>
  <si>
    <t>2.1.3.01.433</t>
  </si>
  <si>
    <t>IVANILDO LEANDRO DO NASCIMENTO JUNIOR 05353677404</t>
  </si>
  <si>
    <t>2.1.3.01.434</t>
  </si>
  <si>
    <t>E L MATERIAL DE CONSTRUCAO LTDA EPP</t>
  </si>
  <si>
    <t>2.1.3.01.436</t>
  </si>
  <si>
    <t>REDIESEL RECIFE AUTODIESEL LTDA (BR101)</t>
  </si>
  <si>
    <t>2.1.3.01.442</t>
  </si>
  <si>
    <t>VILMA GOMES F DE OLIVEIRA-ME</t>
  </si>
  <si>
    <t>2.1.3.01.443</t>
  </si>
  <si>
    <t>INDUSTRADE REPRESENTACOES INTERNACIONAIS E COMERCIO LTD</t>
  </si>
  <si>
    <t>2.1.3.01.446</t>
  </si>
  <si>
    <t>TECHNICO NORTE LTDA</t>
  </si>
  <si>
    <t>2.1.3.01.448</t>
  </si>
  <si>
    <t>CASA DAS TINTAS COMERCIO DE MATERIAIS DE CONSTRUCA</t>
  </si>
  <si>
    <t>2.1.3.01.450</t>
  </si>
  <si>
    <t>JR AGRO SERVICOS TECNICOS LTDA - ME</t>
  </si>
  <si>
    <t>2.1.3.01.451</t>
  </si>
  <si>
    <t>RAPHAEL ANTUNES PINHEIRO 02631236424</t>
  </si>
  <si>
    <t>2.1.3.01.452</t>
  </si>
  <si>
    <t>MARCELA EMILIA BEZERRA DOS SANTOS 05617038419</t>
  </si>
  <si>
    <t>2.1.3.01.454</t>
  </si>
  <si>
    <t>ELIZABETH APARECIDA DE MELO COMBUSTIVEIS</t>
  </si>
  <si>
    <t>2.1.3.01.455</t>
  </si>
  <si>
    <t>ALHO LUCAS COMERCIO DE ALIMENTOS LTDA - ME</t>
  </si>
  <si>
    <t>2.1.3.01.462</t>
  </si>
  <si>
    <t>MUNDO DAS CORREIAS EIRELI</t>
  </si>
  <si>
    <t>2.1.3.01.463</t>
  </si>
  <si>
    <t>JOSE ANTONIO DA SILVA ABACAXI ME</t>
  </si>
  <si>
    <t>2.1.3.01.464</t>
  </si>
  <si>
    <t>C. M. DOMINGUES DE CARVALHO MATERIAS DE CONSTRUCAO EIRELI</t>
  </si>
  <si>
    <t>2.1.3.01.465</t>
  </si>
  <si>
    <t>CAMILA FERREIRA CARNEIRO DE LIMA</t>
  </si>
  <si>
    <t>2.1.3.01.466</t>
  </si>
  <si>
    <t>L J BARBOSA DE MELO MANUTENCAO E REPARACAO</t>
  </si>
  <si>
    <t>2.1.3.01.468</t>
  </si>
  <si>
    <t>MOB2CON SOLUCOES TECNOLOGICAS LTDA</t>
  </si>
  <si>
    <t>2.1.3.01.469</t>
  </si>
  <si>
    <t>2.1.3.01.470</t>
  </si>
  <si>
    <t>JAIR BERNARDINO LOPES 03030444465</t>
  </si>
  <si>
    <t>2.1.3.01.473</t>
  </si>
  <si>
    <t>PAIVA &amp; OLIVEIRA HORTIFRUTI LTDA</t>
  </si>
  <si>
    <t>2.1.3.01.474</t>
  </si>
  <si>
    <t>A S DE OLIVEIRA FRUTAS</t>
  </si>
  <si>
    <t>2.1.3.01.480</t>
  </si>
  <si>
    <t>RAYANE VALERIA BARBOSA FERNANDES LTDA</t>
  </si>
  <si>
    <t>2.1.3.01.482</t>
  </si>
  <si>
    <t>ERICA DE LIMA SALGADO HORTIFRUTIGRANJEIROS</t>
  </si>
  <si>
    <t>2.1.3.01.485</t>
  </si>
  <si>
    <t>CARTJET COMERCIO LTDA-ME</t>
  </si>
  <si>
    <t>2.1.3.01.486</t>
  </si>
  <si>
    <t>ELEUZINA PINHEIRO FLORENCIO AUT PECA SER AUTOMOTIVOS ME</t>
  </si>
  <si>
    <t>2.1.3.01.487</t>
  </si>
  <si>
    <t>FABIO PEREIRA DO NASCIMENTO 69815844415</t>
  </si>
  <si>
    <t>2.1.3.01.489</t>
  </si>
  <si>
    <t>COMERCIAL MOURA  SILVA LTDA</t>
  </si>
  <si>
    <t>2.1.3.01.490</t>
  </si>
  <si>
    <t>O F DE SA FILHO CARGAS</t>
  </si>
  <si>
    <t>2.1.3.01.491</t>
  </si>
  <si>
    <t>ALLTAPE FITAS ADESIVAS DO NORDESTE LTDA</t>
  </si>
  <si>
    <t>2.1.3.01.493</t>
  </si>
  <si>
    <t>KIVERDE HORTIFRUTI LTDA</t>
  </si>
  <si>
    <t>2.1.3.01.496</t>
  </si>
  <si>
    <t>GRAZIELA CAMPOS DE OLIVEIRA 10534706495</t>
  </si>
  <si>
    <t>2.1.3.01.499</t>
  </si>
  <si>
    <t>M. G. S. COMERCIO E IMPORTACAO DE PECAS LTDA.</t>
  </si>
  <si>
    <t>2.1.3.01.500</t>
  </si>
  <si>
    <t>Z &amp; C COMERCIO DE PLASTICOS LTDA EPP</t>
  </si>
  <si>
    <t>2.1.3.01.506</t>
  </si>
  <si>
    <t>PAULO RICARDO SILVA DE LIMA 62120719420</t>
  </si>
  <si>
    <t>2.1.3.01.508</t>
  </si>
  <si>
    <t>R A DA SILVA PONTO DE COLETA</t>
  </si>
  <si>
    <t>2.1.3.01.512</t>
  </si>
  <si>
    <t>GISLANE DO PRADO SANTANA 05564858581</t>
  </si>
  <si>
    <t>2.1.3.01.517</t>
  </si>
  <si>
    <t>EZEQUIEL FELISBERTO DE CARVALHO</t>
  </si>
  <si>
    <t>2.1.3.01.519</t>
  </si>
  <si>
    <t>SIVANILDO RAMOS DOS SANTOS 00992278430</t>
  </si>
  <si>
    <t>2.1.3.01.521</t>
  </si>
  <si>
    <t>FILIMAX COMERCIO DE EQUIPAMENTOS LTDA ME</t>
  </si>
  <si>
    <t>2.1.3.01.522</t>
  </si>
  <si>
    <t>Carol S de Albuquerque - Minimerca</t>
  </si>
  <si>
    <t>2.1.3.01.523</t>
  </si>
  <si>
    <t>P N VIANA</t>
  </si>
  <si>
    <t>2.1.3.01.525</t>
  </si>
  <si>
    <t>MOOVECOM ASSESSORIA LTDA ME</t>
  </si>
  <si>
    <t>2.1.3.01.527</t>
  </si>
  <si>
    <t>NORDESTE DISTRIBUIDORA ATACADISTA DE HORTIFRUTIGRANJEIROS LT</t>
  </si>
  <si>
    <t>2.1.3.01.531</t>
  </si>
  <si>
    <t>ORGANIZACAO POTENGI LTDA.</t>
  </si>
  <si>
    <t>2.1.3.01.538</t>
  </si>
  <si>
    <t>FACI.LY SOLUCOES E TECNOLOGIA LTDA.</t>
  </si>
  <si>
    <t>2.1.4</t>
  </si>
  <si>
    <t>OBRIGAÇÕES TRIBUTÁRIAS</t>
  </si>
  <si>
    <t>2.1.4.01</t>
  </si>
  <si>
    <t>IMPOSTOS E CONTRIBUIÇÕES A RECOLHER</t>
  </si>
  <si>
    <t>2.1.4.01.002</t>
  </si>
  <si>
    <t>ICMS A RECOLHER</t>
  </si>
  <si>
    <t>2.1.4.01.006</t>
  </si>
  <si>
    <t>IMPOSTO DE RENDA A RECOLHER</t>
  </si>
  <si>
    <t>2.1.4.01.007</t>
  </si>
  <si>
    <t>CONTRIBUIÇÃO SOCIAL A RECOLHER</t>
  </si>
  <si>
    <t>PIS A RECOLHER</t>
  </si>
  <si>
    <t>COFINS A RECOLHER</t>
  </si>
  <si>
    <t>2.1.4.01.013</t>
  </si>
  <si>
    <t>ISS RETIDO A RECOLHER</t>
  </si>
  <si>
    <t>2.1.4.02</t>
  </si>
  <si>
    <t>PARCELAMENTO TRIBUTÁRIO</t>
  </si>
  <si>
    <t>2.1.4.02.2001</t>
  </si>
  <si>
    <t>PARCELAMENTO SIMPLES NACIONAL</t>
  </si>
  <si>
    <t>2.1.5</t>
  </si>
  <si>
    <t>OBRIGAÇÕES TRABALHISTA E PREVIDENCIÁRIA</t>
  </si>
  <si>
    <t>2.1.5.01</t>
  </si>
  <si>
    <t>OBRIGAÇÕES COM O PESSOAL</t>
  </si>
  <si>
    <t>2.1.5.01.001</t>
  </si>
  <si>
    <t>SALÁRIOS E ORDENADOS A PAGAR</t>
  </si>
  <si>
    <t>2.1.5.01.004</t>
  </si>
  <si>
    <t>RESCISÃO A PAGAR</t>
  </si>
  <si>
    <t>2.1.5.02</t>
  </si>
  <si>
    <t>OBRIGAÇÕES SOCIAIS</t>
  </si>
  <si>
    <t>2.1.5.02.002</t>
  </si>
  <si>
    <t>FGTS A RECOLHER</t>
  </si>
  <si>
    <t>2.1.5.02.005</t>
  </si>
  <si>
    <t>IRRF S/ FOLHA</t>
  </si>
  <si>
    <t>2.1.5.02.006</t>
  </si>
  <si>
    <t>CPP SEGURADOS</t>
  </si>
  <si>
    <t>2.1.5.02.007</t>
  </si>
  <si>
    <t>CPP PATRONAL</t>
  </si>
  <si>
    <t>2.1.5.02.008</t>
  </si>
  <si>
    <t>CPP TERCEIROS</t>
  </si>
  <si>
    <t>2.1.5.03</t>
  </si>
  <si>
    <t>PROVISÕES</t>
  </si>
  <si>
    <t>2.1.5.03.001</t>
  </si>
  <si>
    <t>PROVISÕES PARA FÉRIAS</t>
  </si>
  <si>
    <t>2.1.5.03.002</t>
  </si>
  <si>
    <t>INSS SOBRE PROVISÕES PARA FÉRIAS</t>
  </si>
  <si>
    <t>2.1.5.03.003</t>
  </si>
  <si>
    <t>FGTS SOBRE PROVISÕES PARA FÉRIAS</t>
  </si>
  <si>
    <t>2.1.5.03.004</t>
  </si>
  <si>
    <t>PROVISÕES PARA 13º SALÁRIO</t>
  </si>
  <si>
    <t>2.1.5.03.005</t>
  </si>
  <si>
    <t>INSS SOBRE PROVISÕES PARA 13º SALÁRIO</t>
  </si>
  <si>
    <t>2.1.5.03.006</t>
  </si>
  <si>
    <t>FGTS SOBRE PROVISÕES PARA 13º SALÁRIO</t>
  </si>
  <si>
    <t>2.1.6</t>
  </si>
  <si>
    <t>OUTRAS OBRIGAÇÕES</t>
  </si>
  <si>
    <t>2.1.6.01</t>
  </si>
  <si>
    <t>ADIANTAMENTOS A CLIENTES</t>
  </si>
  <si>
    <t>2.1.6.01.006</t>
  </si>
  <si>
    <t>MAIS VERDE LTDA</t>
  </si>
  <si>
    <t>2.1.6.02</t>
  </si>
  <si>
    <t>CONTAS A PAGAR</t>
  </si>
  <si>
    <t>2.1.6.02.007</t>
  </si>
  <si>
    <t>ALUGUEIS A PAGAR</t>
  </si>
  <si>
    <t>2.1.6.03</t>
  </si>
  <si>
    <t>ENERGIA ELÉTRICA, ÁGUA E TELEFONE A PAGA</t>
  </si>
  <si>
    <t>2.1.6.03.001</t>
  </si>
  <si>
    <t>ENERGIA A PAGAR</t>
  </si>
  <si>
    <t>2.1.6.03.002</t>
  </si>
  <si>
    <t>AGUA A PAGAR</t>
  </si>
  <si>
    <t>2.2</t>
  </si>
  <si>
    <t>PASSIVO NÃO-CIRCULANTE</t>
  </si>
  <si>
    <t>2.2.1</t>
  </si>
  <si>
    <t>PASSIVO NÃO CIRCULANTE</t>
  </si>
  <si>
    <t>2.2.1.01</t>
  </si>
  <si>
    <t>2.2.1.01.001</t>
  </si>
  <si>
    <t>2.2.1.01.002</t>
  </si>
  <si>
    <t>2.2.1.01.003</t>
  </si>
  <si>
    <t>2.2.1.01.004</t>
  </si>
  <si>
    <t>2.2.1.08</t>
  </si>
  <si>
    <t>EMPRÉSTIMOS DE SOCIEDADES COLIGADAS OU SOCIOS</t>
  </si>
  <si>
    <t>2.2.1.08.001</t>
  </si>
  <si>
    <t>JOSÉ DA SILVA SANTOS</t>
  </si>
  <si>
    <t>2.3</t>
  </si>
  <si>
    <t>PATRIMÔNIO LÍQUIDO</t>
  </si>
  <si>
    <t>2.3.1</t>
  </si>
  <si>
    <t>CAPITAL SOCIAL</t>
  </si>
  <si>
    <t>2.3.1.01</t>
  </si>
  <si>
    <t>CAPITAL SUBSCRITO</t>
  </si>
  <si>
    <t>2.3.1.01.001</t>
  </si>
  <si>
    <t>2.3.1.01.002</t>
  </si>
  <si>
    <t>SUZANA LUCICLEA B. DOS SANTOS</t>
  </si>
  <si>
    <t>2.3.5</t>
  </si>
  <si>
    <t>LUCROS OU PREJUÍZOS ACUMULADOS</t>
  </si>
  <si>
    <t>2.3.5.01</t>
  </si>
  <si>
    <t>2.3.5.01.001</t>
  </si>
  <si>
    <t>LUCROS/PREJUIZOS ACUMULADOS</t>
  </si>
  <si>
    <t>2.3.5.01.023</t>
  </si>
  <si>
    <t>RESULTADO 1º TRIMESTRE 2022</t>
  </si>
  <si>
    <t>3</t>
  </si>
  <si>
    <t>CONTAS DE RESULTADOS - CUSTOS E DESPESAS</t>
  </si>
  <si>
    <t>3.1</t>
  </si>
  <si>
    <t>CUSTOS</t>
  </si>
  <si>
    <t>3.1.1</t>
  </si>
  <si>
    <t>CUSTOS FOLHA</t>
  </si>
  <si>
    <t>3.1.1.02</t>
  </si>
  <si>
    <t>3.1.1.02.001</t>
  </si>
  <si>
    <t>SALÁRIOS E ORDENADOS</t>
  </si>
  <si>
    <t>3.1.1.02.003</t>
  </si>
  <si>
    <t>PRÊMIOS DE GRATIFICAÇÕES</t>
  </si>
  <si>
    <t>3.1.1.02.004</t>
  </si>
  <si>
    <t>13º SALÁRIO</t>
  </si>
  <si>
    <t>3.1.1.02.005</t>
  </si>
  <si>
    <t>FÉRIAS</t>
  </si>
  <si>
    <t>3.1.1.02.006</t>
  </si>
  <si>
    <t>3.1.1.02.007</t>
  </si>
  <si>
    <t>FGTS</t>
  </si>
  <si>
    <t>3.1.1.02.008</t>
  </si>
  <si>
    <t>INDENIZAÇÕES E AVISO PRÉVIO</t>
  </si>
  <si>
    <t>3.1.1.02.009</t>
  </si>
  <si>
    <t>ASSISTÊNCIA MÉDICA E SOCIAL</t>
  </si>
  <si>
    <t>HORAS EXTRAS</t>
  </si>
  <si>
    <t>3.1.1.02.012</t>
  </si>
  <si>
    <t>DESPESAS COM ALIMENTAÇÃO</t>
  </si>
  <si>
    <t>3.1.1.02.013</t>
  </si>
  <si>
    <t>3.1.1.02.017</t>
  </si>
  <si>
    <t>3.1.1.02.020</t>
  </si>
  <si>
    <t>PROVISÃO DE ENCARGOS FGTS DE FERIAS / 13º SALARIO</t>
  </si>
  <si>
    <t>3.1.1.02.021</t>
  </si>
  <si>
    <t>PROVISÃO DE ENCARGOS INSS DE FERIAS / 13º SALARIO</t>
  </si>
  <si>
    <t>3.1.4</t>
  </si>
  <si>
    <t>CUSTOS DE MERCADORIAS</t>
  </si>
  <si>
    <t>3.1.4.01</t>
  </si>
  <si>
    <t>CUSTOS DE MERCADORIAS ADQUIRIDAS</t>
  </si>
  <si>
    <t>3.1.4.01.003</t>
  </si>
  <si>
    <t>BONIFICAÇÃO</t>
  </si>
  <si>
    <t>3.1.7</t>
  </si>
  <si>
    <t>CUSTOS DAS MERCADORIAS VENDIDAS</t>
  </si>
  <si>
    <t>3.1.7.01</t>
  </si>
  <si>
    <t>3.1.7.01.001</t>
  </si>
  <si>
    <t>3.1.7.01.002</t>
  </si>
  <si>
    <t>BAIXA DE ESTOQUE - PERDAS</t>
  </si>
  <si>
    <t>3.2</t>
  </si>
  <si>
    <t>DESPESAS OPERACIONAIS</t>
  </si>
  <si>
    <t>3.2.1</t>
  </si>
  <si>
    <t>DESPESAS COMERCIAIS</t>
  </si>
  <si>
    <t>3.2.1.04</t>
  </si>
  <si>
    <t>OUTRAS DESPESAS COMERCIAIS</t>
  </si>
  <si>
    <t>3.2.1.04.001</t>
  </si>
  <si>
    <t>FRETES E CARRETOS</t>
  </si>
  <si>
    <t>3.2.1.04.004</t>
  </si>
  <si>
    <t>COMBUSTÍVEL</t>
  </si>
  <si>
    <t>3.2.1.04.007</t>
  </si>
  <si>
    <t>MANUTENÇÃO E REPARO DE VEÍCULOS</t>
  </si>
  <si>
    <t>3.2.1.04.008</t>
  </si>
  <si>
    <t>ALUGUEL DE MAQUINAS E EQUIPAMENTOS</t>
  </si>
  <si>
    <t>3.2.1.04.009</t>
  </si>
  <si>
    <t>SERV. PROMOÇÃO NO PONTO</t>
  </si>
  <si>
    <t>3.2.1.04.011</t>
  </si>
  <si>
    <t>SEGUROS</t>
  </si>
  <si>
    <t>3.2.1.04.013</t>
  </si>
  <si>
    <t xml:space="preserve">PROMOÇÕES DE VENDAS </t>
  </si>
  <si>
    <t>3.2.2</t>
  </si>
  <si>
    <t>DESPESAS ADMINISTRATIVAS</t>
  </si>
  <si>
    <t>3.2.2.01</t>
  </si>
  <si>
    <t>3.2.2.01.001</t>
  </si>
  <si>
    <t>3.2.2.01.004</t>
  </si>
  <si>
    <t>3.2.2.01.005</t>
  </si>
  <si>
    <t>3.2.2.01.006</t>
  </si>
  <si>
    <t>3.2.2.01.007</t>
  </si>
  <si>
    <t>3.2.2.01.008</t>
  </si>
  <si>
    <t>3.2.2.01.009</t>
  </si>
  <si>
    <t>3.2.2.01.013</t>
  </si>
  <si>
    <t>3.2.2.01.015</t>
  </si>
  <si>
    <t>3.2.2.01.016</t>
  </si>
  <si>
    <t>3.2.2.03</t>
  </si>
  <si>
    <t>IMPOSTOS, TAXAS E CONTRIBUIÇÕES</t>
  </si>
  <si>
    <t>3.2.2.03.004</t>
  </si>
  <si>
    <t>3.2.2.03.005</t>
  </si>
  <si>
    <t>TAXAS DIVERSAS</t>
  </si>
  <si>
    <t>3.2.2.03.008</t>
  </si>
  <si>
    <t>CIM</t>
  </si>
  <si>
    <t>3.2.2.04</t>
  </si>
  <si>
    <t>DESPESAS GERAIS</t>
  </si>
  <si>
    <t>3.2.2.04.001</t>
  </si>
  <si>
    <t>ENERGIA ELÉTRICA</t>
  </si>
  <si>
    <t>3.2.2.04.002</t>
  </si>
  <si>
    <t>ÁGUA E ESGOTO</t>
  </si>
  <si>
    <t>3.2.2.04.003</t>
  </si>
  <si>
    <t>TELEFONE</t>
  </si>
  <si>
    <t>3.2.2.04.006</t>
  </si>
  <si>
    <t>MATERIAL DE ESCRITÓRIO</t>
  </si>
  <si>
    <t>3.2.2.04.007</t>
  </si>
  <si>
    <t>MATERIAL DE HIGIENE E LIMPEZA</t>
  </si>
  <si>
    <t>3.2.2.04.008</t>
  </si>
  <si>
    <t>ASSISTÊNCIA CONTÁBIL</t>
  </si>
  <si>
    <t>3.2.2.04.010</t>
  </si>
  <si>
    <t>DEPRECIAÇÕES E AMORTIZAÇÕES</t>
  </si>
  <si>
    <t>3.2.2.04.015</t>
  </si>
  <si>
    <t>CARTÃO CORPORATIVO</t>
  </si>
  <si>
    <t>3.2.2.04.017</t>
  </si>
  <si>
    <t>MANUTENÇÃO E REPARO</t>
  </si>
  <si>
    <t>3.2.2.04.020</t>
  </si>
  <si>
    <t>SERVIÇOS DE LIMPEZA E DEDETIZAÇÃO</t>
  </si>
  <si>
    <t>3.2.2.04.021</t>
  </si>
  <si>
    <t>SERVIÇOS DE VIGILÂNCIA</t>
  </si>
  <si>
    <t>3.2.2.04.023</t>
  </si>
  <si>
    <t>SERVIÇOS DE CONSULTORIA</t>
  </si>
  <si>
    <t>3.2.2.04.025</t>
  </si>
  <si>
    <t>3.2.2.04.028</t>
  </si>
  <si>
    <t>MATERIAL DE CONSUMO</t>
  </si>
  <si>
    <t>3.2.2.04.030</t>
  </si>
  <si>
    <t>TRANSPORTES E DESLOCAMENTOS</t>
  </si>
  <si>
    <t>3.2.2.04.032</t>
  </si>
  <si>
    <t>INTERNET</t>
  </si>
  <si>
    <t>3.2.2.04.033</t>
  </si>
  <si>
    <t>BENS DE PEQUENO VALOR</t>
  </si>
  <si>
    <t>3.2.2.04.034</t>
  </si>
  <si>
    <t>ENTIDADES E ASSOCIAÇÕES</t>
  </si>
  <si>
    <t>LANCHES E REFEIÇÕES</t>
  </si>
  <si>
    <t>3.2.2.04.035</t>
  </si>
  <si>
    <t>MATERIAIS DE EPI</t>
  </si>
  <si>
    <t>3.2.2.04.037</t>
  </si>
  <si>
    <t>ESTACIONAMENTO/PEDÁGIO</t>
  </si>
  <si>
    <t>3.2.2.04.039</t>
  </si>
  <si>
    <t>ALUGUEL DE IMOVEL</t>
  </si>
  <si>
    <t>3.2.2.05</t>
  </si>
  <si>
    <t>DESPESAS FINANCEIRAS</t>
  </si>
  <si>
    <t>3.2.2.05.001</t>
  </si>
  <si>
    <t>JUROS PASSIVOS</t>
  </si>
  <si>
    <t>3.2.2.05.003</t>
  </si>
  <si>
    <t>JUROS S/ ANTECIPACAO COMERCIAL</t>
  </si>
  <si>
    <t>3.2.2.05.004</t>
  </si>
  <si>
    <t>DESCONTO CONCEDIDOS</t>
  </si>
  <si>
    <t>3.2.2.05.005</t>
  </si>
  <si>
    <t>JUROS DE MORA</t>
  </si>
  <si>
    <t>3.2.2.05.007</t>
  </si>
  <si>
    <t>JUROS E COMISSÕES BANCÁRIAS</t>
  </si>
  <si>
    <t>3.2.2.05.008</t>
  </si>
  <si>
    <t>JUROS SOBRE EMPRÉSTIMOS E FINANCIAMENTOS</t>
  </si>
  <si>
    <t>3.2.2.06</t>
  </si>
  <si>
    <t>OUTRAS DESPESAS OPERACIONAIS</t>
  </si>
  <si>
    <t>3.2.2.06.004</t>
  </si>
  <si>
    <t>OUTRAS DESPESAS</t>
  </si>
  <si>
    <t>3.3</t>
  </si>
  <si>
    <t>APURAÇÃO IMPOSTOS SOBRE LUCRO</t>
  </si>
  <si>
    <t>3.3.1</t>
  </si>
  <si>
    <t>CSLL E IRPJ</t>
  </si>
  <si>
    <t>3.3.1.00.01</t>
  </si>
  <si>
    <t>(-) CONTRIBUIÇÃO SOCIAL</t>
  </si>
  <si>
    <t>3.3.1.00.2</t>
  </si>
  <si>
    <t>(-) IMPOSTO DE RENDA</t>
  </si>
  <si>
    <t>4</t>
  </si>
  <si>
    <t>CONTAS DE RESULTADO - RECEITAS</t>
  </si>
  <si>
    <t>4.1</t>
  </si>
  <si>
    <t>RECEITAS OPERACIONAIS</t>
  </si>
  <si>
    <t>4.1.1</t>
  </si>
  <si>
    <t>RECEITA BRUTA DE VENDAS E SERVIÇOS</t>
  </si>
  <si>
    <t>4.1.1.01</t>
  </si>
  <si>
    <t>RECEITA BRUTAS DE VENDAS E MERCADORIAS</t>
  </si>
  <si>
    <t>4.1.1.01.003</t>
  </si>
  <si>
    <t>VENDA DE MERCADORIAS</t>
  </si>
  <si>
    <t>4.1.2</t>
  </si>
  <si>
    <t>(-) DEDUÇÕES DA RECEITA BRUTA</t>
  </si>
  <si>
    <t>4.1.2.01</t>
  </si>
  <si>
    <t>(-) CANCELAMENTO E DEVOLUÇÕES</t>
  </si>
  <si>
    <t>4.1.2.01.003</t>
  </si>
  <si>
    <t>(-) DEVOLUÇÃO DE VENDA DE MERCADORIAS</t>
  </si>
  <si>
    <t>4.1.2.03</t>
  </si>
  <si>
    <t>(-) IMPOSTOS SOBRE VENDAS E SERVIÇOS</t>
  </si>
  <si>
    <t>4.1.2.03.002</t>
  </si>
  <si>
    <t>(-) ICMS</t>
  </si>
  <si>
    <t>4.1.2.03.004</t>
  </si>
  <si>
    <t>(-) COFINS</t>
  </si>
  <si>
    <t>4.1.2.03.005</t>
  </si>
  <si>
    <t>(-) PIS</t>
  </si>
  <si>
    <t>4.1.3</t>
  </si>
  <si>
    <t>RECEITAS FINANCEIRAS</t>
  </si>
  <si>
    <t>4.1.3.01</t>
  </si>
  <si>
    <t>JUROS E DESCONTOS</t>
  </si>
  <si>
    <t>4.1.3.01.001</t>
  </si>
  <si>
    <t>JUROS DE APLICAÇÕES</t>
  </si>
  <si>
    <t>4.1.3.01.006</t>
  </si>
  <si>
    <t>JUROS SELIC</t>
  </si>
  <si>
    <t>4.1.5</t>
  </si>
  <si>
    <t>OUTRAS RECEITAS OPERACIONAIS</t>
  </si>
  <si>
    <t>4.1.5.01</t>
  </si>
  <si>
    <t>RECEITAS DIVERSAS</t>
  </si>
  <si>
    <t>4.1.5.01.005</t>
  </si>
  <si>
    <t>CONCILIACAO DE RECEBIMENTOS DE CLIENTES</t>
  </si>
  <si>
    <t>Descrição</t>
  </si>
  <si>
    <t>Janeiro</t>
  </si>
  <si>
    <t>Fevereiro</t>
  </si>
  <si>
    <t>Março</t>
  </si>
  <si>
    <t>Abril</t>
  </si>
  <si>
    <t>Maio</t>
  </si>
  <si>
    <t>Junho</t>
  </si>
  <si>
    <t>BOMPRECO SUPERMERCADOS DO NORDESTE LTDA (B-22)</t>
  </si>
  <si>
    <t>BOMPRECO SUPERMERCADOS DO NORDESTE LTDA (B-270)</t>
  </si>
  <si>
    <t>BOMPRECO SUPERMERCADOS DO NORDESTE LTDA- B-408</t>
  </si>
  <si>
    <t>COMPANHIA BRASILEIRA DE DISTRIBUICAO ( EXTRA MIDWAY ) 1365</t>
  </si>
  <si>
    <t>COMPANHIA BRASILEIRA DE DISTRIBUICAO (EXTRA BENFICA)</t>
  </si>
  <si>
    <t>COMPANHIA BRASILEIRA DE DISTRIBUICAO (EXTRA CANDEIAS)</t>
  </si>
  <si>
    <t>COMPANHIA BRASILEIRA DE DISTRIBUICAO (EXTRA DERBY)</t>
  </si>
  <si>
    <t>COMPANHIA BRASILEIRA DE DISTRIBUICAO (PB- MIRAMAR)</t>
  </si>
  <si>
    <t>COMPANHIA BRASILEIRA DE DISTRIBUICAO (PB-BESSA)</t>
  </si>
  <si>
    <t>COMPANHIA BRASILEIRA DE DISTRIBUICAO(EXTRA SUPER ESPINHEIRO)</t>
  </si>
  <si>
    <t>DMA DISTRIBUIDORA S/A (MINEIRÃO- JP)</t>
  </si>
  <si>
    <t>WAL MART BRASIL LTDA ( ALAGOAS)</t>
  </si>
  <si>
    <t>WMS SUPERMERCADOS DO BRASIL LTDA</t>
  </si>
  <si>
    <t>WMS SUPERMERCADOS DO BRASIL LTDA (MAXXI AL)</t>
  </si>
  <si>
    <t>EKAUT CERVEJARIA ARTESANAL LTDA</t>
  </si>
  <si>
    <t>DS BOA VISTA</t>
  </si>
  <si>
    <t>RESTAURANTE BURGOGUI</t>
  </si>
  <si>
    <t>1.1.2.01.1002</t>
  </si>
  <si>
    <t>COD COMERCIO DE ALIMENTOS E BEBIDAS LTDA (DOC)</t>
  </si>
  <si>
    <t>1.1.3.05.051</t>
  </si>
  <si>
    <t>1.1.3.05.072</t>
  </si>
  <si>
    <t>MARCONIEL FONTE OLIVEIRA - ME</t>
  </si>
  <si>
    <t>1.1.3.05.073</t>
  </si>
  <si>
    <t>1.1.3.05.076</t>
  </si>
  <si>
    <t>1.1.3.06.004</t>
  </si>
  <si>
    <t>EMPRESTIMOS A FUNCIONARIOS</t>
  </si>
  <si>
    <t>1.1.3.08.003</t>
  </si>
  <si>
    <t>IRRF A RECUPERAR</t>
  </si>
  <si>
    <t>1.1.3.08.017</t>
  </si>
  <si>
    <t>ICMS S/ IMOBILIZADO</t>
  </si>
  <si>
    <t>1.1.3.08.018</t>
  </si>
  <si>
    <t>IRPJ A COMPENSAR</t>
  </si>
  <si>
    <t>1.1.3.08.019</t>
  </si>
  <si>
    <t>CSLL A COMPENSAR</t>
  </si>
  <si>
    <t>A P BARBOSA DA SILVA CORDEIRO HORTFRUTI - ME</t>
  </si>
  <si>
    <t>Atlantic Internacional Ltda. ME</t>
  </si>
  <si>
    <t>BARTOLOMEU LUZ E SFILHO</t>
  </si>
  <si>
    <t>CARLOS ALBERTO DA SILVA</t>
  </si>
  <si>
    <t>ECOCERT BRASIL CERTIFICADORA LTDA</t>
  </si>
  <si>
    <t>ELEUZINA PINHEIRO FLORENCIO-AUTO PECAS E SERV AUTO</t>
  </si>
  <si>
    <t>HC PNEUS</t>
  </si>
  <si>
    <t>Zpack Comercio de Embalagens Eireli</t>
  </si>
  <si>
    <t>ZUCCA ALIMENTOS LTDA</t>
  </si>
  <si>
    <t>2.1.3.01.101</t>
  </si>
  <si>
    <t>DEDÉ DAS BATERIAS JOSÉ A C BATISTA</t>
  </si>
  <si>
    <t>2.1.3.01.121</t>
  </si>
  <si>
    <t>JS DISTRIBUIDORA DE PECAS S/A - PE (RECIFE)</t>
  </si>
  <si>
    <t>2.1.3.01.292</t>
  </si>
  <si>
    <t>JOAO FERREIRA DE ALMEIDA</t>
  </si>
  <si>
    <t>2.1.3.01.301</t>
  </si>
  <si>
    <t>FLAVIO AUGUSTO DE OLIVEIRA RAMOS DA SILVA ME</t>
  </si>
  <si>
    <t>2.1.3.01.307</t>
  </si>
  <si>
    <t>ELINE ALMEIDA</t>
  </si>
  <si>
    <t>2.1.3.01.323</t>
  </si>
  <si>
    <t>ADRIANO BEZERRA ALVES DE LIMA</t>
  </si>
  <si>
    <t>2.1.3.01.327</t>
  </si>
  <si>
    <t>A.R hortalicas EIRELI</t>
  </si>
  <si>
    <t>2.1.3.01.328</t>
  </si>
  <si>
    <t>I F DA SILVA COM DE HORTIFRUTIGRANJEIROS</t>
  </si>
  <si>
    <t>2.1.3.01.334</t>
  </si>
  <si>
    <t>FRIGELAR COMERCIO E INDUSTRIA LTDA</t>
  </si>
  <si>
    <t>2.1.3.01.396</t>
  </si>
  <si>
    <t>W W ARAUJO SIQUEIRA</t>
  </si>
  <si>
    <t>2.1.3.01.420</t>
  </si>
  <si>
    <t>JS HIDRAULICA E PNEUMATICA LTDA ME</t>
  </si>
  <si>
    <t>2.1.3.01.424</t>
  </si>
  <si>
    <t>GRAUPLAST EMBALAGENS FLEXIVEIS LTDA</t>
  </si>
  <si>
    <t>2.1.3.01.458</t>
  </si>
  <si>
    <t>DELL COMPUTADORES DO BRASIL LTDA</t>
  </si>
  <si>
    <t>2.1.3.01.461</t>
  </si>
  <si>
    <t>JOSE OMENA PRIMO 17062900478</t>
  </si>
  <si>
    <t>PREVENCAO ASSESSORIA EM SEGURANCA E MEDICINA DO TRABALHO LTD</t>
  </si>
  <si>
    <t>2.1.3.01.472</t>
  </si>
  <si>
    <t>S. F. MARQUES EMBALAGENS PLASTICAS LTDA</t>
  </si>
  <si>
    <t>2.1.3.01.476</t>
  </si>
  <si>
    <t>GILDA BARBOSA DE OLIVEIRA</t>
  </si>
  <si>
    <t>2.1.3.01.503</t>
  </si>
  <si>
    <t>ADRIANA M DA SILVA</t>
  </si>
  <si>
    <t>2.1.3.01.516</t>
  </si>
  <si>
    <t>LUIZ FRANCISCO DA SILVA FILHO</t>
  </si>
  <si>
    <t>2.1.3.01.518</t>
  </si>
  <si>
    <t>SEMF SERVICOS METROLOGICOS LTDA</t>
  </si>
  <si>
    <t>2.1.3.01.528</t>
  </si>
  <si>
    <t>CASSIA MARIA DE BARROS 02340896444</t>
  </si>
  <si>
    <t>2.1.5.01.007</t>
  </si>
  <si>
    <t xml:space="preserve">ACORDO JUDICIAL TRABALHISTA </t>
  </si>
  <si>
    <t>2.1.6.02.005</t>
  </si>
  <si>
    <t>IPVA A PAGAR</t>
  </si>
  <si>
    <t>2.1.6.02.006</t>
  </si>
  <si>
    <t>CIM A PAGAR</t>
  </si>
  <si>
    <t>2.3.5.01.024</t>
  </si>
  <si>
    <t>RESULTADO 2º TRIMESTRE 2022</t>
  </si>
  <si>
    <t>DESCRIÇÃO</t>
  </si>
  <si>
    <t>JUNHO</t>
  </si>
  <si>
    <t>JANEIRO</t>
  </si>
  <si>
    <t>RECEITA</t>
  </si>
  <si>
    <t>DEDUCOES</t>
  </si>
  <si>
    <t>RECEITA LIQUIDA</t>
  </si>
  <si>
    <t>CMV</t>
  </si>
  <si>
    <t>PERDAS</t>
  </si>
  <si>
    <t>LUCRO BRUTO</t>
  </si>
  <si>
    <t>OUTRAS RECEITAS</t>
  </si>
  <si>
    <t>LUCRO OU PREJUÍZO OPERACIONAL</t>
  </si>
  <si>
    <t xml:space="preserve">RECEITA FINANCEIRA </t>
  </si>
  <si>
    <t>DESPESA FINANCEIRA</t>
  </si>
  <si>
    <t>LAIR</t>
  </si>
  <si>
    <t>IRPJ/CSLL</t>
  </si>
  <si>
    <t>L.L.E</t>
  </si>
  <si>
    <t>DEPRECIAÇÃO</t>
  </si>
  <si>
    <t>DEPRECIAÇÕES - TOTAL</t>
  </si>
  <si>
    <t>Peso do CMV s/Receita Liquida</t>
  </si>
  <si>
    <t>Peso das Despesas Comerciais s/Receita Líquida</t>
  </si>
  <si>
    <t>Peso do custo capital terceiro s/RL</t>
  </si>
  <si>
    <t>EBTIDA</t>
  </si>
  <si>
    <t>Margem de lucro bruta</t>
  </si>
  <si>
    <t>Margem de lucro Operacional</t>
  </si>
  <si>
    <t>Margem de Lucro liquida</t>
  </si>
  <si>
    <t>FEVEREIRO</t>
  </si>
  <si>
    <t>MARÇO</t>
  </si>
  <si>
    <t>ABRIL</t>
  </si>
  <si>
    <t>MAIO</t>
  </si>
  <si>
    <t>TOTAL</t>
  </si>
  <si>
    <t>Índice de Liquidez Geral</t>
  </si>
  <si>
    <t>Índice de Liquidez Corrente</t>
  </si>
  <si>
    <t>Índice de Liquidez Seca</t>
  </si>
  <si>
    <t>Capital Circulante Líquido</t>
  </si>
  <si>
    <t>Índice de Liquidez Imediata</t>
  </si>
  <si>
    <t>ATIVIDADES OPERACIONAIS</t>
  </si>
  <si>
    <t>Recebimento de Valores Recebidos de Clientes</t>
  </si>
  <si>
    <t>Pagamento de Adiantamentos a Fornecedores</t>
  </si>
  <si>
    <t>Pagamento de Adiantamento a Empregados</t>
  </si>
  <si>
    <t>Pagamento de Estoque</t>
  </si>
  <si>
    <t>Pagamento de Despesas Pagas Antecipadamente</t>
  </si>
  <si>
    <t>Pagamento de Valores Pagos a Fornecedores</t>
  </si>
  <si>
    <t>Pagamento de Obrigações Tributárias</t>
  </si>
  <si>
    <t>Pagamento de Obrigações Trabalhistas</t>
  </si>
  <si>
    <t>Pagamento de Outras Obrigações</t>
  </si>
  <si>
    <t>Pagamento de Outras Despesas</t>
  </si>
  <si>
    <t>CAIXA LÍQUIDO PROVENIENTE DAS ATIVIDADES OPERACIONAIS</t>
  </si>
  <si>
    <t>ATIVIDADES DE FINANCIAMENTO</t>
  </si>
  <si>
    <t>Pagamento de Empréstimos a Terceiros</t>
  </si>
  <si>
    <t>CAIXA LÍQUIDO GERADO PELAS ATIVIDADES DE FINANCIAMENTOS</t>
  </si>
  <si>
    <t>Redução nas Disponibilidades</t>
  </si>
  <si>
    <t>DISPONIBILIDADES - NO INÍCIO DO PERÍODO</t>
  </si>
  <si>
    <t>DISPONIBILIDADES - NO FINAL DO PERÍODO</t>
  </si>
  <si>
    <t>VALOR</t>
  </si>
  <si>
    <t>DEMONSTRAÇÃO DO FLUXO DE CAIXA EM 30/06/2022</t>
  </si>
  <si>
    <t>COEFICIENTES</t>
  </si>
  <si>
    <t xml:space="preserve">DEMONSTRAÇÃO DE RESULTADO EXERCÍCIO E INDÍCES             </t>
  </si>
  <si>
    <t>Data</t>
  </si>
  <si>
    <t>Histórico</t>
  </si>
  <si>
    <t>Cta.C.Part.</t>
  </si>
  <si>
    <t>Conta</t>
  </si>
  <si>
    <t>JULHO</t>
  </si>
  <si>
    <t>Julho</t>
  </si>
  <si>
    <t>SUPERMERCADO NORDESTAO LTDA (L.08)</t>
  </si>
  <si>
    <t>RERYSON BARBOSA FERNANDES</t>
  </si>
  <si>
    <t>PERBONI &amp; PERBONI LTDA</t>
  </si>
  <si>
    <t>1.1.3.05.083</t>
  </si>
  <si>
    <t xml:space="preserve">HORTA FÁCIL </t>
  </si>
  <si>
    <t>1.2.2</t>
  </si>
  <si>
    <t>2.1.3.01.194</t>
  </si>
  <si>
    <t>RUI BARBOSA DA SILVA PAPELARIA - ME</t>
  </si>
  <si>
    <t>2.1.3.01.511</t>
  </si>
  <si>
    <t>PAULO HENRIQUE LEDO AGUIAR</t>
  </si>
  <si>
    <t>2.1.3.01.544</t>
  </si>
  <si>
    <t>ISMAEL DE MENDONCA BANDEIRA ME</t>
  </si>
  <si>
    <t>2.1.3.01.545</t>
  </si>
  <si>
    <t>EUROVIA VEICULOS SA MATRIZ</t>
  </si>
  <si>
    <t>2.1.3.01.546</t>
  </si>
  <si>
    <t>R M SIQUEIRA HORTIFRUTIGRANJEIRO LTDA</t>
  </si>
  <si>
    <t>DANIELE DE ARAUJO PONTE</t>
  </si>
  <si>
    <t>HORTA FACIL LTDA</t>
  </si>
  <si>
    <t>MÃO-DE-OBRA OPERACIONAL</t>
  </si>
  <si>
    <t>CONTRIBUIÇÃO PREVIDENCIÁRIA</t>
  </si>
  <si>
    <t>3.1.1.03</t>
  </si>
  <si>
    <t>MÃO-DE-OBRA DE VENDAS</t>
  </si>
  <si>
    <t>3.1.1.03.001</t>
  </si>
  <si>
    <t>3.1.1.03.003</t>
  </si>
  <si>
    <t>3.1.1.03.004</t>
  </si>
  <si>
    <t>3.1.1.03.005</t>
  </si>
  <si>
    <t>3.1.1.03.006</t>
  </si>
  <si>
    <t>3.1.1.03.007</t>
  </si>
  <si>
    <t>3.1.1.03.008</t>
  </si>
  <si>
    <t>3.1.1.03.009</t>
  </si>
  <si>
    <t>3.1.1.03.010</t>
  </si>
  <si>
    <t>MÃO-DE-OBRA ADMINISTRATIVA</t>
  </si>
  <si>
    <t>DESPESAS OPERACIONAIS E VENDAS</t>
  </si>
  <si>
    <t>RESGATE S APLICAÇÃO FUNDO BNB</t>
  </si>
  <si>
    <t>TARIFA BANCARIA</t>
  </si>
  <si>
    <t>APLICAÇÕES EM FUNDOS</t>
  </si>
  <si>
    <t>Parcela encargos Emprestimos  bnb</t>
  </si>
  <si>
    <t>Parcela Principal Emprestimos  bnb</t>
  </si>
  <si>
    <t>PAGAMENTO DE DÉBITO PRINCIPAL</t>
  </si>
  <si>
    <t>PAGAMENTO DE DÉBITO ENCARGOS</t>
  </si>
  <si>
    <t>Rendimento sobre aplicacao bnb</t>
  </si>
  <si>
    <t>Rendimento sobre aplicacão financeira - BNB  16449-0</t>
  </si>
  <si>
    <t>Rendimento da Aplicação financeira</t>
  </si>
  <si>
    <t>DESCONTO COMERCIAL DE BOMPRECO SUPERMERCADOS  DO NORDESTE LTDA (</t>
  </si>
  <si>
    <t>DESCONTO COMERCIAL DE BOMPRECO  SUPERMERCADOS  - CD</t>
  </si>
  <si>
    <t xml:space="preserve">VALOR A RECUPERAR </t>
  </si>
  <si>
    <t xml:space="preserve">VALOR A RECUPERAR ALUGUEL </t>
  </si>
  <si>
    <t xml:space="preserve">VALOR A RECOLHER </t>
  </si>
  <si>
    <t>Apropriação Do Seguro do Mês - PGR - 1544</t>
  </si>
  <si>
    <t>Apropriação Do Seguro do Mês - PGR - 1404</t>
  </si>
  <si>
    <t>APROPRIAÇÃO DO (CIM) - PREFEITURA  DA CIDADE DO R</t>
  </si>
  <si>
    <t>APROPRIACAO DO RATEIO DO VALE  TRANSPORTE N/DATA</t>
  </si>
  <si>
    <t>Apropriação do Vale Refeição</t>
  </si>
  <si>
    <t>DEPRECIACAO NO MES</t>
  </si>
  <si>
    <t xml:space="preserve">SALARIO FAMILIA DESTE MES  </t>
  </si>
  <si>
    <t xml:space="preserve">REFERENTE FOLHA DE PAGAMENTO DO MÊS  </t>
  </si>
  <si>
    <t>CONTRIBUIÇÃO PREVIDENCIARIA</t>
  </si>
  <si>
    <t>AGOSTO</t>
  </si>
  <si>
    <t>Agosto</t>
  </si>
  <si>
    <t>AZUL LINHAS AEREAS</t>
  </si>
  <si>
    <t>PETERFRUT AGRICOLA S/A</t>
  </si>
  <si>
    <t>COMERCIAL NOVO ISRAEL LTDA</t>
  </si>
  <si>
    <t>A.O GONCALVES IND. E COM. DE MAQUINAS P/ PLASTICOS</t>
  </si>
  <si>
    <t>PACKFAI SERVICE LTDA.</t>
  </si>
  <si>
    <t>MULTAS DE TRANSITO</t>
  </si>
  <si>
    <t>1.2.2.04</t>
  </si>
  <si>
    <t>SÓCIOS, ADMINISTRADORES E PESSOAS LIGADA</t>
  </si>
  <si>
    <t>1.2.2.04.001</t>
  </si>
  <si>
    <t>2.1.3.01.039</t>
  </si>
  <si>
    <t>2.1.3.01.075</t>
  </si>
  <si>
    <t>2.1.3.01.077</t>
  </si>
  <si>
    <t>2.1.3.01.285</t>
  </si>
  <si>
    <t>2.1.3.01.550</t>
  </si>
  <si>
    <t>3.2.2.03.010</t>
  </si>
  <si>
    <t>3.2.2.04.040</t>
  </si>
  <si>
    <t>DESPESAS JUDICIAIS</t>
  </si>
  <si>
    <t>3.1.1.02.022</t>
  </si>
  <si>
    <t>3.2.2.01.022</t>
  </si>
  <si>
    <t>1.1.1.02.003</t>
  </si>
  <si>
    <t>1.1.3.06.001</t>
  </si>
  <si>
    <t>2.1.3.01.315</t>
  </si>
  <si>
    <t>2.1.3.01.320</t>
  </si>
  <si>
    <t>2.1.3.01.447</t>
  </si>
  <si>
    <t>2.1.3.01.537</t>
  </si>
  <si>
    <t>2.1.4.01.009</t>
  </si>
  <si>
    <t>2.1.4.01.010</t>
  </si>
  <si>
    <t>6</t>
  </si>
  <si>
    <t>CONTAS DE COMPENSAÇÃO</t>
  </si>
  <si>
    <t>6.1</t>
  </si>
  <si>
    <t>6.1.1</t>
  </si>
  <si>
    <t>6.1.1.01</t>
  </si>
  <si>
    <t>6.1.1.01.003</t>
  </si>
  <si>
    <t>Setembro</t>
  </si>
  <si>
    <t>DESCONTOS COMERCIAIS - HIPER TODO DIA</t>
  </si>
  <si>
    <t>JOÃO BOSCO FERREIRA</t>
  </si>
  <si>
    <t>CRIS DIAS DOS SANTOS</t>
  </si>
  <si>
    <t>SUPREMO PREDILETA</t>
  </si>
  <si>
    <t>GS1 BRASIL</t>
  </si>
  <si>
    <t>PAULO HENRIQUE</t>
  </si>
  <si>
    <t>MESSIAS</t>
  </si>
  <si>
    <t>DONA SALSA</t>
  </si>
  <si>
    <t>EUROVIA VEICULOS</t>
  </si>
  <si>
    <t>JOSÉ BARBOSA DA SILVA</t>
  </si>
  <si>
    <t>WAWSHINGTON</t>
  </si>
  <si>
    <t>BANCO DO BRASIL</t>
  </si>
  <si>
    <t>COMPRAS EM ESPÉCIE</t>
  </si>
  <si>
    <t>VALOR A RECUPERAR RATEIO COMPRAS</t>
  </si>
  <si>
    <t>L.P. DE ARAUJO JUNIOR HORTIGRANJEIRO</t>
  </si>
  <si>
    <t>EMILIA ELIZABETH BEZERRA DOS SANTOS 08060386409</t>
  </si>
  <si>
    <t>JOSE CARLOS AGUIAR DE LIMA 08883647416</t>
  </si>
  <si>
    <t>TUPAN CONSTRUCOES LTDA</t>
  </si>
  <si>
    <t>JOSE FERREIRA BARROS 21886238863</t>
  </si>
  <si>
    <t>Severino Jose Costa Construcao - ME</t>
  </si>
  <si>
    <t>TRINO FRIO ARMAZENS GERAIS LTDA</t>
  </si>
  <si>
    <t>IRRF 5706 - JCP</t>
  </si>
  <si>
    <t>JUROS SOBRE CAPITAL PRÓPRIO A PAGAR</t>
  </si>
  <si>
    <t>JUROS SOBRE CAPITAL PRÓPRIO</t>
  </si>
  <si>
    <t>JUROS</t>
  </si>
  <si>
    <t>1.1.2.02.010</t>
  </si>
  <si>
    <t>1.1.3.05.007</t>
  </si>
  <si>
    <t>1.1.3.05.021</t>
  </si>
  <si>
    <t>1.1.3.05.055</t>
  </si>
  <si>
    <t>1.1.3.05.066</t>
  </si>
  <si>
    <t>1.1.3.05.084</t>
  </si>
  <si>
    <t>1.1.3.05.085</t>
  </si>
  <si>
    <t>1.1.3.05.086</t>
  </si>
  <si>
    <t>1.1.3.05.087</t>
  </si>
  <si>
    <t>1.1.3.05.088</t>
  </si>
  <si>
    <t>1.1.3.05.089</t>
  </si>
  <si>
    <t>1.1.3.05.090</t>
  </si>
  <si>
    <t>1.1.3.05.091</t>
  </si>
  <si>
    <t>1.1.3.05.092</t>
  </si>
  <si>
    <t>1.1.3.05.093</t>
  </si>
  <si>
    <t>1.1.3.05.094</t>
  </si>
  <si>
    <t>1.1.3.05.095</t>
  </si>
  <si>
    <t>2.1.3.01.441</t>
  </si>
  <si>
    <t>2.1.3.01.553</t>
  </si>
  <si>
    <t>2.1.3.01.554</t>
  </si>
  <si>
    <t>2.1.3.01.555</t>
  </si>
  <si>
    <t>2.1.3.01.556</t>
  </si>
  <si>
    <t>2.1.3.01.557</t>
  </si>
  <si>
    <t>2.1.3.01.558</t>
  </si>
  <si>
    <t>2.1.5.02.009</t>
  </si>
  <si>
    <t>2.1.7</t>
  </si>
  <si>
    <t>DIVIDENDOS, PART. E JURO SOBRE O CAPITAL</t>
  </si>
  <si>
    <t>2.1.7.03</t>
  </si>
  <si>
    <t>2.1.7.03.001</t>
  </si>
  <si>
    <t>3.2.2.05.006</t>
  </si>
  <si>
    <t>4.1.3.01.002</t>
  </si>
  <si>
    <t>SETEMBRO</t>
  </si>
  <si>
    <t>Total de NF-es</t>
  </si>
  <si>
    <t>Subtotal das NF-es</t>
  </si>
  <si>
    <t>Num NFe</t>
  </si>
  <si>
    <t>Valor</t>
  </si>
  <si>
    <t>Data Emissão</t>
  </si>
  <si>
    <t>CNPJ Emit</t>
  </si>
  <si>
    <t>Nome Fant. Emit</t>
  </si>
  <si>
    <t>Razão Soc. Emit</t>
  </si>
  <si>
    <t>CNPJ Dest</t>
  </si>
  <si>
    <t>Nome Fant. Dest</t>
  </si>
  <si>
    <t>Razão Soc. Dest</t>
  </si>
  <si>
    <t>Data de Envio ao Cofre</t>
  </si>
  <si>
    <t>Chave da NFe</t>
  </si>
  <si>
    <t>Tags</t>
  </si>
  <si>
    <t>Código do Evento</t>
  </si>
  <si>
    <t>Tipo do Evento</t>
  </si>
  <si>
    <t>Status</t>
  </si>
  <si>
    <t>Danfe</t>
  </si>
  <si>
    <t>Xml</t>
  </si>
  <si>
    <t>40.843.179/0001-63</t>
  </si>
  <si>
    <t>COMERCIAL HORTI-FRIOS LTDA</t>
  </si>
  <si>
    <t/>
  </si>
  <si>
    <t>Autorizado o uso da NF-e</t>
  </si>
  <si>
    <t>08.030.363/0009-39</t>
  </si>
  <si>
    <t>SUPERMERCADO NORDESTAO LTDA</t>
  </si>
  <si>
    <t>COMERCIAL HORTI FRIOS LTDA</t>
  </si>
  <si>
    <t>08.030.363/0012-34</t>
  </si>
  <si>
    <t>08.030.363/0031-05</t>
  </si>
  <si>
    <t>08.030.363/0038-73</t>
  </si>
  <si>
    <t>COMERCIAL HORTIFRIOS LTDA</t>
  </si>
  <si>
    <t>26.708.943/0001-67</t>
  </si>
  <si>
    <t>POSTO JOTA FLOR II</t>
  </si>
  <si>
    <t>COMERCIAL HORTI-FRIOS LTDA.</t>
  </si>
  <si>
    <t>BOMPRECO SUPERMERCADOS DO NORDESTE</t>
  </si>
  <si>
    <t>00.063.960/0072-94</t>
  </si>
  <si>
    <t>WMB SUPERMERCADOS DO BRASIL LT</t>
  </si>
  <si>
    <t>02.296.877/0001-05</t>
  </si>
  <si>
    <t>OVOS MAIS</t>
  </si>
  <si>
    <t>03.008.270/0001-37</t>
  </si>
  <si>
    <t>HORTIFRUTE GRAVATA</t>
  </si>
  <si>
    <t>COMERCIAL HORTI - FRIOS LTDA</t>
  </si>
  <si>
    <t>03.281.744/0001-10</t>
  </si>
  <si>
    <t>IBIZA I</t>
  </si>
  <si>
    <t>03.281.744/0002-09</t>
  </si>
  <si>
    <t>IBIZA II</t>
  </si>
  <si>
    <t>03.651.710/0001-70</t>
  </si>
  <si>
    <t>BELLA FRUTA</t>
  </si>
  <si>
    <t xml:space="preserve">110111 </t>
  </si>
  <si>
    <t>Cancelamento</t>
  </si>
  <si>
    <t>Cancelamento de NF-e homologado</t>
  </si>
  <si>
    <t>04.940.750/0011-76</t>
  </si>
  <si>
    <t>PERBONI RECIFE</t>
  </si>
  <si>
    <t>HORTIFRIOS -COMERCIAL HORTI-FRIOS LTDA</t>
  </si>
  <si>
    <t>09.104.065/0001-51</t>
  </si>
  <si>
    <t>QDELICIA FRUTAS</t>
  </si>
  <si>
    <t>09.166.344/0006-54</t>
  </si>
  <si>
    <t>IFCO Brasil - Recife (PE)</t>
  </si>
  <si>
    <t>09.581.439/0001-20</t>
  </si>
  <si>
    <t>HORTI FRIOS</t>
  </si>
  <si>
    <t>005.467.714-91</t>
  </si>
  <si>
    <t>11.840.014/0001-30</t>
  </si>
  <si>
    <t>MACROPAC</t>
  </si>
  <si>
    <t>12.701.734/0003-49</t>
  </si>
  <si>
    <t>PETERFRUT PE LTDA</t>
  </si>
  <si>
    <t>12.988.833/0001-91</t>
  </si>
  <si>
    <t>COMERCIAL SAFRA</t>
  </si>
  <si>
    <t>13.004.510/0048-42</t>
  </si>
  <si>
    <t>13.004.510/0254-16</t>
  </si>
  <si>
    <t>13.004.510/0258-40</t>
  </si>
  <si>
    <t>13.897.212/0001-65</t>
  </si>
  <si>
    <t>WASHINGTON FRUTAS</t>
  </si>
  <si>
    <t>14.256.097/0001-02</t>
  </si>
  <si>
    <t>RDS HORTIFRUTIGRANJEIROS</t>
  </si>
  <si>
    <t>24.153.415/0001-63</t>
  </si>
  <si>
    <t>26.091.714/0001-46</t>
  </si>
  <si>
    <t>PURIFICA</t>
  </si>
  <si>
    <t>26.787.097/0001-18</t>
  </si>
  <si>
    <t>ROSA DA GOMA</t>
  </si>
  <si>
    <t>27.892.333/0001-29</t>
  </si>
  <si>
    <t>MAIS VERDE</t>
  </si>
  <si>
    <t>Comercial Horti-Frios Ltda</t>
  </si>
  <si>
    <t>27.938.468/0001-88</t>
  </si>
  <si>
    <t>ALHOS VINI</t>
  </si>
  <si>
    <t>31.441.144/0001-07</t>
  </si>
  <si>
    <t>LOJAO DA CENOURA RECIFE</t>
  </si>
  <si>
    <t>41.185.455/0017-73</t>
  </si>
  <si>
    <t>UNI COMPRA</t>
  </si>
  <si>
    <t>UNI COMPRA SUPERMERCADOS LTDA</t>
  </si>
  <si>
    <t>42.102.316/0001-34</t>
  </si>
  <si>
    <t>ADRIANA FRUTAS</t>
  </si>
  <si>
    <t>42.673.834/0023-13</t>
  </si>
  <si>
    <t>AFLITOS - PE - 0023-13</t>
  </si>
  <si>
    <t>IF-BR COMERCIO DE ALIMENTOS E BEBIDAS LTDA</t>
  </si>
  <si>
    <t>43.919.839/0001-30</t>
  </si>
  <si>
    <t>CARREFOUR COMERCIO E INDUSTRIA LTDA</t>
  </si>
  <si>
    <t>45.543.915/0418-80</t>
  </si>
  <si>
    <t>RDM - CRFO RECIFE DOMINGOS FERREIRA</t>
  </si>
  <si>
    <t>45.854.636/0001-39</t>
  </si>
  <si>
    <t>COMERCIAL HORTI FRIOS LTDA.</t>
  </si>
  <si>
    <t>47.508.411/0180-12</t>
  </si>
  <si>
    <t>47.508.411/0380-48</t>
  </si>
  <si>
    <t>CD14 FRIGORIFICADO</t>
  </si>
  <si>
    <t>47.508.411/1178-51</t>
  </si>
  <si>
    <t>47.508.411/1231-50</t>
  </si>
  <si>
    <t>47.508.411/1604-39</t>
  </si>
  <si>
    <t>12.701.734/0001-87</t>
  </si>
  <si>
    <t>08.030.363/0013-15</t>
  </si>
  <si>
    <t>04.269.297/0001-46</t>
  </si>
  <si>
    <t>SUPER FRUTI</t>
  </si>
  <si>
    <t>COMERCIAL NOVO ISRAEL EIRELI EPP</t>
  </si>
  <si>
    <t>COMERCIAL HORTIFRIOS LTDA-HORTI-FRIOS</t>
  </si>
  <si>
    <t>07.844.788/0017-29</t>
  </si>
  <si>
    <t>PETERFRUT AGRICOLA RECIFE3</t>
  </si>
  <si>
    <t>PETERFRUT AGRICOLA LTDA</t>
  </si>
  <si>
    <t>30.709.251/0001-00</t>
  </si>
  <si>
    <t>DOMINGUES CONSTRUCAO</t>
  </si>
  <si>
    <t>RESULTADO 3º TRIMESTRE 2022</t>
  </si>
  <si>
    <t>VALO REF. A MAQLAREM</t>
  </si>
  <si>
    <t>VALO REF. A VFS SISTEMAS</t>
  </si>
  <si>
    <t>BANCO ITAU AG 7227 C/C 99114-3</t>
  </si>
  <si>
    <t xml:space="preserve">DEVOLUÇÃO DE MERCADORIAS CONF NF 45 DE MOUSTACHE BEAMS LTDA </t>
  </si>
  <si>
    <t xml:space="preserve">DEVOLUÇÃO DE MERCADORIAS CONF NF 52 DE MOUSTACHE BEAMS LTDA </t>
  </si>
  <si>
    <t xml:space="preserve">DEVOLUÇÃO DE MERCADORIAS CONF NF 53 DE MOUSTACHE BEAMS LTDA </t>
  </si>
  <si>
    <t xml:space="preserve">DEVOLUÇÃO DE MERCADORIAS CONF NF 28 DE MOUSTACHE BEAMS LTDA </t>
  </si>
  <si>
    <t xml:space="preserve">DEVOLUÇÃO DE MERCADORIAS CONF NF 29 DE MOUSTACHE BEAMS LTDA </t>
  </si>
  <si>
    <t xml:space="preserve">DEVOLUÇÃO DE MERCADORIAS CONF NF 30 DE MOUSTACHE BEAMS LTDA </t>
  </si>
  <si>
    <t>DESCONTOS COMERCIAIS - NOVO ATACAREJO</t>
  </si>
  <si>
    <t>DEVOLUÇÕES - NOVO ATACADO</t>
  </si>
  <si>
    <t>DEVOLUÇÕES - HIPER TODO DIA</t>
  </si>
  <si>
    <t>MAQLAREM</t>
  </si>
  <si>
    <t>VFS SISTEMA ELETRONICO</t>
  </si>
  <si>
    <t>BONIFICAÇÕES</t>
  </si>
  <si>
    <t>YASMIN KARINE</t>
  </si>
  <si>
    <t>S L PEREIRA BALANÇAS</t>
  </si>
  <si>
    <t>ADIANTAMENTO DE 13º SALÁRIO</t>
  </si>
  <si>
    <t xml:space="preserve">VALOR A RECUPERAR RATEIO FRETE </t>
  </si>
  <si>
    <t xml:space="preserve">VALOR A RATEIO COMPRAS </t>
  </si>
  <si>
    <t>(-) DEPRECIAÇÃO DE EQUIPAMENTOS DE REFRIGERAÇÃO</t>
  </si>
  <si>
    <t>APROPRIAÇÃO DE JUROS 9/10 DE  PARCELAS RESTANTES</t>
  </si>
  <si>
    <t>APROPRIAÇÃO DE JUROS 9/29 DE  PARCELAS RESTANTES</t>
  </si>
  <si>
    <t>FORNECEDOR DIVERSOS</t>
  </si>
  <si>
    <t>QUALLYHORTI COMERCIO E IMPORTACAO LTDA - EPP</t>
  </si>
  <si>
    <t>J R AGROPECUARIA LTDA</t>
  </si>
  <si>
    <t>S L PEREIRA BALANCAS</t>
  </si>
  <si>
    <t>SANDRO DE PAIVA LOPES 82424691487</t>
  </si>
  <si>
    <t>OMIEXPERIENCE S.A.</t>
  </si>
  <si>
    <t>A PEREIRA DE AMORIM LTDA</t>
  </si>
  <si>
    <t>Rodoxisto Transportes Ltda - (SC)</t>
  </si>
  <si>
    <t>PROVISAO DE ALUGUEL COMP 12.2022</t>
  </si>
  <si>
    <t>AJUDA DE CUSTO</t>
  </si>
  <si>
    <t>VALOR REF. A PROVISÃO DAS FATURAS  IFCO 11.2022</t>
  </si>
  <si>
    <t>SERVIÇOS DE INFORMÁTICA E SISTEMAS</t>
  </si>
  <si>
    <t>ASSISTENCIA MEDICA</t>
  </si>
  <si>
    <t>1.1.1.02.008</t>
  </si>
  <si>
    <t>1.1.2.02.011</t>
  </si>
  <si>
    <t>1.1.2.03.004</t>
  </si>
  <si>
    <t>1.1.2.03.010</t>
  </si>
  <si>
    <t>1.1.3.05.098</t>
  </si>
  <si>
    <t>INALDO DE DEUS E SILVA</t>
  </si>
  <si>
    <t>1.1.3.05.101</t>
  </si>
  <si>
    <t>1.1.3.05.102</t>
  </si>
  <si>
    <t>1.1.3.05.103</t>
  </si>
  <si>
    <t>1.1.3.05.104</t>
  </si>
  <si>
    <t>1.1.3.05.106</t>
  </si>
  <si>
    <t>1.1.3.06.002</t>
  </si>
  <si>
    <t>2.1.3.01.027</t>
  </si>
  <si>
    <t>2.1.3.01.033</t>
  </si>
  <si>
    <t>2.1.3.01.064</t>
  </si>
  <si>
    <t>PERINI COMERCIAL DE ALIMENTOS LTDA</t>
  </si>
  <si>
    <t>2.1.3.01.079</t>
  </si>
  <si>
    <t>2.1.3.01.298</t>
  </si>
  <si>
    <t>2.1.3.01.437</t>
  </si>
  <si>
    <t>2.1.3.01.497</t>
  </si>
  <si>
    <t>2.1.3.01.526</t>
  </si>
  <si>
    <t>TOP DIESEL AUTO PECAS LTDA</t>
  </si>
  <si>
    <t>2.1.3.01.562</t>
  </si>
  <si>
    <t>2.1.3.01.563</t>
  </si>
  <si>
    <t>J P CASA NOVA MATERIAIS DE CONSTRUCAO LTDA</t>
  </si>
  <si>
    <t>2.1.3.01.564</t>
  </si>
  <si>
    <t>2.1.3.01.565</t>
  </si>
  <si>
    <t>2.1.3.01.569</t>
  </si>
  <si>
    <t>2.1.3.01.571</t>
  </si>
  <si>
    <t>2.1.4.01.008</t>
  </si>
  <si>
    <t>IRRF A RECOLHER</t>
  </si>
  <si>
    <t>2.1.4.01.022</t>
  </si>
  <si>
    <t>CSRF A RECOLHER</t>
  </si>
  <si>
    <t>2.1.6.01.005</t>
  </si>
  <si>
    <t>ADIANTAMENTO DE CLIENTES</t>
  </si>
  <si>
    <t>2.3.5.01.025</t>
  </si>
  <si>
    <t>2.3.7</t>
  </si>
  <si>
    <t>DISTRIBUIÇÃO DE LUCROS</t>
  </si>
  <si>
    <t>2.3.7.01</t>
  </si>
  <si>
    <t>2.3.7.01.001</t>
  </si>
  <si>
    <t>3.2.2.04.041</t>
  </si>
  <si>
    <t>3.2.2.04.042</t>
  </si>
  <si>
    <t>SERVIÇOS DE ENGENHARIA</t>
  </si>
  <si>
    <t>Outubro</t>
  </si>
  <si>
    <t>Novembro</t>
  </si>
  <si>
    <t>Dezembro</t>
  </si>
  <si>
    <t>2.1.3.01.178</t>
  </si>
  <si>
    <t>M. S. A. SOUSA OLIVEIRA ME</t>
  </si>
  <si>
    <t>2.1.3.01.559</t>
  </si>
  <si>
    <t>PAULO B DA SILVA HORTIFRUTI EIRELLI - EPP</t>
  </si>
  <si>
    <t>2.1.3.01.566</t>
  </si>
  <si>
    <t>OSMAR CANDIDO DO NASCIMENTO</t>
  </si>
  <si>
    <t>2.1.3.01.567</t>
  </si>
  <si>
    <t>PEDRO PAULO ALVES CAMELO 66739519404</t>
  </si>
  <si>
    <t>OUTUBRO</t>
  </si>
  <si>
    <t>NOVEMBRO</t>
  </si>
  <si>
    <t>DEZEMBRO</t>
  </si>
  <si>
    <t xml:space="preserve">210210 </t>
  </si>
  <si>
    <t>Ciência da Operação</t>
  </si>
  <si>
    <t>ISMAEL DE MENDONCA BANDEIRA</t>
  </si>
  <si>
    <t xml:space="preserve">210210 | 110111 </t>
  </si>
  <si>
    <t>Ciência da Operação, Cancelamento</t>
  </si>
  <si>
    <t>COMERCIAL HORT-FRIOS LTDA</t>
  </si>
  <si>
    <t>COMERCIAL SAFRA - COMERCIO ATACADISTA DE ALIMENTOS</t>
  </si>
  <si>
    <t>13.004.510/0404-82</t>
  </si>
  <si>
    <t>13.124.400/0001-50</t>
  </si>
  <si>
    <t>O BARATAO DAS EMBALAGENS - RECIFE</t>
  </si>
  <si>
    <t>20.300.157/0009-05</t>
  </si>
  <si>
    <t>NOVO ATACAREJO LJ07</t>
  </si>
  <si>
    <t>NOVO ATACADO COMERCIO DE ALIMENTOS LTDA</t>
  </si>
  <si>
    <t>20.300.157/0021-93</t>
  </si>
  <si>
    <t>NOVO ATACAREJO LJ 20</t>
  </si>
  <si>
    <t>MOUSTACHE BEAMS</t>
  </si>
  <si>
    <t>MOUSTACHE BEAMS LTDA</t>
  </si>
  <si>
    <t>30.998.254/0057-66</t>
  </si>
  <si>
    <t>30.998.254/0071-14</t>
  </si>
  <si>
    <t>30.998.254/0079-71</t>
  </si>
  <si>
    <t>30.998.254/0102-55</t>
  </si>
  <si>
    <t>46.316.028/0001-33</t>
  </si>
  <si>
    <t>DESCONTO COMERCIAL DE CARREFOUR -  LRPFC</t>
  </si>
  <si>
    <t>DESCONTO COMERCIAL DE NORDESTAO -  LRPFC</t>
  </si>
  <si>
    <t>DESCONTO COMERCIAL DE SAM´S - LRPFC</t>
  </si>
  <si>
    <t>DESCONTO COMERCIAL DE UNICOMPRAS   - LRPFC</t>
  </si>
  <si>
    <t>DESCONTO COMERCIAL DE HIPER TODO  DIA - LRPFC</t>
  </si>
  <si>
    <t>DESCONTO COMERCIAL DO NOVO  ATACAREJO - LRPFC</t>
  </si>
  <si>
    <t>ROBERTO CAVALCANTI DE ANDRADE LIMA SELECT FRUTAS</t>
  </si>
  <si>
    <t>2.1.1.01.003</t>
  </si>
  <si>
    <t>BB GIRO  - CONTRATO [824.001.891]</t>
  </si>
  <si>
    <t>( - ) JUROS A SER APROPRIADO S/ EMPRÉSTIMO BB 824</t>
  </si>
  <si>
    <t>C.M. Azevedo Pescados LTDA -ME</t>
  </si>
  <si>
    <t>2.1.3.01.278</t>
  </si>
  <si>
    <t>MF AGROPECUARIA DO NORDESTE LTDA EPP</t>
  </si>
  <si>
    <t>2.1.3.01.509</t>
  </si>
  <si>
    <t>JOAO ELIAS DE SOUZA JUNIOR 91896371434</t>
  </si>
  <si>
    <t>2.1.3.01.548</t>
  </si>
  <si>
    <t>2.1.3.01.551</t>
  </si>
  <si>
    <t>J.K.J. REFRIGERACAO LTDA</t>
  </si>
  <si>
    <t>2.1.3.01.573</t>
  </si>
  <si>
    <t>L3 COMERCIO E SERVICOS LTDA</t>
  </si>
  <si>
    <t>2.1.3.01.574</t>
  </si>
  <si>
    <t>LUIZ FRANCISCO DA SILVA FILHO 03545434400</t>
  </si>
  <si>
    <t>2.1.3.01.575</t>
  </si>
  <si>
    <t>S S B HORTIFRUTI NORDESTE LTDA</t>
  </si>
  <si>
    <t>2.1.3.01.576</t>
  </si>
  <si>
    <t>GS CONSULT LTDA</t>
  </si>
  <si>
    <t>2.1.3.01.577</t>
  </si>
  <si>
    <t>AFERICAO LTDA ME</t>
  </si>
  <si>
    <t>2.1.6.02.009</t>
  </si>
  <si>
    <t>CARTÃO DE CRÉDITO A PAGAR</t>
  </si>
  <si>
    <t>2.2.1.01.005</t>
  </si>
  <si>
    <t>BB GIRO - CONTRATO [824.001.891]</t>
  </si>
  <si>
    <t>2.2.1.01.006</t>
  </si>
  <si>
    <t>2.3.5.01.026</t>
  </si>
  <si>
    <t>RESULTADO 4º TRIMESTRE 2022</t>
  </si>
  <si>
    <t>VALOR REF. A LANCHE CONF. NF S/N</t>
  </si>
  <si>
    <t>VALOR REF. A COCO VERDE-MEDEIROS  CONF. NF S/N</t>
  </si>
  <si>
    <t>VALOR REF. A GELO-MEDEIROS CONF. NF  S/N</t>
  </si>
  <si>
    <t>VALOR REF. A GASOLINA-EVANDRO CONF.  NF CF</t>
  </si>
  <si>
    <t>VALOR REF. A ALMOÇO-MARCELA/JOSE  CONF. NF S/N</t>
  </si>
  <si>
    <t>VALOR REF. A UBER-MEDEIROS CONF. NF  S/N</t>
  </si>
  <si>
    <t>VALOR REF. A CAFÉ CAPSULA CONF. NF  CF</t>
  </si>
  <si>
    <t>VALOR REF. A PASSAGENS-GERALDO  CONF. NF S/N</t>
  </si>
  <si>
    <t>VALOR REF. A PASSAGENS-POLIANA  CONF. NF S/N</t>
  </si>
  <si>
    <t>VALOR REF. A CAFÉ/ALMOÇO - GABRIEL  CONF. NF S/N</t>
  </si>
  <si>
    <t>VALOR REF. A MATERIAL DE HIG. CONF.  NF CF</t>
  </si>
  <si>
    <t>VALOR REF. A VEDA ROSCA/ADPTADOR/ COLA/JOELHO CONF. NF CF</t>
  </si>
  <si>
    <t>VALOR REF. A CARLA-AÇÃO CONF. NF CF</t>
  </si>
  <si>
    <t>VALOR REF. A SEVERINO MARCELINO- FRETE CONF. NF S/N</t>
  </si>
  <si>
    <t>VALOR REF. A SEVERINO MARCELINO- FILTRO SEPARADOR CONF. NF S/N</t>
  </si>
  <si>
    <t>VALOR REF. A GELO  CONF. NF S/N</t>
  </si>
  <si>
    <t>VALOR REF. A CAFÉ CPSULA CONF. NF CF</t>
  </si>
  <si>
    <t>VALOR REF. A LIXO CONF. NF S/N</t>
  </si>
  <si>
    <t>VALOR REF. A ESTAC.ANTONIO CONF. NF  S/N</t>
  </si>
  <si>
    <t>VALOR REF. A CAFÉ/ALMOÇO  JUAREZ  CONF. NF S/N</t>
  </si>
  <si>
    <t>VALOR REF. A ARLA-JUAREZ CONF. NF CF</t>
  </si>
  <si>
    <t>VALOR REF. A JUAREZ-ALMOÇOS CONF.  NF S/N</t>
  </si>
  <si>
    <t>VALOR REF. A FAIXA PARACHOQUE/ TINTA-JUAREZ CONF. NF DANF</t>
  </si>
  <si>
    <t>VALOR REF. A EXAME PERIODICO- ADRIELE CONF. NF S/N</t>
  </si>
  <si>
    <t>VALOR REF. A ALMOÇO-MARCELA/JOSE  CONF. NF CF</t>
  </si>
  <si>
    <t>VALOR REF. A GELO CONF. NF S/N</t>
  </si>
  <si>
    <t>VALOR REF. A TROCA DE PNEUS-JUAREZ  PGR 1404 CONF. NF S/N</t>
  </si>
  <si>
    <t>VALOR REF. A OLEO/MÃO DE OBRA- JUAREZ CONF. NF S/N</t>
  </si>
  <si>
    <t>VALOR REF. A TORTA -NIVER  PROMOTORES CONF. NF CF</t>
  </si>
  <si>
    <t>VALOR REF. A DESCARTAVEIS CONF. NF  S/N</t>
  </si>
  <si>
    <t>VALOR REF. A MATERIAL DE LIMPEZA  CONF. NF CF</t>
  </si>
  <si>
    <t>VALOR REF. A AGUA MINERAL 500ML  CONF. NF CF</t>
  </si>
  <si>
    <t>VALOR REF. A LARANJA PERA CONF. NF  DANF</t>
  </si>
  <si>
    <t>VALOR REF. A BANDEJA-B2 CONF. NF CF</t>
  </si>
  <si>
    <t>VALOR REF. A DISCO FERRO-MESSIAS  CONF. NF CF</t>
  </si>
  <si>
    <t>VALOR REF. A FRUTIVERDE ROSARINHO  CONF. NF 00099594</t>
  </si>
  <si>
    <t>VALOR REF. A FRUTIVERDE ROSARINHO  CONF. NF 00099702</t>
  </si>
  <si>
    <t>VALOR REF. A FRUTIVERDE ROSARINHO  CONF. NF 00099808</t>
  </si>
  <si>
    <t>VALOR REF. A FRUTIVERDE ROSARINHO  CONF. NF 00099921</t>
  </si>
  <si>
    <t>VALOR REF. A FRUTIVERDE ROSARINHO  CONF. NF 00100034</t>
  </si>
  <si>
    <t>VALOR REF. A FRUTIVERDE ROSARINHO  CONF. NF 00100141</t>
  </si>
  <si>
    <t>VALOR REF. A FRUTIVERDE ROSARINHO  CONF. NF 00100269</t>
  </si>
  <si>
    <t>VALOR REF. A FRUTIVERDE ROSARINHO  CONF. NF 00100363</t>
  </si>
  <si>
    <t>VALOR REF. A FRUTIVERDE ROSARINHO  CONF. NF 00100479</t>
  </si>
  <si>
    <t>VALOR REF. A J R  DE AGUIAR  HORTIFRUTI LTDA  ( FRUT. TORRE) CONF.  NF 00099595</t>
  </si>
  <si>
    <t>VALOR REF. A J R  DE AGUIAR  HORTIFRUTI LTDA  ( FRUT. TORRE) CONF.  NF 00099703</t>
  </si>
  <si>
    <t>VALOR REF. A J R  DE AGUIAR  HORTIFRUTI LTDA  ( FRUT. TORRE) CONF.  NF 00099809</t>
  </si>
  <si>
    <t>VALOR REF. A J R  DE AGUIAR  HORTIFRUTI LTDA  ( FRUT. TORRE) CONF.  NF 00099922</t>
  </si>
  <si>
    <t>VALOR REF. A J R  DE AGUIAR  HORTIFRUTI LTDA  ( FRUT. TORRE) CONF.  NF 00100035</t>
  </si>
  <si>
    <t>VALOR REF. A J R  DE AGUIAR  HORTIFRUTI LTDA  ( FRUT. TORRE) CONF.  NF 00100142</t>
  </si>
  <si>
    <t>VALOR REF. A J R  DE AGUIAR  HORTIFRUTI LTDA  ( FRUT. TORRE) CONF.  NF 00100270</t>
  </si>
  <si>
    <t>VALOR REF. A J R  DE AGUIAR  HORTIFRUTI LTDA  ( FRUT. TORRE) CONF.  NF 00100364</t>
  </si>
  <si>
    <t>VALOR REF. A J R  DE AGUIAR  HORTIFRUTI LTDA  ( FRUT. TORRE) CONF.  NF 00100480</t>
  </si>
  <si>
    <t>VALOR REF. A REPOLHO-MEDEIROS CONF.  NF CF</t>
  </si>
  <si>
    <t>VALOR REF. A PAGAMENTO EXTINTOR  CONF. NF NFS</t>
  </si>
  <si>
    <t>VALOR REF. A ALMOÇO-MARCELA/JOSE/ GABRIEL CONF. NF CF</t>
  </si>
  <si>
    <t>VALOR REF. A CAFÉ-GABRIEL CONF. NF S/ N</t>
  </si>
  <si>
    <t>VALOR REF. A LANCHE-MANHA/TARDE  CONF. NF S/N</t>
  </si>
  <si>
    <t>VALOR REF. A UBER-MEDEIROS/CLEITON  CONF. NF S/N</t>
  </si>
  <si>
    <t>VALOR REF. A UBER-RODRIGO CONF. NF S/ N</t>
  </si>
  <si>
    <t>VALOR REF. A DESCARGA PALETES - RODRIGO CONF. NF S/N</t>
  </si>
  <si>
    <t>VALOR REF. A MATERIAL DE HING. CONF.  NF CF</t>
  </si>
  <si>
    <t>VALOR REF. A CAFÉ -GABRIEL CONF. NF S/ N</t>
  </si>
  <si>
    <t>VALOR REF. A JOELHO/COLA/LUVA - MESSIAS CONF. NF CF</t>
  </si>
  <si>
    <t>VALOR REF. A EDILSON-OLEO CONF. NF S/ N</t>
  </si>
  <si>
    <t>VALOR REF. A UBER-JUAREZ DIVEPE CONF.  NF S/N</t>
  </si>
  <si>
    <t>VALOR REF. A ARLA-EDVALDO    2,00  CONF. NF CF</t>
  </si>
  <si>
    <t>VALOR REF. A CHOCOLATE-MARCELA  CONF. NF CF</t>
  </si>
  <si>
    <t>VALOR REF. A UBER-BETH   DIVEPE CONF.  NF S/N</t>
  </si>
  <si>
    <t>VALOR REF. A ALMOÇOS CONF. NF S/N</t>
  </si>
  <si>
    <t>VALOR REF. A INALDO-VALE / 50,00 C/JOSE  CONF. NF S/N</t>
  </si>
  <si>
    <t>VALOR REF. A ALMOÇOS-JUAREZ CONF.  NF S/N</t>
  </si>
  <si>
    <t>VALOR REF. A SERVIÇOS PGR 1544-JUAREZ  CONF. NF S/N</t>
  </si>
  <si>
    <t>VALOR REF. A PNEU/FREIO - JUAREZ  CONF. NF S/N</t>
  </si>
  <si>
    <t>VALOR REF. A LANCHE-MEDEIROS CONF.  NF S/N</t>
  </si>
  <si>
    <t>VALOR REF. A DIVERSOS-JUAREZ CONF.  NF S/N</t>
  </si>
  <si>
    <t>VALOR REF. A ALMOÇO-JUAREZ CONF. NF  S/N</t>
  </si>
  <si>
    <t>VALOR REF. A VERA-EXAME PERIODICO  CONF. NF S/N</t>
  </si>
  <si>
    <t>VALOR REF. A ALMOÇO CONF. NF S/N</t>
  </si>
  <si>
    <t>VALOR REF. A LANCHES CONF. NF S/N</t>
  </si>
  <si>
    <t>VALOR REF. A ALMOÇO - SR JOSE/ MARCELA CONF. NF S/N</t>
  </si>
  <si>
    <t>VALOR REF. A PALETES-RODRIGO CONF.  NF S/N</t>
  </si>
  <si>
    <t>VALOR REF. A ALMOÇO-GABRIEL CONF.  NF S/N</t>
  </si>
  <si>
    <t>VALOR REF. A LAVAGEM MONTANA CONF.  NF S/N</t>
  </si>
  <si>
    <t>VALOR REF. A QUADRO DE AVISO CONF.  NF DANF</t>
  </si>
  <si>
    <t>VALOR REF. A CAFÉ CAPSULAS CONF. NF  CF</t>
  </si>
  <si>
    <t>VALOR REF. A ALMOÇO/DESPESAS - JUAREZ CONF. NF S/N</t>
  </si>
  <si>
    <t>VALOR REF. A LAVAGEM PGR1404-JUAREZ  CONF. NF S/N</t>
  </si>
  <si>
    <t>VALOR REF. A ALMOÇO - SR JOSE/ MARCELA/GABRIEL CONF. NF S/N</t>
  </si>
  <si>
    <t>VALOR REF. A RILDO-EXAME  DEMISSIONAL CONF. NF S/N</t>
  </si>
  <si>
    <t>VALOR REF. A FRUTIVERDE ROSARINHO  CONF. NF 00100592</t>
  </si>
  <si>
    <t>VALOR REF. A FRUTIVERDE ROSARINHO  CONF. NF 00100699</t>
  </si>
  <si>
    <t>VALOR REF. A FRUTIVERDE ROSARINHO  CONF. NF 00100836</t>
  </si>
  <si>
    <t>VALOR REF. A FRUTIVERDE ROSARINHO  CONF. NF 00100947</t>
  </si>
  <si>
    <t>VALOR REF. A FRUTIVERDE ROSARINHO  CONF. NF 00101057</t>
  </si>
  <si>
    <t>VALOR REF. A FRUTIVERDE ROSARINHO  CONF. NF 00101159</t>
  </si>
  <si>
    <t>VALOR REF. A FRUTIVERDE ROSARINHO  CONF. NF 00101275</t>
  </si>
  <si>
    <t>VALOR REF. A FRUTIVERDE ROSARINHO  CONF. NF 00101391</t>
  </si>
  <si>
    <t>VALOR REF. A FRUTIVERDE ROSARINHO  CONF. NF 00101504</t>
  </si>
  <si>
    <t>VALOR REF. A J R  DE AGUIAR  HORTIFRUTI LTDA  ( FRUT. TORRE) CONF.  NF 00100593</t>
  </si>
  <si>
    <t>VALOR REF. A J R  DE AGUIAR  HORTIFRUTI LTDA  ( FRUT. TORRE) CONF.  NF 00100700</t>
  </si>
  <si>
    <t>VALOR REF. A J R  DE AGUIAR  HORTIFRUTI LTDA  ( FRUT. TORRE) CONF.  NF 00100837</t>
  </si>
  <si>
    <t>VALOR REF. A J R  DE AGUIAR  HORTIFRUTI LTDA  ( FRUT. TORRE) CONF.  NF 00100948</t>
  </si>
  <si>
    <t>VALOR REF. A J R  DE AGUIAR  HORTIFRUTI LTDA  ( FRUT. TORRE) CONF.  NF 00101058</t>
  </si>
  <si>
    <t>VALOR REF. A J R  DE AGUIAR  HORTIFRUTI LTDA  ( FRUT. TORRE) CONF.  NF 00101160</t>
  </si>
  <si>
    <t>VALOR REF. A J R  DE AGUIAR  HORTIFRUTI LTDA  ( FRUT. TORRE) CONF.  NF 00101276</t>
  </si>
  <si>
    <t>VALOR REF. A J R  DE AGUIAR  HORTIFRUTI LTDA  ( FRUT. TORRE) CONF.  NF 00101392</t>
  </si>
  <si>
    <t>VALOR REF. A J R  DE AGUIAR  HORTIFRUTI LTDA  ( FRUT. TORRE) CONF.  NF 00101505</t>
  </si>
  <si>
    <t>VALOR REF. A POLIANA-PASSAGENS  TIMBAUBA CONF. NF S/N</t>
  </si>
  <si>
    <t>VALOR REF. A GERALDO-PASSAGENS  GOIANA CONF. NF S/N</t>
  </si>
  <si>
    <t>VALOR REF. A ESOCIAL CONF. NF S/N</t>
  </si>
  <si>
    <t>VALOR REF. A UBER-PAULO VICTOR CONF.  NF S/N</t>
  </si>
  <si>
    <t>Recebimento - (IF ESPINHEIRO) IF-BR   COMERCIO DE ALIMENTOS E BEBIDAS   LTDA - Outros - 00099881</t>
  </si>
  <si>
    <t>Transferência - Transf. Transitório Grandes   Redes &gt;&gt; Banco do Brasil - Outros -</t>
  </si>
  <si>
    <t>Recebimento -  - Nota Fiscal Eletrônica -</t>
  </si>
  <si>
    <t>Pagamento - TM COMBUSTIVEIS LTDA -   Nota Fiscal Eletrônica - 000007224</t>
  </si>
  <si>
    <t>Pagamento - KIVERDE HORTIFRUTI - Nota   Fiscal Eletrônica - 000001267</t>
  </si>
  <si>
    <t>Pagamento - R &amp; R  INDUSTRIA   ALIMENTICIA EIRELI - Nota Fiscal Eletrônica -   000011240</t>
  </si>
  <si>
    <t>Pagamento - RAIMUNDO DENILSON DA   SILVA  COSTA - HORTIFRUTIGRANJEIROS -   Nota Fiscal Eletrônica - 000009953</t>
  </si>
  <si>
    <t>Pagamento - RAIMUNDO DENILSON DA   SILVA  COSTA - HORTIFRUTIGRANJEIROS -   Nota Fiscal Eletrônica - 000009947</t>
  </si>
  <si>
    <t>Pagamento - RAIMUNDO DENILSON DA   SILVA  COSTA - HORTIFRUTIGRANJEIROS -   Nota Fiscal Eletrônica - 000009948</t>
  </si>
  <si>
    <t>Pagamento - RAIMUNDO DENILSON DA   SILVA  COSTA - HORTIFRUTIGRANJEIROS -   Nota Fiscal Eletrônica - 000009922</t>
  </si>
  <si>
    <t>Pagamento - RAIMUNDO DENILSON DA   SILVA  COSTA - HORTIFRUTIGRANJEIROS -   Nota Fiscal Eletrônica - 000009911</t>
  </si>
  <si>
    <t>Pagamento - RAIMUNDO DENILSON DA   SILVA  COSTA - HORTIFRUTIGRANJEIROS -   Nota Fiscal Eletrônica - 000009912</t>
  </si>
  <si>
    <t>Pagamento - A.F.V DA FONSECA -EPP -   Boleto - 000052038</t>
  </si>
  <si>
    <t>Pagamento - MACROPAC PROTECAO E   EMBALAGEM LTDA - Boleto - 000409391</t>
  </si>
  <si>
    <t>Pagamento - OMIEXPERIENCE LTDA. - Boleto   - 1234448</t>
  </si>
  <si>
    <t>Pagamento - OI   MÓVEL S.A. - Boleto -   114105822</t>
  </si>
  <si>
    <t>Pagamento - WASHINGTON FRUTAS   COMERCIO LTDA - ME - Boleto - 000307615</t>
  </si>
  <si>
    <t>Pagamento - RONI PASCHOAL BRUNO E   CIA LTDA ME - Boleto - 000035219</t>
  </si>
  <si>
    <t>Pagamento - COMERCIAL SAFA - Boleto -   000032489</t>
  </si>
  <si>
    <t>Pagamento - PETERFRUT AGRICOLA   RECIFE3 - Nota Fiscal Eletrônica - 000000799</t>
  </si>
  <si>
    <t>Pagamento - KIVERDE HORTIFRUTI - Boleto -   000001242</t>
  </si>
  <si>
    <t>Pagamento - KIVERDE HORTIFRUTI - Boleto -   000001240</t>
  </si>
  <si>
    <t>Pagamento - KIVERDE HORTIFRUTI - Boleto -   000001213</t>
  </si>
  <si>
    <t>Pagamento - KIVERDE HORTIFRUTI - Boleto -   000001211</t>
  </si>
  <si>
    <t>Pagamento - RONI PASCHOAL BRUNO E   CIA LTDA ME - Boleto - 000035274</t>
  </si>
  <si>
    <t>Pagamento - COMERCIAL  NOVO ISRAEL    LTDA - Boleto - 000025558</t>
  </si>
  <si>
    <t>Pagamento - RONI PASCHOAL BRUNO E   CIA LTDA ME - Boleto - 000035301</t>
  </si>
  <si>
    <t>Pagamento - PERBONI &amp; PERBONI LTDA -   Boleto - 000166772</t>
  </si>
  <si>
    <t>Pagamento - PERBONI &amp; PERBONI LTDA -   Boleto - 000166736</t>
  </si>
  <si>
    <t>Pagamento - RONI PASCHOAL BRUNO E   CIA LTDA ME - Boleto - 000035268</t>
  </si>
  <si>
    <t>Pagamento - PERBONI &amp; PERBONI LTDA -   Boleto - 000166693</t>
  </si>
  <si>
    <t>Pagamento - ETIQUETAS GUARARAPES   INDUSTRIA GRAFICA LTDA - Boleto -   000030388</t>
  </si>
  <si>
    <t>Pagamento - ECOCERT BRASIL   CERTIFICADORA LTDA - Nota Fiscal   Eletrônica - 6978</t>
  </si>
  <si>
    <t>Pagamento - PETERFRUT COMERCIAL LTDA -   Nota Fiscal Eletrônica - 000151075</t>
  </si>
  <si>
    <t>Pagamento - PETERFRUT AGRICOLA   RECIFE3 - Nota Fiscal Eletrônica - 000000839</t>
  </si>
  <si>
    <t>Pagamento - PETERFRUT AGRICOLA   RECIFE3 - Nota Fiscal Eletrônica - 000000838</t>
  </si>
  <si>
    <t>Pagamento - WASHINGTON FRUTAS   COMERCIO LTDA - ME - Boleto - 000307674</t>
  </si>
  <si>
    <t>Pagamento - WASHINGTON FRUTAS   COMERCIO LTDA - ME - Boleto - 000307691</t>
  </si>
  <si>
    <t>Pagamento - J A ALVES DE MOREIRA ME -   CT-e - 000004566</t>
  </si>
  <si>
    <t>Pagamento - CHARLES TRANSPORTES   EIRELI - ME - CT-e - 000000290</t>
  </si>
  <si>
    <t>Pagamento - GJBS LTDA - GABS CONSULT -   Nota Fiscal Eletrônica - 27</t>
  </si>
  <si>
    <t>Pagamento - GJBS LTDA - GABS CONSULT -   Nota Fiscal Eletrônica - 28</t>
  </si>
  <si>
    <t>Pagamento - EZEQUIEL FELISBERTO DE   CARVALHO - Outros -</t>
  </si>
  <si>
    <t>Pagamento - R M SIQUEIRA   HORTIFRUTIGRANJEIRO LTDA - Nota Fiscal   Eletrônica -</t>
  </si>
  <si>
    <t>Pagamento - RENATO DO NASCIMENTO   CUNHA - Outros -</t>
  </si>
  <si>
    <t>Pagamento - MANOEL CORREIA DE   OLIVEIRA - Outros -</t>
  </si>
  <si>
    <t>Pagamento - JOSE PINTO DOS SANTOS -   Outros -</t>
  </si>
  <si>
    <t>Transferência - Transf. Banco do Brasil &gt;&gt;   Cartão de Crédito - Outros -</t>
  </si>
  <si>
    <t>Pagamento - BANCO DO BRASIL S.A. - Nota   Fiscal Eletrônica - Anuid. Jose 01.23</t>
  </si>
  <si>
    <t>Pagamento - MIGUEL RAIMUNDO DE   AGUIAR FILHO - Outros -</t>
  </si>
  <si>
    <t>Recebimento - WAL MART BRASIL LTDA -   Nota Fiscal Eletrônica - R.Dev Sams 03.01.22</t>
  </si>
  <si>
    <t>Pagamento - PERBONI &amp; PERBONI LTDA -   Boleto - 000166803</t>
  </si>
  <si>
    <t>Pagamento - JOSE CARLOS AGUIAR DE   LIMA 08883647416 - Nota Fiscal Eletrônica - 25</t>
  </si>
  <si>
    <t>Pagamento - VEM - Boleto - 10300987</t>
  </si>
  <si>
    <t>Pagamento - OMIEXPERIENCE LTDA. - Nota   Fiscal Eletrônica - 1155412</t>
  </si>
  <si>
    <t>Pagamento - LUCIANO ALVES RODRIGUES -   Outros -</t>
  </si>
  <si>
    <t>Pagamento - JOSE DENILSON SANTOS -   Nota Fiscal Eletrônica -</t>
  </si>
  <si>
    <t>Pagamento - MARCOS AURELIO DO   NASCIMENTO - Outros -</t>
  </si>
  <si>
    <t>Pagamento - VALDEMIR SEVERINO DA   SILVA - Outros -</t>
  </si>
  <si>
    <t>Pagamento - J.K.J REFRIGERAÇÃO LTDA -   ME - Nota Fiscal Eletrônica - 220</t>
  </si>
  <si>
    <t>Pagamento - PETERFRUT COMERCIAL LTDA -   Nota Fiscal Eletrônica - 000151153</t>
  </si>
  <si>
    <t>Pagamento - PETERFRUT COMERCIAL LTDA -   Nota Fiscal Eletrônica - 000151152</t>
  </si>
  <si>
    <t>Pagamento - RONI PASCHOAL BRUNO E   CIA LTDA ME - Boleto - 000035306</t>
  </si>
  <si>
    <t>Pagamento - A.F.V DA FONSECA -EPP -   Boleto - 000052037</t>
  </si>
  <si>
    <t>Pagamento - MACROPAC PROTECAO E   EMBALAGEM LTDA - Nota Fiscal Eletrônica -   000410706</t>
  </si>
  <si>
    <t>Pagamento - ISMAEL DE MENDONÇA   BANDEIRA ME - Nota Fiscal Eletrônica -   000000314</t>
  </si>
  <si>
    <t>Pagamento - R &amp; R  INDUSTRIA   ALIMENTICIA EIRELI - Nota Fiscal Eletrônica -   000011294</t>
  </si>
  <si>
    <t>Pagamento - R &amp; R  INDUSTRIA   ALIMENTICIA EIRELI - Nota Fiscal Eletrônica -   000011285</t>
  </si>
  <si>
    <t>Pagamento - WASHINGTON FRUTAS   COMERCIO LTDA - ME - Boleto - 000307732</t>
  </si>
  <si>
    <t>Pagamento -  - Outros -</t>
  </si>
  <si>
    <t>Recebimento - (IF ESPINHEIRO) IF-BR   COMERCIO DE ALIMENTOS E BEBIDAS   LTDA - Outros - 00100058</t>
  </si>
  <si>
    <t>Pagamento - PERBONI &amp; PERBONI LTDA -   Boleto - 000166830</t>
  </si>
  <si>
    <t>Pagamento - WASHINGTON FRUTAS   COMERCIO LTDA - ME - Boleto - 000307765</t>
  </si>
  <si>
    <t>Pagamento - PETERFRUT AGRICOLA   RECIFE3 - Nota Fiscal Eletrônica - 000000869</t>
  </si>
  <si>
    <t>Pagamento - COMERCIAL  NOVO ISRAEL    LTDA - Boleto - 000025590</t>
  </si>
  <si>
    <t>Pagamento - RONI PASCHOAL BRUNO E   CIA LTDA ME - Boleto - 000035344</t>
  </si>
  <si>
    <t>Pagamento - MARCELA EMILIA BEZERRA   DOS SANTOS - Nota Fiscal Eletrônica - 28</t>
  </si>
  <si>
    <t>Pagamento - KIVERDE HORTIFRUTI - Boleto -   000001219</t>
  </si>
  <si>
    <t>Pagamento - KIVERDE HORTIFRUTI - Boleto -   000001212</t>
  </si>
  <si>
    <t>Pagamento - HAPVIDA ASSISTENCIA   MEDICA LTDA - Boleto - 43152373</t>
  </si>
  <si>
    <t>Pagamento - DG INFORMATICA LTDA -   Boleto - 20014</t>
  </si>
  <si>
    <t>Pagamento - SECRETARIA DA RECEITA   FEDERAL - Boleto - JCP SUZANA 01.23</t>
  </si>
  <si>
    <t>Pagamento - SECRETARIA DA RECEITA   FEDERAL - Boleto - JCP JOSE 01.23</t>
  </si>
  <si>
    <t>Pagamento - TEART SERVICOS DE ARTE   EIRELI - Nota Fiscal Eletrônica - Aluguel 01.23</t>
  </si>
  <si>
    <t>Pagamento - CARACOL LTDA - Nota Fiscal   Eletrônica - Aluguel 01.23</t>
  </si>
  <si>
    <t>Pagamento - MARCONIEL FONTE DE   OLIVEIRA - ME - Nota Fiscal Eletrônica -</t>
  </si>
  <si>
    <t>Pagamento - FOLHA DE PAGAMENTO - Nota   Fiscal Eletrônica - Fer.João 01.23</t>
  </si>
  <si>
    <t>Pagamento - TM COMBUSTIVEIS LTDA -   Nota Fiscal Eletrônica - 000007262</t>
  </si>
  <si>
    <t>Pagamento - CHARLES TRANSPORTES   EIRELI - ME - CT-e - 000000291</t>
  </si>
  <si>
    <t>Pagamento - WASHINGTON FRUTAS   COMERCIO LTDA - ME - Boleto - 000307820</t>
  </si>
  <si>
    <t>Pagamento - FGTS - Boleto - FGTS 12/2022</t>
  </si>
  <si>
    <t>Pagamento - NOVA PRAGAS CONTROL   SAÚDE AMBIENTAL LTDA - Boleto - 4836</t>
  </si>
  <si>
    <t>Pagamento - PERBONI &amp; PERBONI LTDA -   Boleto - 000166877</t>
  </si>
  <si>
    <t>Pagamento - COMERCIAL  NOVO ISRAEL    LTDA - Boleto - 000025633</t>
  </si>
  <si>
    <t>Pagamento - RONI PASCHOAL BRUNO E   CIA LTDA ME - Boleto - 000035356</t>
  </si>
  <si>
    <t>Pagamento - C.M. DOMINGUES DE   CARVALHO - Nota Fiscal Eletrônica - 000001326</t>
  </si>
  <si>
    <t>Pagamento - EMILIA ELIZABETH BEZERRA   DOS SANTOS 08060386409 - Nota Fiscal de   Serviço - 8</t>
  </si>
  <si>
    <t>Recebimento - (IF ESPINHEIRO) IF-BR   COMERCIO DE ALIMENTOS E BEBIDAS   LTDA - Outros - 00100213</t>
  </si>
  <si>
    <t>Pagamento - PETERFRUT AGRICOLA   RECIFE3 - Nota Fiscal Eletrônica - 000000923</t>
  </si>
  <si>
    <t>Pagamento - PETERFRUT COMERCIAL LTDA -   Nota Fiscal Eletrônica - 000151223</t>
  </si>
  <si>
    <t>Pagamento - PETERFRUT AGRICOLA   RECIFE3 - Nota Fiscal Eletrônica - 000000921</t>
  </si>
  <si>
    <t>Pagamento - PETERFRUT AGRICOLA   RECIFE3 - Nota Fiscal Eletrônica - 000000920</t>
  </si>
  <si>
    <t>Pagamento - PETERFRUT COMERCIAL LTDA -   Nota Fiscal Eletrônica - 151298</t>
  </si>
  <si>
    <t>Pagamento - COMERCIAL SAFA - Boleto -   000032594</t>
  </si>
  <si>
    <t>Pagamento - RONI PASCHOAL BRUNO E   CIA LTDA ME - Boleto - 000035378</t>
  </si>
  <si>
    <t>Pagamento - RONI PASCHOAL BRUNO E   CIA LTDA ME - Boleto - 000035387</t>
  </si>
  <si>
    <t>Pagamento - RONI PASCHOAL BRUNO E   CIA LTDA ME - Boleto - 000035426</t>
  </si>
  <si>
    <t>Pagamento - PERBONI &amp; PERBONI LTDA -   Boleto - 000166936</t>
  </si>
  <si>
    <t>Pagamento - PERBONI &amp; PERBONI LTDA -   Boleto - 000166967</t>
  </si>
  <si>
    <t>Pagamento - IFCO SYSTEMS DO BRASIL   SERVIÇOS DE EMBALAGEM LTDA. - Boleto -   976525354</t>
  </si>
  <si>
    <t>Pagamento - SUL AMERICA COMPANHIA DE   SEGURO - Boleto - 19573204740670</t>
  </si>
  <si>
    <t>Pagamento - WASHINGTON FRUTAS   COMERCIO LTDA - ME - Boleto - 000307849</t>
  </si>
  <si>
    <t>Pagamento - WASHINGTON FRUTAS   COMERCIO LTDA - ME - Boleto - 000307913</t>
  </si>
  <si>
    <t>Pagamento - LOJÃO DA CENOURA - Nota   Fiscal Eletrônica -</t>
  </si>
  <si>
    <t>Pagamento - SANDRO DE PAIVA LOPES   82424691487 - Nota Fiscal Eletrônica -   000000252</t>
  </si>
  <si>
    <t>Pagamento - SANDRO DE PAIVA LOPES   82424691487 - Nota Fiscal Eletrônica - 216</t>
  </si>
  <si>
    <t>Pagamento - SANDRO DE PAIVA LOPES   82424691487 - Nota Fiscal Eletrônica -   000000253</t>
  </si>
  <si>
    <t>Pagamento - SANDRO DE PAIVA LOPES   82424691487 - Nota Fiscal Eletrônica - 218</t>
  </si>
  <si>
    <t>Pagamento - BANCO DO BRASIL S.A. - Nota   Fiscal Eletrônica - Juros BB Giro 01.23</t>
  </si>
  <si>
    <t>Pagamento - BANCO DO BRASIL S.A. - Nota   Fiscal Eletrônica - BB Giro</t>
  </si>
  <si>
    <t>Recebimento - CARREFOUR COMERCIO E   INDUSTRIA LTDA ( TORRE) - Nota Fiscal   Eletrônica - R.Dev Car 10.01.23</t>
  </si>
  <si>
    <t>Pagamento - JAIR BERNARDINO LOPES   03030444465 - Nota Fiscal Eletrônica - 22</t>
  </si>
  <si>
    <t>Pagamento - RAIMUNDO DENILSON DA   SILVA  COSTA - HORTIFRUTIGRANJEIROS -   Nota Fiscal Eletrônica - 000009955</t>
  </si>
  <si>
    <t>Pagamento - RAIMUNDO DENILSON DA   SILVA  COSTA - HORTIFRUTIGRANJEIROS -   Nota Fiscal Eletrônica - 000009956</t>
  </si>
  <si>
    <t>Pagamento - RAIMUNDO DENILSON DA   SILVA  COSTA - HORTIFRUTIGRANJEIROS -   Nota Fiscal Eletrônica - 000009954</t>
  </si>
  <si>
    <t>Pagamento - RAIMUNDO DENILSON DA   SILVA  COSTA - HORTIFRUTIGRANJEIROS -   Nota Fiscal Eletrônica - 000009957</t>
  </si>
  <si>
    <t>Pagamento - RAIMUNDO DENILSON DA   SILVA  COSTA - HORTIFRUTIGRANJEIROS -   Nota Fiscal Eletrônica - 000009965</t>
  </si>
  <si>
    <t>Pagamento - RAIMUNDO DENILSON DA   SILVA  COSTA - HORTIFRUTIGRANJEIROS -   Nota Fiscal Eletrônica - 000009966</t>
  </si>
  <si>
    <t>Pagamento - RAIMUNDO DENILSON DA   SILVA  COSTA - HORTIFRUTIGRANJEIROS -   Nota Fiscal Eletrônica - 000009981</t>
  </si>
  <si>
    <t>Pagamento - RAIMUNDO DENILSON DA   SILVA  COSTA - HORTIFRUTIGRANJEIROS -   Nota Fiscal Eletrônica - 000009980</t>
  </si>
  <si>
    <t>Pagamento - RAPHAEL ANTUNES PINHEIRO -   Nota Fiscal Eletrônica - 29</t>
  </si>
  <si>
    <t>Pagamento - AGINALDO CLAUDINO DA   SILVA - Nota Fiscal Eletrônica - Ac. Aginaldo 12.  22</t>
  </si>
  <si>
    <t>Pagamento - AGNALDO CLAUDINO DA   SILVA JUNIOR - Nota Fiscal Eletrônica - Ac.   Agnaldo 12.22</t>
  </si>
  <si>
    <t>Pagamento - GUSTAVO A S BARROS - Nota   Fiscal Eletrônica - Causa Aginaldo 12.22</t>
  </si>
  <si>
    <t>Pagamento - GUSTAVO A S BARROS - Nota   Fiscal Eletrônica - Causa Agnaldo 12.22</t>
  </si>
  <si>
    <t>Pagamento - KIVERDE HORTIFRUTI - Nota   Fiscal Eletrônica - 000001304</t>
  </si>
  <si>
    <t>Pagamento - COMERCIAL  NOVO ISRAEL    LTDA - Boleto - 000025677</t>
  </si>
  <si>
    <t>Pagamento - PERBONI &amp; PERBONI LTDA -   Boleto - 000167037</t>
  </si>
  <si>
    <t>Pagamento - MOOVECOM ASSESSORIA   LTDA ME - Nota Fiscal Eletrônica - 139</t>
  </si>
  <si>
    <t>Pagamento - JA TRANSPORTE-JAIME DE   ARRUDA - Nota Fiscal Eletrônica - 218</t>
  </si>
  <si>
    <t>Pagamento - JOÃO ELIAS DE SOUZA   JUNIOR - Nota Fiscal Eletrônica - 11</t>
  </si>
  <si>
    <t>Pagamento - JOSE CARLOS AGUIAR DE   LIMA 08883647416 - Nota Fiscal Eletrônica - 26</t>
  </si>
  <si>
    <t>Pagamento - IVANILDO LEANDRO DO   NASCIMENTO JUNIOR 053.536.774-04 - Nota   Fiscal Eletrônica - 9</t>
  </si>
  <si>
    <t>Pagamento - JOÃO BOSCO FERREIRA DA   COSTA - Nota Fiscal Eletrônica - 48</t>
  </si>
  <si>
    <t>Pagamento - CR TRANSPORTES - CRIS DIAS   DOS  SANTOS - Nota Fiscal Eletrônica - 30</t>
  </si>
  <si>
    <t>Pagamento - MARIA LUIZA DE MORAIS -   Outros -</t>
  </si>
  <si>
    <t>Pagamento - HIDEO HARUTA - Nota Fiscal   Eletrônica -</t>
  </si>
  <si>
    <t>Pagamento - JOSENILDO GUSTAVO DE   ALMEIDA - Outros -</t>
  </si>
  <si>
    <t>Pagamento - SEVERINO MARCELINO DE   LIMA - Outros -</t>
  </si>
  <si>
    <t>Pagamento - VALDERLANDIO VALENTIM   GOMES - Outros -</t>
  </si>
  <si>
    <t>Pagamento - SEBASTIAO LUIZ PEREIRA -   Outros -</t>
  </si>
  <si>
    <t>Pagamento - SEVERINO LUIZ DOS SANTOS -   Outros -</t>
  </si>
  <si>
    <t>Pagamento - EDSON JOSE DA SILVA - Outros   -</t>
  </si>
  <si>
    <t>Pagamento - ADRIANA FRUTAS - Nota Fiscal   Eletrônica -</t>
  </si>
  <si>
    <t>Pagamento - HORTA FÁCIL LTDA - Nota   Fiscal Eletrônica - 32</t>
  </si>
  <si>
    <t>Pagamento - ISRAEL AUGUSTO DE   OLIVEIRA - Outros -</t>
  </si>
  <si>
    <t>Recebimento - (IF ESPINHEIRO) IF-BR   COMERCIO DE ALIMENTOS E BEBIDAS   LTDA - Outros - 00100324</t>
  </si>
  <si>
    <t>Recebimento - (IF ESPINHEIRO) IF-BR   COMERCIO DE ALIMENTOS E BEBIDAS   LTDA - Outros - 00100323</t>
  </si>
  <si>
    <t>Pagamento - BRAZ JOSÉ LOPES DA SILVA -   Outros -</t>
  </si>
  <si>
    <t>Pagamento - AZEVEDO PESCADOS - Nota   Fiscal Eletrônica - 000000009</t>
  </si>
  <si>
    <t>Pagamento - WASHINGTON FRUTAS   COMERCIO LTDA - ME - Boleto - 000307957</t>
  </si>
  <si>
    <t>Pagamento - RONI PASCHOAL BRUNO E   CIA LTDA ME - Nota Fiscal Eletrônica -   000035432</t>
  </si>
  <si>
    <t>Pagamento - COMERCIAL SAFA - Boleto -   000032615</t>
  </si>
  <si>
    <t>Pagamento - PETERFRUT COMERCIAL LTDA -   Nota Fiscal Eletrônica - 000151380</t>
  </si>
  <si>
    <t>Pagamento - PETERFRUT COMERCIAL LTDA -   Nota Fiscal Eletrônica - 000151381</t>
  </si>
  <si>
    <t>Pagamento - JR HORTIFRUTI - Nota Fiscal   Eletrônica - 000000050</t>
  </si>
  <si>
    <t>Pagamento - SANDRO DE PAIVA LOPES   82424691487 - Nota Fiscal Eletrônica -   000000223</t>
  </si>
  <si>
    <t>Pagamento - SANDRO DE PAIVA LOPES   82424691487 - Nota Fiscal Eletrônica - 186</t>
  </si>
  <si>
    <t>Pagamento - BANCO DO BRASIL S.A. - Nota   Fiscal Eletrônica - Renov. BB Giro 01.23</t>
  </si>
  <si>
    <t>Pagamento - MARCOS AURELIO DO   NASCIMENTO - Outros - 00098582</t>
  </si>
  <si>
    <t>Pagamento - FOLHA DE PAGAMENTO - Nota   Fiscal Eletrônica - Adian.15.01.23</t>
  </si>
  <si>
    <t>Pagamento - PERBONI &amp; PERBONI LTDA -   Boleto - 000167085</t>
  </si>
  <si>
    <t>Pagamento - RONI PASCHOAL BRUNO E   CIA LTDA ME - Nota Fiscal Eletrônica -   000035458</t>
  </si>
  <si>
    <t>Pagamento - WASHINGTON FRUTAS   COMERCIO LTDA - ME - Boleto - 000307985</t>
  </si>
  <si>
    <t>Pagamento - IFCO SYSTEMS DO BRASIL   SERVIÇOS DE EMBALAGEM LTDA. - Boleto -   976528693</t>
  </si>
  <si>
    <t>Pagamento - JS HIDRAULICA E   PNEUMATICA LTDA ME - Nota Fiscal   Eletrônica - 2022</t>
  </si>
  <si>
    <t>Pagamento - R &amp; R  INDUSTRIA   ALIMENTICIA EIRELI - Nota Fiscal Eletrônica -   000011323</t>
  </si>
  <si>
    <t>Pagamento - C.M. DOMINGUES DE   CARVALHO - Nota Fiscal Eletrônica - 000001339</t>
  </si>
  <si>
    <t>Pagamento - WR COMERCIO E   TRASNPORTES  LTDA  - ME - Nota Fiscal   Eletrônica - 000005349</t>
  </si>
  <si>
    <t>Recebimento - (IF ESPINHEIRO) IF-BR   COMERCIO DE ALIMENTOS E BEBIDAS   LTDA - Outros - 00100435</t>
  </si>
  <si>
    <t>Pagamento - TM COMBUSTIVEIS LTDA -   Nota Fiscal Eletrônica - 000007287</t>
  </si>
  <si>
    <t>Pagamento - KIVERDE HORTIFRUTI - Nota   Fiscal Eletrônica - 000001308</t>
  </si>
  <si>
    <t>Pagamento - WASHINGTON FRUTAS   COMERCIO LTDA - ME - Boleto - 000308040</t>
  </si>
  <si>
    <t>Pagamento - KIVERDE HORTIFRUTI - Nota   Fiscal Eletrônica - 000001286</t>
  </si>
  <si>
    <t>Pagamento - KIVERDE HORTIFRUTI - Nota   Fiscal Eletrônica - 000001282</t>
  </si>
  <si>
    <t>Pagamento - RONI PASCHOAL BRUNO E   CIA LTDA ME - Boleto - 000035475</t>
  </si>
  <si>
    <t>Pagamento - COMERCIAL  NOVO ISRAEL    LTDA - Boleto - 000025728</t>
  </si>
  <si>
    <t>Pagamento - COMERCIAL SAFA - Boleto -   000032646</t>
  </si>
  <si>
    <t>Pagamento - COMERCIAL  NOVO ISRAEL    LTDA - Boleto - 000025707</t>
  </si>
  <si>
    <t>Transferência - Transf. Banco do Brasil &gt;&gt; BNB -   GS - Outros -</t>
  </si>
  <si>
    <t>Transferência - Transf. Banco do Brasil &gt;&gt;   Banco do Nordeste - Outros -</t>
  </si>
  <si>
    <t>Pagamento - PERBONI &amp; PERBONI LTDA -   Boleto - 000167124</t>
  </si>
  <si>
    <t>Pagamento - PETERFRUT COMERCIAL LTDA -   Nota Fiscal Eletrônica - 000151445</t>
  </si>
  <si>
    <t>Pagamento - CHARLES TRANSPORTES   EIRELI - ME - CT-e - 000000292</t>
  </si>
  <si>
    <t>Pagamento - FOLHA DE PAGAMENTO - Nota   Fiscal Eletrônica - Adian.compl.01.23</t>
  </si>
  <si>
    <t>Pagamento - COMERCIAL HORTI-FRIOS   LTDA - Nota Fiscal Eletrônica - Dist.LC.2 13.01.  23</t>
  </si>
  <si>
    <t>Pagamento - COMERCIAL HORTI-FRIOS   LTDA - Nota Fiscal Eletrônica - JCP 13.01.23</t>
  </si>
  <si>
    <t>Pagamento - COMERCIAL HORTI-FRIOS   LTDA - Nota Fiscal Eletrônica - Dist.LC 13.01.2</t>
  </si>
  <si>
    <t>Recebimento - (IF ESPINHEIRO) IF-BR   COMERCIO DE ALIMENTOS E BEBIDAS   LTDA - Outros - 00100552</t>
  </si>
  <si>
    <t>Pagamento - ISMAEL DE MENDONÇA   BANDEIRA ME - Nota Fiscal Eletrônica -   000000317</t>
  </si>
  <si>
    <t>Pagamento - ISMAEL DE MENDONÇA   BANDEIRA ME - Nota Fiscal Eletrônica -   000000318</t>
  </si>
  <si>
    <t>Pagamento - POSTO IBIZA - Nota Fiscal   Eletrônica - 000007138</t>
  </si>
  <si>
    <t>Pagamento - POSTO IBIZA LTDA - Nota Fiscal   Eletrônica - 000006035</t>
  </si>
  <si>
    <t>Pagamento - KIVERDE HORTIFRUTI - Nota   Fiscal Eletrônica - 000001274</t>
  </si>
  <si>
    <t>Pagamento - COMPESA - Nota Fiscal Eletrônica   - Compesa 12.2022</t>
  </si>
  <si>
    <t>Pagamento - MB COMERCIAL LTDA - ME -   Boleto - 43810</t>
  </si>
  <si>
    <t>Pagamento - MACROPAC PROTECAO E   EMBALAGEM LTDA - Nota Fiscal Eletrônica -   000411509</t>
  </si>
  <si>
    <t>Pagamento - A.F.V DA FONSECA -EPP - Nota   Fiscal Eletrônica - 000052377</t>
  </si>
  <si>
    <t>Pagamento - KIVERDE HORTIFRUTI - Nota   Fiscal Eletrônica - 000001313</t>
  </si>
  <si>
    <t>Pagamento - KIVERDE HORTIFRUTI - Nota   Fiscal Eletrônica - 000001271</t>
  </si>
  <si>
    <t>Pagamento - KIVERDE HORTIFRUTI - Nota   Fiscal Eletrônica - 000001302</t>
  </si>
  <si>
    <t>Pagamento - IFCO SYSTEMS DO BRASIL   SERVIÇOS DE EMBALAGEM LTDA. - Boleto -   976530944</t>
  </si>
  <si>
    <t>Pagamento - WASHINGTON FRUTAS   COMERCIO LTDA - ME - Nota Fiscal Eletrônica   - 000308152</t>
  </si>
  <si>
    <t>Pagamento - RONI PASCHOAL BRUNO E   CIA LTDA ME - Boleto - 000035563</t>
  </si>
  <si>
    <t>Pagamento - PIERRE COSTA DE LIMA EIRELI   EPP - Boleto - 000001473</t>
  </si>
  <si>
    <t>Pagamento - COMERCIAL SAFA - Boleto -   000032671</t>
  </si>
  <si>
    <t>Pagamento - WASHINGTON FRUTAS   COMERCIO LTDA - ME - Boleto - 000308130</t>
  </si>
  <si>
    <t>Pagamento - PERBONI &amp; PERBONI LTDA -   Boleto - 000167213</t>
  </si>
  <si>
    <t>Pagamento - RONI PASCHOAL BRUNO E   CIA LTDA ME - Boleto - 000035518</t>
  </si>
  <si>
    <t>Pagamento - A.F.V DA FONSECA -EPP -   Boleto - 000052298</t>
  </si>
  <si>
    <t>Pagamento - RONI PASCHOAL BRUNO E   CIA LTDA ME - Boleto - 000035514</t>
  </si>
  <si>
    <t>Pagamento - KIVERDE HORTIFRUTI - Boleto -   000001253</t>
  </si>
  <si>
    <t>Pagamento - PETERFRUT COMERCIAL LTDA -   Nota Fiscal Eletrônica - 000151520</t>
  </si>
  <si>
    <t>Pagamento - PETERFRUT AGRICOLA   RECIFE3 - Nota Fiscal Eletrônica - 000000980</t>
  </si>
  <si>
    <t>Pagamento - PETERFRUT AGRICOLA   RECIFE3 - Nota Fiscal Eletrônica - 000000973</t>
  </si>
  <si>
    <t>Pagamento - COMERCIAL HORTI-FRIOS   LTDA - Nota Fiscal Eletrônica - Dist.LC. 16.01.23</t>
  </si>
  <si>
    <t>Pagamento - COMERCIAL HORTI-FRIOS   LTDA - Nota Fiscal Eletrônica - Dist.LC.2 16.01.  23</t>
  </si>
  <si>
    <t>Pagamento - COMPANHIA ENERGÉTICA DE   PERNAMBUCO - Boleto - 237570672</t>
  </si>
  <si>
    <t>Pagamento - MOB2CON SOLUÇÕES   TECNOLIGAS LTDA - Boleto - 23904</t>
  </si>
  <si>
    <t>Pagamento - MACROPAC PROTECAO E   EMBALAGEM LTDA - Nota Fiscal Eletrônica -   000412353</t>
  </si>
  <si>
    <t>Pagamento - PERBONI &amp; PERBONI LTDA -   Nota Fiscal Eletrônica - 000167294</t>
  </si>
  <si>
    <t>Pagamento - COMERCIAL  NOVO ISRAEL    LTDA - Nota Fiscal Eletrônica - 000025767</t>
  </si>
  <si>
    <t>Pagamento - JOSE CARLOS AGUIAR DE   LIMA 08883647416 - Nota Fiscal Eletrônica - 27</t>
  </si>
  <si>
    <t>Pagamento - SECRETARIA DA FAZENDA  -   SEFAZ - Nota Fiscal Eletrônica - Vist.Bombeiro    01.23</t>
  </si>
  <si>
    <t>Pagamento - JR HORTIFRUTI - Nota Fiscal   Eletrônica - 000000059</t>
  </si>
  <si>
    <t>Pagamento - WASHINGTON FRUTAS   COMERCIO LTDA - ME - Nota Fiscal Eletrônica   - 000308203</t>
  </si>
  <si>
    <t>Pagamento - A.F.V DA FONSECA -EPP - Nota   Fiscal Eletrônica - 000052393</t>
  </si>
  <si>
    <t>Pagamento - RONI PASCHOAL BRUNO E   CIA LTDA ME - Nota Fiscal Eletrônica -   000035569</t>
  </si>
  <si>
    <t>Pagamento - PETERFRUT COMERCIAL LTDA -   Boleto - 000151609</t>
  </si>
  <si>
    <t>Pagamento - PETERFRUT COMERCIAL LTDA -   Boleto - 000151608</t>
  </si>
  <si>
    <t>Pagamento - RECIFILME COMERCIO LTDA -   Nota Fiscal Eletrônica - 000005178</t>
  </si>
  <si>
    <t>Pagamento - RONI PASCHOAL BRUNO E   CIA LTDA ME - Nota Fiscal Eletrônica -   000035594</t>
  </si>
  <si>
    <t>Pagamento - COMERCIAL SAFA - Nota Fiscal   Eletrônica - 000032712</t>
  </si>
  <si>
    <t>Pagamento - COMERCIAL  NOVO ISRAEL    LTDA - Nota Fiscal Eletrônica - 000025804</t>
  </si>
  <si>
    <t>Pagamento - PERBONI &amp; PERBONI LTDA -   Nota Fiscal Eletrônica - 000167369</t>
  </si>
  <si>
    <t>Pagamento - PERBONI &amp; PERBONI LTDA -   Nota Fiscal Eletrônica - 000167362</t>
  </si>
  <si>
    <t>Pagamento - CHARLES TRANSPORTES   EIRELI - ME - CT-e - 000000294</t>
  </si>
  <si>
    <t>Pagamento - CHARLES TRANSPORTES   EIRELI - ME - CT-e - 000000293</t>
  </si>
  <si>
    <t>Pagamento - TM COMBUSTIVEIS LTDA -   Nota Fiscal Eletrônica - 000007319</t>
  </si>
  <si>
    <t>Pagamento - RAIMUNDO DENILSON DA   SILVA  COSTA - HORTIFRUTIGRANJEIROS -   Nota Fiscal Eletrônica - 000010070</t>
  </si>
  <si>
    <t>Pagamento - RAIMUNDO DENILSON DA   SILVA  COSTA - HORTIFRUTIGRANJEIROS -   Nota Fiscal Eletrônica - 000010069</t>
  </si>
  <si>
    <t>Pagamento - RAIMUNDO DENILSON DA   SILVA  COSTA - HORTIFRUTIGRANJEIROS -   Nota Fiscal Eletrônica - 000010043</t>
  </si>
  <si>
    <t>Pagamento - RAIMUNDO DENILSON DA   SILVA  COSTA - HORTIFRUTIGRANJEIROS -   Nota Fiscal Eletrônica - 000010042</t>
  </si>
  <si>
    <t>Pagamento - RAIMUNDO DENILSON DA   SILVA  COSTA - HORTIFRUTIGRANJEIROS -   Nota Fiscal Eletrônica - 000010039</t>
  </si>
  <si>
    <t>Pagamento - RAIMUNDO DENILSON DA   SILVA  COSTA - HORTIFRUTIGRANJEIROS -   Nota Fiscal Eletrônica - 000010038</t>
  </si>
  <si>
    <t>Pagamento - RAIMUNDO DENILSON DA   SILVA  COSTA - HORTIFRUTIGRANJEIROS -   Nota Fiscal Eletrônica - 000010007</t>
  </si>
  <si>
    <t>Pagamento - RAIMUNDO DENILSON DA   SILVA  COSTA - HORTIFRUTIGRANJEIROS -   Nota Fiscal Eletrônica - 000010006</t>
  </si>
  <si>
    <t>Pagamento - RAIMUNDO DENILSON DA   SILVA  COSTA - HORTIFRUTIGRANJEIROS -   Nota Fiscal Eletrônica - 000009992</t>
  </si>
  <si>
    <t>Pagamento - RAIMUNDO DENILSON DA   SILVA  COSTA - HORTIFRUTIGRANJEIROS -   Nota Fiscal Eletrônica - 000009993</t>
  </si>
  <si>
    <t>Pagamento - KIVERDE HORTIFRUTI - Nota   Fiscal Eletrônica - 000001344</t>
  </si>
  <si>
    <t>Pagamento - KIVERDE HORTIFRUTI - Nota   Fiscal Eletrônica - 000001333</t>
  </si>
  <si>
    <t>Pagamento - COMERCIAL  NOVO ISRAEL    LTDA - Nota Fiscal Eletrônica - 000025835</t>
  </si>
  <si>
    <t>Pagamento - RONI PASCHOAL BRUNO E   CIA LTDA ME - Nota Fiscal Eletrônica -   000035628</t>
  </si>
  <si>
    <t>Pagamento - WASHINGTON FRUTAS   COMERCIO LTDA - ME - Nota Fiscal Eletrônica   - 000308304</t>
  </si>
  <si>
    <t>Pagamento - PERBONI &amp; PERBONI LTDA -   Nota Fiscal Eletrônica - 000167460</t>
  </si>
  <si>
    <t>Pagamento - VINI COMERCIO DE ALHOS   LTDA - Boleto - 000017824</t>
  </si>
  <si>
    <t>Pagamento - VINI COMERCIO DE ALHOS   LTDA - Boleto - 000017823</t>
  </si>
  <si>
    <t>Pagamento - PETERFRUT AGRICOLA   RECIFE3 - Nota Fiscal Eletrônica - 000001048</t>
  </si>
  <si>
    <t>Pagamento - MAIS VERDE LTDA ME - Nota   Fiscal Eletrônica -</t>
  </si>
  <si>
    <t>Pagamento - J A ALVES DE MOREIRA ME -   CT-e -</t>
  </si>
  <si>
    <t>Pagamento - LOJÃO DA CENOURA - Nota   Fiscal Eletrônica - 000003572</t>
  </si>
  <si>
    <t>Pagamento - LOJÃO DA CENOURA - Nota   Fiscal Eletrônica - 000003575</t>
  </si>
  <si>
    <t>Pagamento - LOJÃO DA CENOURA - Nota   Fiscal Eletrônica - 000003576</t>
  </si>
  <si>
    <t>Pagamento - LOJÃO DA CENOURA - Nota   Fiscal Eletrônica - 000003584</t>
  </si>
  <si>
    <t>Pagamento - SMARTLINK TECNOLOGIA EM   INTERNET LTDA - Nota Fiscal Eletrônica -   466201</t>
  </si>
  <si>
    <t>Pagamento - SECRETARIA DA RECEITA   FEDERAL - Boleto - IRRF 12/2022</t>
  </si>
  <si>
    <t>Pagamento - PERBONI &amp; PERBONI LTDA -   Nota Fiscal Eletrônica - 000167530</t>
  </si>
  <si>
    <t>Pagamento - ISMAEL DE MENDONÇA   BANDEIRA ME - Nota Fiscal Eletrônica -   000000323</t>
  </si>
  <si>
    <t>Pagamento - KIVERDE HORTIFRUTI - Nota   Fiscal Eletrônica - 000001325</t>
  </si>
  <si>
    <t>Pagamento - KIVERDE HORTIFRUTI - Nota   Fiscal Eletrônica - 000001366</t>
  </si>
  <si>
    <t>Pagamento - KIVERDE HORTIFRUTI - Nota   Fiscal Eletrônica - 000001365</t>
  </si>
  <si>
    <t>Pagamento - IFCO SYSTEMS DO BRASIL   SERVIÇOS DE EMBALAGEM LTDA. - Boleto -   976536558</t>
  </si>
  <si>
    <t>Pagamento - A.F.V DA FONSECA -EPP - Nota   Fiscal Eletrônica - 000052569</t>
  </si>
  <si>
    <t>Pagamento - WASHINGTON FRUTAS   COMERCIO LTDA - ME - Nota Fiscal Eletrônica   - 000308384</t>
  </si>
  <si>
    <t>Pagamento - RONI PASCHOAL BRUNO E   CIA LTDA ME - Nota Fiscal Eletrônica -   000035696</t>
  </si>
  <si>
    <t>Pagamento - RONI PASCHOAL BRUNO E   CIA LTDA ME - Nota Fiscal Eletrônica -   000035691</t>
  </si>
  <si>
    <t>Pagamento - A.F.V DA FONSECA -EPP - Nota   Fiscal Eletrônica - 000052496</t>
  </si>
  <si>
    <t>Pagamento - WASHINGTON FRUTAS   COMERCIO LTDA - ME - Nota Fiscal Eletrônica   - 000308320</t>
  </si>
  <si>
    <t>Pagamento - PETERFRUT COMERCIAL LTDA -   Nota Fiscal Eletrônica - 000151742</t>
  </si>
  <si>
    <t>Pagamento - PERBONI &amp; PERBONI LTDA -   Nota Fiscal Eletrônica - 000167512</t>
  </si>
  <si>
    <t>Pagamento - KIVERDE HORTIFRUTI - Nota   Fiscal Eletrônica - 000001319</t>
  </si>
  <si>
    <t>Pagamento - RONI PASCHOAL BRUNO E   CIA LTDA ME - Nota Fiscal Eletrônica -   000035639</t>
  </si>
  <si>
    <t>Pagamento - COMERCIAL SAFA - Nota Fiscal   Eletrônica - 000032768</t>
  </si>
  <si>
    <t>Pagamento - PERBONI &amp; PERBONI LTDA -   Nota Fiscal Eletrônica - 000167511</t>
  </si>
  <si>
    <t>Pagamento - PETERFRUT COMERCIAL LTDA -   Boleto - 000151669</t>
  </si>
  <si>
    <t>Pagamento - PETERFRUT AGRICOLA   RECIFE3 - Boleto - 000001085</t>
  </si>
  <si>
    <t>Pagamento - PETERFRUT AGRICOLA   RECIFE3 - Boleto - 000001086</t>
  </si>
  <si>
    <t>Pagamento - PETERFRUT AGRICOLA   RECIFE3 - Boleto - 000001064</t>
  </si>
  <si>
    <t>Pagamento - POTTENCIAL SEGURADORA S/  A - Nota Fiscal Eletrônica -</t>
  </si>
  <si>
    <t>Pagamento - QUALIAGUA LABORATORIO E   CONSULTORIA LTDA - Nota Fiscal Eletrônica -   62687</t>
  </si>
  <si>
    <t>Pagamento - TUPAN LJ IMBIRIBEIRA - Nota   Fiscal Eletrônica - 000360402</t>
  </si>
  <si>
    <t>Pagamento - DE CALITATE-MVN CAMPOS &amp;   CIA SERV CONTR QUALID ALIMENTICIOS -   Nota Fiscal Eletrônica - 668</t>
  </si>
  <si>
    <t>Pagamento - MAQ-LAREM MAQUINAS   MOVEIS E EQUIPAMENTOS LTDA - Boleto -   Z01785</t>
  </si>
  <si>
    <t>Pagamento - O BARATAO DAS   EMBALAGENS - RECIFE - Nota Fiscal   Eletrônica - 000001922</t>
  </si>
  <si>
    <t>Pagamento - COMERCIAL  NOVO ISRAEL    LTDA - Nota Fiscal Eletrônica - 000025869</t>
  </si>
  <si>
    <t>Pagamento - PERBONI &amp; PERBONI LTDA -   Nota Fiscal Eletrônica - 000167612</t>
  </si>
  <si>
    <t>Pagamento - VFS SISTEMA ELETRONICO DE   ALARME LTDA - Nota Fiscal Eletrônica -  667820/ 616401</t>
  </si>
  <si>
    <t>Pagamento - JOSE CARLOS AGUIAR DE   LIMA 08883647416 - Nota Fiscal Eletrônica - 28</t>
  </si>
  <si>
    <t>Pagamento - PETERFRUT COMERCIAL LTDA -   Boleto - 000151827</t>
  </si>
  <si>
    <t>Pagamento - NEXXERA TECNOLOGIA E   SERVIÇOS - Boleto - 166545</t>
  </si>
  <si>
    <t>Pagamento - R &amp; R  INDUSTRIA   ALIMENTICIA EIRELI - Nota Fiscal Eletrônica -   000011398</t>
  </si>
  <si>
    <t>Pagamento - HC PNEUS S.A - Nota Fiscal   Eletrônica - 000072777</t>
  </si>
  <si>
    <t>Pagamento - VIVO-TELEFONICA BRASIL S/A   - Boleto - Vivo 12.22 a 01.23</t>
  </si>
  <si>
    <t>Pagamento - HAPVIDA ASSISTENCIA   MEDICA LTDA - Boleto - 43725329</t>
  </si>
  <si>
    <t>Pagamento - WASHINGTON FRUTAS   COMERCIO LTDA - ME - Nota Fiscal Eletrônica   - 000308460</t>
  </si>
  <si>
    <t>Pagamento - A.F.V DA FONSECA -EPP - Nota   Fiscal Eletrônica - 000052600</t>
  </si>
  <si>
    <t>Pagamento - RONI PASCHOAL BRUNO E   CIA LTDA ME - Nota Fiscal Eletrônica -   000035705</t>
  </si>
  <si>
    <t>Pagamento - JR HORTIFRUTI - Nota Fiscal   Eletrônica - 000000070</t>
  </si>
  <si>
    <t>Pagamento - PETERFRUT COMERCIAL LTDA -   Boleto - 000151833</t>
  </si>
  <si>
    <t>Pagamento - FABIO EXTINTORES-FABIO   PEREIRA DO NASCIMENTO - Nota Fiscal   Eletrônica - 98</t>
  </si>
  <si>
    <t>Pagamento - VEM - Boleto - 10437435</t>
  </si>
  <si>
    <t>Pagamento - A.F.V DA FONSECA -EPP - Nota   Fiscal Eletrônica - 000052635</t>
  </si>
  <si>
    <t>Pagamento - WASHINGTON FRUTAS   COMERCIO LTDA - ME - Nota Fiscal Eletrônica   - 000308470</t>
  </si>
  <si>
    <t>Pagamento - PERBONI &amp; PERBONI LTDA -   Nota Fiscal Eletrônica - 000167663</t>
  </si>
  <si>
    <t>Pagamento - RONI PASCHOAL BRUNO E   CIA LTDA ME - Nota Fiscal Eletrônica -   000035721</t>
  </si>
  <si>
    <t>Pagamento - COMERCIAL HORTI-FRIOS   LTDA - Nota Fiscal Eletrônica - Dist.LC. 26.01.23</t>
  </si>
  <si>
    <t>Pagamento - COMERCIAL HORTI-FRIOS   LTDA - Nota Fiscal Eletrônica - Dist.LC.2 26.01.  23</t>
  </si>
  <si>
    <t>Pagamento - FOLHA DE PAGAMENTO - Nota   Fiscal Eletrônica - Fer.Medeios 02.23</t>
  </si>
  <si>
    <t>Pagamento - PETERFRUT COMERCIAL LTDA -   Boleto - 000151861</t>
  </si>
  <si>
    <t>Pagamento - PERBONI &amp; PERBONI LTDA -   Nota Fiscal Eletrônica - 000167701</t>
  </si>
  <si>
    <t>Pagamento - RONI PASCHOAL BRUNO E   CIA LTDA ME - Nota Fiscal Eletrônica -   000035735</t>
  </si>
  <si>
    <t>Pagamento - COMERCIAL  NOVO ISRAEL    LTDA - Nota Fiscal Eletrônica - 000025897</t>
  </si>
  <si>
    <t>Pagamento - KIVERDE HORTIFRUTI - Nota   Fiscal Eletrônica - 000001381</t>
  </si>
  <si>
    <t>Pagamento - KIVERDE HORTIFRUTI - Nota   Fiscal Eletrônica - 000001369</t>
  </si>
  <si>
    <t>Pagamento - KIVERDE HORTIFRUTI - Nota   Fiscal Eletrônica - 000001355</t>
  </si>
  <si>
    <t>Pagamento - CHARLES TRANSPORTES   EIRELI - ME - CT-e - 000000295</t>
  </si>
  <si>
    <t>Pagamento - SECRETARIA DA FAZENDA  -   SEFAZ - Boleto - ICMS FRON TOM 12.22</t>
  </si>
  <si>
    <t>Pagamento - TM COMBUSTIVEIS LTDA -   Nota Fiscal Eletrônica - 000007345</t>
  </si>
  <si>
    <t>Pagamento - SINDICATO DAS EMPRESA   TRANSP URB DE PASS RN - Nota Fiscal   Eletrônica - 291000</t>
  </si>
  <si>
    <t>Pagamento - VR BENEFICIOS E SERVIÇOS   DE PROCESSAMENTO LTDA - Nota Fiscal   Eletrônica - 46139259</t>
  </si>
  <si>
    <t>Pagamento - VR BENEFICIOS E SERVIÇOS   DE PROCESSAMENTO LTDA - Nota Fiscal   Eletrônica - 46132310</t>
  </si>
  <si>
    <t>Pagamento - COMERCIAL HORTI-FRIOS   LTDA - Nota Fiscal Eletrônica - Dist.LC. 27.01.23</t>
  </si>
  <si>
    <t>Pagamento - COMERCIAL HORTI-FRIOS   LTDA - Nota Fiscal Eletrônica - Dist.LC.2 27.01.  23</t>
  </si>
  <si>
    <t>Transferência - Transf. Itaú Unibanco &gt;&gt; Banco   do Brasil - Outros -</t>
  </si>
  <si>
    <t>Pagamento - FOLHA DE PAGAMENTO - Nota   Fiscal Eletrônica - Folha 01.2023</t>
  </si>
  <si>
    <t>Pagamento - PETERFRUT AGRICOLA   RECIFE3 - Boleto - 000001173</t>
  </si>
  <si>
    <t>Pagamento - PETERFRUT AGRICOLA   RECIFE3 - Boleto - 000001175</t>
  </si>
  <si>
    <t>Pagamento - PETERFRUT COMERCIAL LTDA -   Boleto - 000151991</t>
  </si>
  <si>
    <t>Pagamento - PIERRE COSTA DE LIMA EIRELI   EPP - Nota Fiscal Eletrônica - 000001486</t>
  </si>
  <si>
    <t>Pagamento - RONI PASCHOAL BRUNO E   CIA LTDA ME - Nota Fiscal Eletrônica -   000035738</t>
  </si>
  <si>
    <t>Pagamento - KIVERDE HORTIFRUTI - Nota   Fiscal Eletrônica - 000001386</t>
  </si>
  <si>
    <t>Pagamento - PERBONI &amp; PERBONI LTDA -   Nota Fiscal Eletrônica - 000167789</t>
  </si>
  <si>
    <t>Pagamento - RONI PASCHOAL BRUNO E   CIA LTDA ME - Nota Fiscal Eletrônica -   000035745</t>
  </si>
  <si>
    <t>Pagamento - COMERCIAL  NOVO ISRAEL    LTDA - Nota Fiscal Eletrônica - 000025939</t>
  </si>
  <si>
    <t>Pagamento - RONI PASCHOAL BRUNO E   CIA LTDA ME - Nota Fiscal Eletrônica -   000035774</t>
  </si>
  <si>
    <t>Pagamento - A.F.V DA FONSECA -EPP - Nota   Fiscal Eletrônica - 000052680</t>
  </si>
  <si>
    <t>Pagamento - WASHINGTON FRUTAS   COMERCIO LTDA - ME - Nota Fiscal Eletrônica   - 000308609</t>
  </si>
  <si>
    <t>Pagamento - IFCO SYSTEMS DO BRASIL   SERVIÇOS DE EMBALAGEM LTDA. - Boleto -   976541168</t>
  </si>
  <si>
    <t>Pagamento - ETIQUETAS GUARARAPES   INDUSTRIA GRAFICA LTDA - Nota Fiscal   Eletrônica - 000030671</t>
  </si>
  <si>
    <t>Pagamento - GS CONSULT - Nota Fiscal   Eletrônica - 2</t>
  </si>
  <si>
    <t>Pagamento - EMILIA ELIZABETH BEZERRA   DOS SANTOS 08060386409 - Nota Fiscal de   Serviço - 9</t>
  </si>
  <si>
    <t>Pagamento - RAIMUNDO DENILSON DA   SILVA  COSTA - HORTIFRUTIGRANJEIROS -   Nota Fiscal Eletrônica - 000010141</t>
  </si>
  <si>
    <t>Pagamento - RAIMUNDO DENILSON DA   SILVA  COSTA - HORTIFRUTIGRANJEIROS -   Nota Fiscal Eletrônica - 000010140</t>
  </si>
  <si>
    <t>Pagamento - RAIMUNDO DENILSON DA   SILVA  COSTA - HORTIFRUTIGRANJEIROS -   Nota Fiscal Eletrônica - 000010139</t>
  </si>
  <si>
    <t>Pagamento - RAIMUNDO DENILSON DA   SILVA  COSTA - HORTIFRUTIGRANJEIROS -   Nota Fiscal Eletrônica - 000010106</t>
  </si>
  <si>
    <t>Pagamento - RAIMUNDO DENILSON DA   SILVA  COSTA - HORTIFRUTIGRANJEIROS -   Nota Fiscal Eletrônica - 000010105</t>
  </si>
  <si>
    <t>Pagamento - RAIMUNDO DENILSON DA   SILVA  COSTA - HORTIFRUTIGRANJEIROS -   Nota Fiscal Eletrônica - 000010104</t>
  </si>
  <si>
    <t>Pagamento - RAIMUNDO DENILSON DA   SILVA  COSTA - HORTIFRUTIGRANJEIROS -   Nota Fiscal Eletrônica - 000010103</t>
  </si>
  <si>
    <t>Pagamento - RAIMUNDO DENILSON DA   SILVA  COSTA - HORTIFRUTIGRANJEIROS -   Nota Fiscal Eletrônica - 000010102</t>
  </si>
  <si>
    <t>Pagamento - GS CONSULT - Nota Fiscal   Eletrônica - 1</t>
  </si>
  <si>
    <t>Pagamento - ISMAEL DE MENDONÇA   BANDEIRA ME - Nota Fiscal Eletrônica -   000000326</t>
  </si>
  <si>
    <t>Pagamento - ROCHA &amp; MONTARROYOS   ACESSORIA CONTABIL - Nota Fiscal   Eletrônica - 003/2023</t>
  </si>
  <si>
    <t>Pagamento - MANOEL CORREIA DE   OLIVEIRA - Outros - 00099561</t>
  </si>
  <si>
    <t>Pagamento - MANOEL CORREIA DE   OLIVEIRA - Outros - 00099623</t>
  </si>
  <si>
    <t>Pagamento - MANOEL CORREIA DE   OLIVEIRA - Outros - 00099669</t>
  </si>
  <si>
    <t>Recebimento - CARREFOUR COMERCIO E   INDUSTRIA LTDA ( TORRE) - Nota Fiscal   Eletrônica - Reem.Dev Car 01.23</t>
  </si>
  <si>
    <t>Recebimento - ROCHA &amp; MONTARROYOS   ACESSORIA CONTABIL - Nota Fiscal   Eletrônica - Reemb.Juros e Multa</t>
  </si>
  <si>
    <t>Pagamento - FOLHA DE PAGAMENTO - Nota   Fiscal Eletrônica - Ferias Edval 02.23</t>
  </si>
  <si>
    <t>Pagamento - PERBONI &amp; PERBONI LTDA -   Nota Fiscal Eletrônica - 000167896</t>
  </si>
  <si>
    <t>Pagamento - KIVERDE HORTIFRUTI - Nota   Fiscal Eletrônica - 000001396</t>
  </si>
  <si>
    <t>Pagamento - COMERCIAL  NOVO ISRAEL    LTDA - Nota Fiscal Eletrônica - 000025968</t>
  </si>
  <si>
    <t>Pagamento - SECRETARIA DA RECEITA   FEDERAL - Boleto - IRRF PJ 10.2022</t>
  </si>
  <si>
    <t>Pagamento - SECRETARIA DA RECEITA   FEDERAL - Nota Fiscal Eletrônica - IRPJ   1ªQ4ºTri 01.23</t>
  </si>
  <si>
    <t>Pagamento - SECRETARIA DA RECEITA   FEDERAL - Nota Fiscal Eletrônica - CSLL   1ªQ4ºTri 01.23</t>
  </si>
  <si>
    <t>Pagamento - GS CONSULT - Nota Fiscal   Eletrônica - 5</t>
  </si>
  <si>
    <t>Pagamento - JOSE CARLOS AGUIAR DE   LIMA 08883647416 - Nota Fiscal Eletrônica - 29</t>
  </si>
  <si>
    <t>Pagamento - AURIBATAN VICTOR DE   OLIVEIRA FILHO 052118623458 - Nota Fiscal   Eletrônica - 99</t>
  </si>
  <si>
    <t>Pagamento - PETERFRUT AGRICOLA   RECIFE3 - Boleto - 000001156</t>
  </si>
  <si>
    <t>Pagamento - CIL COMERCIO DE   INFORMATICA LTDA - Nota Fiscal Eletrônica -   000906515</t>
  </si>
  <si>
    <t>Pagamento - JOSE DENILSON SANTOS -   Outros -</t>
  </si>
  <si>
    <t>Pagamento - SECRETARIA DA RECEITA   FEDERAL - Boleto - RET.IMP PJ 10.22</t>
  </si>
  <si>
    <t>PAGAMENTO INSS 01/2023</t>
  </si>
  <si>
    <t>Pagamento - Tarifas Bancárias</t>
  </si>
  <si>
    <t>Recebimento - Clientes - Revenda de Mercadoria</t>
  </si>
  <si>
    <t>Recebimento -MOUSTACHE BEAMS (DS  RECIFE SUL) - Clientes - Revenda de  Mercadoria00099620</t>
  </si>
  <si>
    <t>Recebimento -NIPPON INDUSTRIA E  COMERCIO DE ALIMENTOS LTDA - Clientes -  Revenda de Mercadoria00100046</t>
  </si>
  <si>
    <t>Recebimento -DS RECIFE NORTE - Clientes -  Revenda de Mercadoria00099742</t>
  </si>
  <si>
    <t>Recebimento -DS CASA  AMARELA - Clientes -  Revenda de Mercadoria00099741</t>
  </si>
  <si>
    <t>Recebimento -DS RECIFE NORTE - Clientes -  Revenda de Mercadoria00099738</t>
  </si>
  <si>
    <t>Recebimento -DS CASA  AMARELA - Clientes -  Revenda de Mercadoria00099737</t>
  </si>
  <si>
    <t>Recebimento -DS PIEDADE - Clientes -  Revenda de Mercadoria00099735</t>
  </si>
  <si>
    <t>Recebimento -MOUSTACHE BEAMS (DS  RECIFE SUL) - Clientes - Revenda de  Mercadoria00099733</t>
  </si>
  <si>
    <t>Recebimento -DS PIEDADE - Clientes -  Revenda de Mercadoria00099732</t>
  </si>
  <si>
    <t>Recebimento -DS RECIFE NORTE - Clientes -  Revenda de Mercadoria00099842</t>
  </si>
  <si>
    <t>Recebimento -DS CASA  AMARELA - Clientes -  Revenda de Mercadoria00099841</t>
  </si>
  <si>
    <t>Recebimento -DS AFLITOS - Clientes -  Revenda de Mercadoria00099840</t>
  </si>
  <si>
    <t>Recebimento -DS PIEDADE - Clientes -  Revenda de Mercadoria00099839</t>
  </si>
  <si>
    <t>Recebimento -DS CASA  AMARELA - Clientes -  Revenda de Mercadoria00099880</t>
  </si>
  <si>
    <t>Recebimento -DS PIEDADE - Clientes -  Revenda de Mercadoria00099878</t>
  </si>
  <si>
    <t>Recebimento -DS RECIFE NORTE - Clientes -  Revenda de Mercadoria00099876</t>
  </si>
  <si>
    <t>Recebimento -DS AFLITOS - Clientes -  Revenda de Mercadoria00099958</t>
  </si>
  <si>
    <t>Recebimento -DS PIEDADE - Clientes -  Revenda de Mercadoria00099956</t>
  </si>
  <si>
    <t>Recebimento -DS RECIFE NORTE - Clientes -  Revenda de Mercadoria00099954</t>
  </si>
  <si>
    <t>Recebimento -DS CASA  AMARELA - Clientes -  Revenda de Mercadoria00099953</t>
  </si>
  <si>
    <t>Recebimento -MOUSTACHE BEAMS (DS  RECIFE SUL) - Clientes - Revenda de  Mercadoria00099945</t>
  </si>
  <si>
    <t>Recebimento -DS RECIFE NORTE - Clientes -  Revenda de Mercadoria00099943</t>
  </si>
  <si>
    <t>Recebimento -DS CASA  AMARELA - Clientes -  Revenda de Mercadoria00099942</t>
  </si>
  <si>
    <t>Recebimento -DS AFLITOS - Clientes -  Revenda de Mercadoria00099940</t>
  </si>
  <si>
    <t>Recebimento -NIPPON INDUSTRIA E  COMERCIO DE ALIMENTOS LTDA - Clientes -  Revenda de Mercadoria00100400</t>
  </si>
  <si>
    <t>Recebimento -DS PIEDADE - Clientes -  Revenda de Mercadoria00099996</t>
  </si>
  <si>
    <t>Recebimento -DS CASA  AMARELA - Clientes -  Revenda de Mercadoria00100064</t>
  </si>
  <si>
    <t>Recebimento -MOUSTACHE BEAMS (DS  RECIFE SUL) - Clientes - Revenda de  Mercadoria00100062</t>
  </si>
  <si>
    <t>Recebimento -DS RECIFE NORTE - Clientes -  Revenda de Mercadoria00100061</t>
  </si>
  <si>
    <t>Recebimento -DS RECIFE NORTE - Clientes -  Revenda de Mercadoria00100059</t>
  </si>
  <si>
    <t>Recebimento -DS CASA  AMARELA - Clientes -  Revenda de Mercadoria00100056</t>
  </si>
  <si>
    <t>Recebimento -DS PIEDADE - Clientes -  Revenda de Mercadoria00100054</t>
  </si>
  <si>
    <t>Recebimento -MOUSTACHE BEAMS (DS  RECIFE SUL) - Clientes - Revenda de  Mercadoria00100053</t>
  </si>
  <si>
    <t>Recebimento -DS PIEDADE - Clientes -  Revenda de Mercadoria00100171</t>
  </si>
  <si>
    <t>Recebimento -DS RECIFE NORTE - Clientes -  Revenda de Mercadoria00100170</t>
  </si>
  <si>
    <t>Recebimento -DS CASA  AMARELA - Clientes -  Revenda de Mercadoria00100169</t>
  </si>
  <si>
    <t>Recebimento -DS AFLITOS - Clientes -  Revenda de Mercadoria00100168</t>
  </si>
  <si>
    <t>Recebimento -DS RECIFE NORTE - Clientes -  Revenda de Mercadoria00100208</t>
  </si>
  <si>
    <t>Recebimento -DS CASA  AMARELA - Clientes -  Revenda de Mercadoria00100207</t>
  </si>
  <si>
    <t>Recebimento -DS AFLITOS - Clientes -  Revenda de Mercadoria00100206</t>
  </si>
  <si>
    <t>Recebimento -DS PIEDADE - Clientes -  Revenda de Mercadoria00100287</t>
  </si>
  <si>
    <t>Recebimento -DS RECIFE NORTE - Clientes -  Revenda de Mercadoria00100280</t>
  </si>
  <si>
    <t>Recebimento -DS CASA  AMARELA - Clientes -  Revenda de Mercadoria00100279</t>
  </si>
  <si>
    <t>Recebimento -MOUSTACHE BEAMS (DS  RECIFE SUL) - Clientes - Revenda de  Mercadoria00100273</t>
  </si>
  <si>
    <t>Recebimento -DS RECIFE NORTE - Clientes -  Revenda de Mercadoria00100272</t>
  </si>
  <si>
    <t>Recebimento -DS AFLITOS - Clientes -  Revenda de Mercadoria00100271</t>
  </si>
  <si>
    <t>Recebimento -NIPPON INDUSTRIA E  COMERCIO DE ALIMENTOS LTDA - Clientes -  Revenda de Mercadoria00100730</t>
  </si>
  <si>
    <t>Recebimento -UNICOMPRA  SUPERMERCADOS LTDA - Clientes - Revenda  de Mercadoria00098909</t>
  </si>
  <si>
    <t>Recebimento -UNICOMPRA  SUPERMERCADOS LTDA - Clientes - Revenda  de Mercadoria00099044</t>
  </si>
  <si>
    <t>Recebimento -UNICOMPRA  SUPERMERCADOS LTDA - Clientes - Revenda  de Mercadoria00099149</t>
  </si>
  <si>
    <t>Recebimento -MOUSTACHE BEAMS (DS  RECIFE SUL) - Clientes - Revenda de  Mercadoria00100387</t>
  </si>
  <si>
    <t>Recebimento -MOUSTACHE BEAMS (DS  RECIFE SUL) - Clientes - Revenda de  Mercadoria00100333</t>
  </si>
  <si>
    <t>Recebimento -DS RECIFE NORTE - Clientes -  Revenda de Mercadoria00099400</t>
  </si>
  <si>
    <t>Recebimento -DS PIEDADE - Clientes -  Revenda de Mercadoria00100389</t>
  </si>
  <si>
    <t>Recebimento -DS PIEDADE - Clientes -  Revenda de Mercadoria00100390</t>
  </si>
  <si>
    <t>Recebimento -DS AFLITOS - Clientes -  Revenda de Mercadoria00100393</t>
  </si>
  <si>
    <t>Recebimento -DS CASA  AMARELA - Clientes -  Revenda de Mercadoria00100394</t>
  </si>
  <si>
    <t>Recebimento -DS RECIFE NORTE - Clientes -  Revenda de Mercadoria00100395</t>
  </si>
  <si>
    <t>Recebimento -DS CASA  AMARELA - Clientes -  Revenda de Mercadoria00100398</t>
  </si>
  <si>
    <t>Recebimento -DS RECIFE NORTE - Clientes -  Revenda de Mercadoria00100399</t>
  </si>
  <si>
    <t>Recebimento -DS AFLITOS - Clientes -  Revenda de Mercadoria00100494</t>
  </si>
  <si>
    <t>Recebimento -DS CASA  AMARELA - Clientes -  Revenda de Mercadoria00100495</t>
  </si>
  <si>
    <t>Recebimento -DS RECIFE NORTE - Clientes -  Revenda de Mercadoria00100496</t>
  </si>
  <si>
    <t>Recebimento -DS AFLITOS - Clientes -  Revenda de Mercadoria00100547</t>
  </si>
  <si>
    <t>Recebimento -DS CASA  AMARELA - Clientes -  Revenda de Mercadoria00100548</t>
  </si>
  <si>
    <t>Recebimento -DS RECIFE NORTE - Clientes -  Revenda de Mercadoria00100549</t>
  </si>
  <si>
    <t>Recebimento -DS PIEDADE - Clientes -  Revenda de Mercadoria00100550</t>
  </si>
  <si>
    <t>Recebimento -DS RECIFE NORTE - Clientes -  Revenda de Mercadoria00100615</t>
  </si>
  <si>
    <t>Recebimento -NIPPON INDUSTRIA E  COMERCIO DE ALIMENTOS LTDA - Clientes -  Revenda de Mercadoria00101079</t>
  </si>
  <si>
    <t>Recebimento -DS PIEDADE - Clientes -  Revenda de Mercadoria00100970</t>
  </si>
  <si>
    <t>Recebimento -MOUSTACHE BEAMS (DS  RECIFE SUL) - Clientes - Revenda de  Mercadoria100551</t>
  </si>
  <si>
    <t>Recebimento -MOUSTACHE BEAMS (DS  RECIFE SUL) - Clientes - Revenda de  Mercadoria00100303</t>
  </si>
  <si>
    <t>Recebimento -MOUSTACHE BEAMS (DS  RECIFE SUL) - Clientes - Revenda de  Mercadoria00100388</t>
  </si>
  <si>
    <t>Recebimento -DS AFLITOS - Clientes -  Revenda de Mercadoria00100397</t>
  </si>
  <si>
    <t>Recebimento -MOUSTACHE BEAMS (DS  RECIFE SUL) - Clientes - Revenda de  Mercadoria00100491</t>
  </si>
  <si>
    <t>Recebimento -UNICOMPRA  SUPERMERCADOS LTDA - Clientes - Revenda  de Mercadoria00099256</t>
  </si>
  <si>
    <t>Recebimento - Rendimentos de Aplicações -</t>
  </si>
  <si>
    <t>Recebimento -COD COMERCIO DE  ALIMENTOS E BEBIDAS LTDA (DOC) -  Clientes - Revenda de Mercadoria00101270</t>
  </si>
  <si>
    <t>Recebimento -UNICOMPRA  SUPERMERCADOS LTDA - Clientes - Revenda  de Mercadoria00099379</t>
  </si>
  <si>
    <t xml:space="preserve">VENDAS DE MERCADORIAS CONF NF  100276 DE BOMPRECO SUPERMERCADO  DO NORDESTE LTDA (B-17) </t>
  </si>
  <si>
    <t>VALOR REF. A Clientes - Revenda de  Mercadoria - BOMPREÇO SUPERMERCADO  DO NORDESTE LTDA (B-17) -  DOCUMENTO:</t>
  </si>
  <si>
    <t xml:space="preserve">VENDAS DE MERCADORIAS CONF NF  100667 DE BOMPRECO SUPERMERCADO  DO NORDESTE LTDA (B-17) </t>
  </si>
  <si>
    <t xml:space="preserve">VENDAS DE MERCADORIAS CONF NF  100841 DE BOMPRECO SUPERMERCADOS  DO NORDESTE LTDA (B-160) </t>
  </si>
  <si>
    <t xml:space="preserve">VENDAS DE MERCADORIAS CONF NF  101009 DE BOMPRECO SUPERMERCADO  DO NORDESTE LTDA (B-17) </t>
  </si>
  <si>
    <t xml:space="preserve">VENDAS DE MERCADORIAS CONF NF  101296 DE BOMPRECO SUPERMERCADO  DO NORDESTE LTDA (B-17) </t>
  </si>
  <si>
    <t xml:space="preserve">VENDAS DE MERCADORIAS CONF NF  101297 DE BOMPRECO SUPERMERCADOS  DO NORDESTE LTDA (PARQUE AMORIM) B- 04 </t>
  </si>
  <si>
    <t xml:space="preserve">VENDAS DE MERCADORIAS CONF NF  100234 DE BOMPRECO SUPERMERCADOS  DO NORDESTE LTDA (B-006) </t>
  </si>
  <si>
    <t xml:space="preserve">VENDAS DE MERCADORIAS CONF NF  100236 DE BOMPRECO SUPERMERCADOS  DO NORDESTE LTDA (B-006) </t>
  </si>
  <si>
    <t xml:space="preserve">VENDAS DE MERCADORIAS CONF NF  100298 DE BOMPRECO SUPERMERCADOS  DO NORDESTE LTDA (B-006) </t>
  </si>
  <si>
    <t xml:space="preserve">VENDAS DE MERCADORIAS CONF NF  100349 DE BOMPRECO SUPERMERCADOS  DO NORDESTE LTDA (B-006) </t>
  </si>
  <si>
    <t xml:space="preserve">VENDAS DE MERCADORIAS CONF NF  100408 DE BOMPRECO SUPERMERCADOS  DO NORDESTE LTDA (B-006) </t>
  </si>
  <si>
    <t xml:space="preserve">VENDAS DE MERCADORIAS CONF NF  100460 DE BOMPRECO SUPERMERCADOS  DO NORDESTE LTDA (B-006) </t>
  </si>
  <si>
    <t xml:space="preserve">VENDAS DE MERCADORIAS CONF NF  100523 DE BOMPRECO SUPERMERCADOS  DO NORDESTE LTDA (B-006) </t>
  </si>
  <si>
    <t xml:space="preserve">VENDAS DE MERCADORIAS CONF NF  100542 DE BOMPRECO SUPERMERCADOS  DO NORDESTE LTDA (B-006) </t>
  </si>
  <si>
    <t xml:space="preserve">VENDAS DE MERCADORIAS CONF NF  100572 DE BOMPRECO SUPERMERCADOS  DO NORDESTE LTDA (B-006) </t>
  </si>
  <si>
    <t xml:space="preserve">VENDAS DE MERCADORIAS CONF NF  100639 DE BOMPRECO SUPERMERCADOS  DO NORDESTE LTDA (B-006) </t>
  </si>
  <si>
    <t>VALOR REF. A Clientes - Revenda de  Mercadoria - BOMPRECO SUPERMERCADOS  DO NORDESTE LTDA  (B-006) -   DOCUMENTO:</t>
  </si>
  <si>
    <t>VALOR REF. A Clientes - Revenda de  Mercadoria - BOMPRECO SUPERMERCADOS  DO NORDESTE LTDA  (B-006) -   DOCUMENTO: 97749</t>
  </si>
  <si>
    <t>VALOR REF. A Clientes - Revenda de  Mercadoria - BOMPRECO SUPERMERCADOS  DO NORDESTE LTDA  (B-006) -   DOCUMENTO: 97756</t>
  </si>
  <si>
    <t xml:space="preserve">VENDAS DE MERCADORIAS CONF NF  100693 DE BOMPRECO SUPERMERCADOS  DO NORDESTE LTDA (B-006) </t>
  </si>
  <si>
    <t xml:space="preserve">VENDAS DE MERCADORIAS CONF NF  100753 DE BOMPRECO SUPERMERCADOS  DO NORDESTE LTDA (B-006) </t>
  </si>
  <si>
    <t xml:space="preserve">VENDAS DE MERCADORIAS CONF NF  100798 DE BOMPRECO SUPERMERCADOS  DO NORDESTE LTDA (B-006) </t>
  </si>
  <si>
    <t xml:space="preserve">VENDAS DE MERCADORIAS CONF NF  100873 DE BOMPRECO SUPERMERCADOS  DO NORDESTE LTDA (B-006) </t>
  </si>
  <si>
    <t xml:space="preserve">VENDAS DE MERCADORIAS CONF NF  100911 DE BOMPRECO SUPERMERCADOS  DO NORDESTE LTDA (B-006) </t>
  </si>
  <si>
    <t xml:space="preserve">VENDAS DE MERCADORIAS CONF NF  100919 DE BOMPRECO SUPERMERCADOS  DO NORDESTE LTDA (B-006) </t>
  </si>
  <si>
    <t xml:space="preserve">VENDAS DE MERCADORIAS CONF NF  100989 DE BOMPRECO SUPERMERCADOS  DO NORDESTE LTDA (B-006) </t>
  </si>
  <si>
    <t xml:space="preserve">VENDAS DE MERCADORIAS CONF NF  101026 DE BOMPRECO SUPERMERCADOS  DO NORDESTE LTDA (B-006) </t>
  </si>
  <si>
    <t xml:space="preserve">VENDAS DE MERCADORIAS CONF NF  101094 DE BOMPRECO SUPERMERCADOS  DO NORDESTE LTDA (B-006) </t>
  </si>
  <si>
    <t xml:space="preserve">VENDAS DE MERCADORIAS CONF NF  101132 DE BOMPRECO SUPERMERCADOS  DO NORDESTE LTDA (B-006) </t>
  </si>
  <si>
    <t xml:space="preserve">VENDAS DE MERCADORIAS CONF NF  101201 DE BOMPRECO SUPERMERCADOS  DO NORDESTE LTDA (B-006) </t>
  </si>
  <si>
    <t xml:space="preserve">VENDAS DE MERCADORIAS CONF NF  101230 DE BOMPRECO SUPERMERCADOS  DO NORDESTE LTDA (B-006) </t>
  </si>
  <si>
    <t xml:space="preserve">VENDAS DE MERCADORIAS CONF NF  101243 DE BOMPRECO SUPERMERCADOS  DO NORDESTE LTDA (B-006) </t>
  </si>
  <si>
    <t xml:space="preserve">VENDAS DE MERCADORIAS CONF NF  101321 DE BOMPRECO SUPERMERCADOS  DO NORDESTE LTDA (B-006) </t>
  </si>
  <si>
    <t xml:space="preserve">VENDAS DE MERCADORIAS CONF NF  101362 DE BOMPRECO SUPERMERCADOS  DO NORDESTE LTDA (B-006) </t>
  </si>
  <si>
    <t xml:space="preserve">VENDAS DE MERCADORIAS CONF NF  101433 DE BOMPRECO SUPERMERCADOS  DO NORDESTE LTDA (B-006) </t>
  </si>
  <si>
    <t xml:space="preserve">VENDAS DE MERCADORIAS CONF NF  101484 DE BOMPRECO SUPERMERCADOS  DO NORDESTE LTDA (B-006) </t>
  </si>
  <si>
    <t xml:space="preserve">VENDAS DE MERCADORIAS CONF NF  101536 DE BOMPRECO SUPERMERCADOS  DO NORDESTE LTDA (B-006) </t>
  </si>
  <si>
    <t xml:space="preserve">VENDAS DE MERCADORIAS CONF NF  101579 DE BOMPRECO SUPERMERCADOS  DO NORDESTE LTDA (B-006) </t>
  </si>
  <si>
    <t xml:space="preserve">VENDAS DE MERCADORIAS CONF NF  101582 DE BOMPRECO SUPERMERCADOS  DO NORDESTE LTDA (B-006) </t>
  </si>
  <si>
    <t xml:space="preserve">VENDAS DE MERCADORIAS CONF NF  101651 DE BOMPRECO SUPERMERCADOS  DO NORDESTE LTDA (B-006) </t>
  </si>
  <si>
    <t xml:space="preserve">VENDAS DE MERCADORIAS CONF NF  100492 DE BOMPRECO SUPERMERCADOS  DO NORDESTE LTDA (B-009) </t>
  </si>
  <si>
    <t xml:space="preserve">VENDAS DE MERCADORIAS CONF NF  100610 DE BOMPRECO SUPERMERCADOS  DO NORDESTE LTDA (B-009) </t>
  </si>
  <si>
    <t>VALOR REF. A Clientes - Revenda de  Mercadoria - BOMPRECO  SUPERMERCADOS  DO NORDESTE LTDA  (B-009) -   DOCUMENTO:</t>
  </si>
  <si>
    <t xml:space="preserve">VENDAS DE MERCADORIAS CONF NF  100952 DE BOMPRECO SUPERMERCADOS  DO NORDESTE LTDA (B-009) </t>
  </si>
  <si>
    <t xml:space="preserve">VENDAS DE MERCADORIAS CONF NF  101172 DE BOMPRECO SUPERMERCADOS  DO NORDESTE LTDA (B-009) </t>
  </si>
  <si>
    <t xml:space="preserve">VENDAS DE MERCADORIAS CONF NF  101516 DE BOMPRECO SUPERMERCADOS  DO NORDESTE LTDA (B-009) </t>
  </si>
  <si>
    <t xml:space="preserve">VENDAS DE MERCADORIAS CONF NF  100233 DE BOMPRECO SUPERMERCADOS  DO NORDESTE LTDA (B-032) </t>
  </si>
  <si>
    <t xml:space="preserve">VENDAS DE MERCADORIAS CONF NF  100237 DE BOMPRECO SUPERMERCADOS  DO NORDESTE LTDA (B-032) </t>
  </si>
  <si>
    <t xml:space="preserve">VENDAS DE MERCADORIAS CONF NF  100299 DE BOMPRECO SUPERMERCADOS  DO NORDESTE LTDA (B-032) </t>
  </si>
  <si>
    <t xml:space="preserve">VENDAS DE MERCADORIAS CONF NF  100348 DE BOMPRECO SUPERMERCADOS  DO NORDESTE LTDA (B-032) </t>
  </si>
  <si>
    <t xml:space="preserve">VENDAS DE MERCADORIAS CONF NF  100410 DE BOMPRECO SUPERMERCADOS  DO NORDESTE LTDA (B-032) </t>
  </si>
  <si>
    <t xml:space="preserve">VENDAS DE MERCADORIAS CONF NF  100461 DE BOMPRECO SUPERMERCADOS  DO NORDESTE LTDA (B-032) </t>
  </si>
  <si>
    <t xml:space="preserve">VENDAS DE MERCADORIAS CONF NF  100522 DE BOMPRECO SUPERMERCADOS  DO NORDESTE LTDA (B-032) </t>
  </si>
  <si>
    <t xml:space="preserve">VENDAS DE MERCADORIAS CONF NF  100544 DE BOMPRECO SUPERMERCADOS  DO NORDESTE LTDA (B-032) </t>
  </si>
  <si>
    <t xml:space="preserve">VENDAS DE MERCADORIAS CONF NF  100571 DE BOMPRECO SUPERMERCADOS  DO NORDESTE LTDA (B-032) </t>
  </si>
  <si>
    <t xml:space="preserve">VENDAS DE MERCADORIAS CONF NF  100640 DE BOMPRECO SUPERMERCADOS  DO NORDESTE LTDA (B-032) </t>
  </si>
  <si>
    <t>VALOR REF. A Clientes - Revenda de  Mercadoria - BOMPRECO SUPERMERCADOS  DO NORDESTE LTDA (B-032) -   DOCUMENTO:</t>
  </si>
  <si>
    <t xml:space="preserve">VENDAS DE MERCADORIAS CONF NF  100688 DE BOMPRECO SUPERMERCADOS  DO NORDESTE LTDA (B-032) </t>
  </si>
  <si>
    <t xml:space="preserve">VENDAS DE MERCADORIAS CONF NF  100754 DE BOMPRECO SUPERMERCADOS  DO NORDESTE LTDA (B-032) </t>
  </si>
  <si>
    <t xml:space="preserve">VENDAS DE MERCADORIAS CONF NF  100800 DE BOMPRECO SUPERMERCADOS  DO NORDESTE LTDA (B-032) </t>
  </si>
  <si>
    <t xml:space="preserve">VENDAS DE MERCADORIAS CONF NF  100872 DE BOMPRECO SUPERMERCADOS  DO NORDESTE LTDA (B-032) </t>
  </si>
  <si>
    <t xml:space="preserve">VENDAS DE MERCADORIAS CONF NF  100914 DE BOMPRECO SUPERMERCADOS  DO NORDESTE LTDA (B-032) </t>
  </si>
  <si>
    <t xml:space="preserve">VENDAS DE MERCADORIAS CONF NF  100916 DE BOMPRECO SUPERMERCADOS  DO NORDESTE LTDA (B-032) </t>
  </si>
  <si>
    <t xml:space="preserve">VENDAS DE MERCADORIAS CONF NF  100988 DE BOMPRECO SUPERMERCADOS  DO NORDESTE LTDA (B-032) </t>
  </si>
  <si>
    <t xml:space="preserve">VENDAS DE MERCADORIAS CONF NF  101028 DE BOMPRECO SUPERMERCADOS  DO NORDESTE LTDA (B-032) </t>
  </si>
  <si>
    <t xml:space="preserve">VENDAS DE MERCADORIAS CONF NF  101095 DE BOMPRECO SUPERMERCADOS  DO NORDESTE LTDA (B-032) </t>
  </si>
  <si>
    <t xml:space="preserve">VENDAS DE MERCADORIAS CONF NF  101135 DE BOMPRECO SUPERMERCADOS  DO NORDESTE LTDA (B-032) </t>
  </si>
  <si>
    <t xml:space="preserve">VENDAS DE MERCADORIAS CONF NF  101199 DE BOMPRECO SUPERMERCADOS  DO NORDESTE LTDA (B-032) </t>
  </si>
  <si>
    <t xml:space="preserve">VENDAS DE MERCADORIAS CONF NF  101227 DE BOMPRECO SUPERMERCADOS  DO NORDESTE LTDA (B-032) </t>
  </si>
  <si>
    <t xml:space="preserve">VENDAS DE MERCADORIAS CONF NF  101242 DE BOMPRECO SUPERMERCADOS  DO NORDESTE LTDA (B-032) </t>
  </si>
  <si>
    <t xml:space="preserve">VENDAS DE MERCADORIAS CONF NF  101325 DE BOMPRECO SUPERMERCADOS  DO NORDESTE LTDA (B-032) </t>
  </si>
  <si>
    <t xml:space="preserve">VENDAS DE MERCADORIAS CONF NF  101363 DE BOMPRECO SUPERMERCADOS  DO NORDESTE LTDA (B-032) </t>
  </si>
  <si>
    <t xml:space="preserve">VENDAS DE MERCADORIAS CONF NF  101438 DE BOMPRECO SUPERMERCADOS  DO NORDESTE LTDA (B-032) </t>
  </si>
  <si>
    <t xml:space="preserve">VENDAS DE MERCADORIAS CONF NF  101487 DE BOMPRECO SUPERMERCADOS  DO NORDESTE LTDA (B-032) </t>
  </si>
  <si>
    <t xml:space="preserve">VENDAS DE MERCADORIAS CONF NF  101532 DE BOMPRECO SUPERMERCADOS  DO NORDESTE LTDA (B-032) </t>
  </si>
  <si>
    <t xml:space="preserve">VENDAS DE MERCADORIAS CONF NF  101581 DE BOMPRECO SUPERMERCADOS  DO NORDESTE LTDA (B-032) </t>
  </si>
  <si>
    <t xml:space="preserve">VENDAS DE MERCADORIAS CONF NF  101584 DE BOMPRECO SUPERMERCADOS  DO NORDESTE LTDA (B-032) </t>
  </si>
  <si>
    <t xml:space="preserve">VENDAS DE MERCADORIAS CONF NF  101648 DE BOMPRECO SUPERMERCADOS  DO NORDESTE LTDA (B-032) </t>
  </si>
  <si>
    <t xml:space="preserve">VENDAS DE MERCADORIAS CONF NF  100239 DE BOMPRECO SUPERMERCADOS  DO NORDESTE LTDA (B-035) </t>
  </si>
  <si>
    <t xml:space="preserve">VENDAS DE MERCADORIAS CONF NF  100241 DE BOMPRECO SUPERMERCADOS  DO NORDESTE LTDA (B-035) </t>
  </si>
  <si>
    <t xml:space="preserve">VENDAS DE MERCADORIAS CONF NF  100300 DE BOMPRECO SUPERMERCADOS  DO NORDESTE LTDA (B-035) </t>
  </si>
  <si>
    <t xml:space="preserve">VENDAS DE MERCADORIAS CONF NF  100347 DE BOMPRECO SUPERMERCADOS  DO NORDESTE LTDA (B-035) </t>
  </si>
  <si>
    <t xml:space="preserve">VENDAS DE MERCADORIAS CONF NF  100411 DE BOMPRECO SUPERMERCADOS  DO NORDESTE LTDA (B-035) </t>
  </si>
  <si>
    <t xml:space="preserve">VENDAS DE MERCADORIAS CONF NF  100464 DE BOMPRECO SUPERMERCADOS  DO NORDESTE LTDA (B-035) </t>
  </si>
  <si>
    <t xml:space="preserve">VENDAS DE MERCADORIAS CONF NF  100521 DE BOMPRECO SUPERMERCADOS  DO NORDESTE LTDA (B-035) </t>
  </si>
  <si>
    <t xml:space="preserve">VENDAS DE MERCADORIAS CONF NF  100541 DE BOMPRECO SUPERMERCADOS  DO NORDESTE LTDA (B-035) </t>
  </si>
  <si>
    <t xml:space="preserve">VENDAS DE MERCADORIAS CONF NF  100573 DE BOMPRECO SUPERMERCADOS  DO NORDESTE LTDA (B-035) </t>
  </si>
  <si>
    <t xml:space="preserve">VENDAS DE MERCADORIAS CONF NF  100637 DE BOMPRECO SUPERMERCADOS  DO NORDESTE LTDA (B-035) </t>
  </si>
  <si>
    <t>VALOR REF. A Clientes - Revenda de  Mercadoria - BOMPRECO SUPERMERCADOS  DO NORDESTE LTDA (B-035) -   DOCUMENTO:</t>
  </si>
  <si>
    <t xml:space="preserve">VENDAS DE MERCADORIAS CONF NF  100692 DE BOMPRECO SUPERMERCADOS  DO NORDESTE LTDA (B-035) </t>
  </si>
  <si>
    <t xml:space="preserve">VENDAS DE MERCADORIAS CONF NF  100755 DE BOMPRECO SUPERMERCADOS  DO NORDESTE LTDA (B-035) </t>
  </si>
  <si>
    <t xml:space="preserve">VENDAS DE MERCADORIAS CONF NF  100799 DE BOMPRECO SUPERMERCADOS  DO NORDESTE LTDA (B-035) </t>
  </si>
  <si>
    <t xml:space="preserve">VENDAS DE MERCADORIAS CONF NF  100870 DE BOMPRECO SUPERMERCADOS  DO NORDESTE LTDA (B-035) </t>
  </si>
  <si>
    <t xml:space="preserve">VENDAS DE MERCADORIAS CONF NF  100912 DE BOMPRECO SUPERMERCADOS  DO NORDESTE LTDA (B-035) </t>
  </si>
  <si>
    <t xml:space="preserve">VENDAS DE MERCADORIAS CONF NF  100918 DE BOMPRECO SUPERMERCADOS  DO NORDESTE LTDA (B-035) </t>
  </si>
  <si>
    <t xml:space="preserve">VENDAS DE MERCADORIAS CONF NF  100987 DE BOMPRECO SUPERMERCADOS  DO NORDESTE LTDA (B-035) </t>
  </si>
  <si>
    <t xml:space="preserve">VENDAS DE MERCADORIAS CONF NF  100994 DE BOMPRECO SUPERMERCADOS  DO NORDESTE LTDA (B-035) </t>
  </si>
  <si>
    <t xml:space="preserve">VENDAS DE MERCADORIAS CONF NF  101027 DE BOMPRECO SUPERMERCADOS  DO NORDESTE LTDA (B-035) </t>
  </si>
  <si>
    <t xml:space="preserve">VENDAS DE MERCADORIAS CONF NF  101096 DE BOMPRECO SUPERMERCADOS  DO NORDESTE LTDA (B-035) </t>
  </si>
  <si>
    <t xml:space="preserve">VENDAS DE MERCADORIAS CONF NF  101133 DE BOMPRECO SUPERMERCADOS  DO NORDESTE LTDA (B-035) </t>
  </si>
  <si>
    <t xml:space="preserve">VENDAS DE MERCADORIAS CONF NF  101200 DE BOMPRECO SUPERMERCADOS  DO NORDESTE LTDA (B-035) </t>
  </si>
  <si>
    <t xml:space="preserve">VENDAS DE MERCADORIAS CONF NF  101229 DE BOMPRECO SUPERMERCADOS  DO NORDESTE LTDA (B-035) </t>
  </si>
  <si>
    <t xml:space="preserve">VENDAS DE MERCADORIAS CONF NF  101241 DE BOMPRECO SUPERMERCADOS  DO NORDESTE LTDA (B-035) </t>
  </si>
  <si>
    <t xml:space="preserve">VENDAS DE MERCADORIAS CONF NF  101322 DE BOMPRECO SUPERMERCADOS  DO NORDESTE LTDA (B-035) </t>
  </si>
  <si>
    <t xml:space="preserve">VENDAS DE MERCADORIAS CONF NF  101365 DE BOMPRECO SUPERMERCADOS  DO NORDESTE LTDA (B-035) </t>
  </si>
  <si>
    <t xml:space="preserve">VENDAS DE MERCADORIAS CONF NF  101434 DE BOMPRECO SUPERMERCADOS  DO NORDESTE LTDA (B-035) </t>
  </si>
  <si>
    <t xml:space="preserve">VENDAS DE MERCADORIAS CONF NF  101485 DE BOMPRECO SUPERMERCADOS  DO NORDESTE LTDA (B-035) </t>
  </si>
  <si>
    <t xml:space="preserve">VENDAS DE MERCADORIAS CONF NF  101535 DE BOMPRECO SUPERMERCADOS  DO NORDESTE LTDA (B-035) </t>
  </si>
  <si>
    <t xml:space="preserve">VENDAS DE MERCADORIAS CONF NF  101578 DE BOMPRECO SUPERMERCADOS  DO NORDESTE LTDA (B-035) </t>
  </si>
  <si>
    <t xml:space="preserve">VENDAS DE MERCADORIAS CONF NF  101580 DE BOMPRECO SUPERMERCADOS  DO NORDESTE LTDA (B-035) </t>
  </si>
  <si>
    <t xml:space="preserve">VENDAS DE MERCADORIAS CONF NF  101650 DE BOMPRECO SUPERMERCADOS  DO NORDESTE LTDA (B-035) </t>
  </si>
  <si>
    <t xml:space="preserve">VENDAS DE MERCADORIAS CONF NF  100321 DE BOMPRECO SUPERMERCADOS  DO NORDESTE LTDA (B-05) </t>
  </si>
  <si>
    <t>VALOR REF. A Clientes - Revenda de  Mercadoria - BOMPRECO SUPERMERCADOS  DO NORDESTE LTDA (B-05) -  DOCUMENTO:</t>
  </si>
  <si>
    <t xml:space="preserve">VENDAS DE MERCADORIAS CONF NF  100720 DE BOMPRECO SUPERMERCADOS  DO NORDESTE LTDA (B-05) </t>
  </si>
  <si>
    <t xml:space="preserve">VENDAS DE MERCADORIAS CONF NF  101010 DE BOMPRECO SUPERMERCADOS  DO NORDESTE LTDA (B-05) </t>
  </si>
  <si>
    <t xml:space="preserve">VENDAS DE MERCADORIAS CONF NF  101295 DE BOMPRECO SUPERMERCADOS  DO NORDESTE LTDA (B-05) </t>
  </si>
  <si>
    <t xml:space="preserve">VENDAS DE MERCADORIAS CONF NF  100220 DE BOMPRECO SUPERMERCADOS  DO NORDESTE LTDA (B-31) </t>
  </si>
  <si>
    <t xml:space="preserve">VENDAS DE MERCADORIAS CONF NF  100223 DE BOMPRECO SUPERMERCADOS  DO NORDESTE LTDA (B-31) </t>
  </si>
  <si>
    <t xml:space="preserve">VENDAS DE MERCADORIAS CONF NF  100296 DE BOMPRECO SUPERMERCADOS  DO NORDESTE LTDA (B-31) </t>
  </si>
  <si>
    <t xml:space="preserve">VENDAS DE MERCADORIAS CONF NF  100350 DE BOMPRECO SUPERMERCADOS  DO NORDESTE LTDA (B-31) </t>
  </si>
  <si>
    <t xml:space="preserve">VENDAS DE MERCADORIAS CONF NF  100401 DE BOMPRECO SUPERMERCADOS  DO NORDESTE LTDA (B-31) </t>
  </si>
  <si>
    <t xml:space="preserve">VENDAS DE MERCADORIAS CONF NF  100457 DE BOMPRECO SUPERMERCADOS  DO NORDESTE LTDA (B-31) </t>
  </si>
  <si>
    <t xml:space="preserve">VENDAS DE MERCADORIAS CONF NF  100513 DE BOMPRECO SUPERMERCADOS  DO NORDESTE LTDA (B-31) </t>
  </si>
  <si>
    <t xml:space="preserve">VENDAS DE MERCADORIAS CONF NF  100543 DE BOMPRECO SUPERMERCADOS  DO NORDESTE LTDA (B-31) </t>
  </si>
  <si>
    <t xml:space="preserve">VENDAS DE MERCADORIAS CONF NF  100566 DE BOMPRECO SUPERMERCADOS  DO NORDESTE LTDA (B-31) </t>
  </si>
  <si>
    <t xml:space="preserve">VENDAS DE MERCADORIAS CONF NF  100630 DE BOMPRECO SUPERMERCADOS  DO NORDESTE LTDA (B-31) </t>
  </si>
  <si>
    <t>VALOR REF. A Clientes - Revenda de  Mercadoria - BOMPRECO SUPERMERCADOS  DO NORDESTE LTDA (B-31) -  DOCUMENTO:</t>
  </si>
  <si>
    <t xml:space="preserve">VENDAS DE MERCADORIAS CONF NF  100763 DE BOMPRECO SUPERMERCADOS  DO NORDESTE LTDA (B-31) </t>
  </si>
  <si>
    <t xml:space="preserve">VENDAS DE MERCADORIAS CONF NF  100804 DE BOMPRECO SUPERMERCADOS  DO NORDESTE LTDA (B-31) </t>
  </si>
  <si>
    <t xml:space="preserve">VENDAS DE MERCADORIAS CONF NF  100867 DE BOMPRECO SUPERMERCADOS  DO NORDESTE LTDA (B-31) </t>
  </si>
  <si>
    <t xml:space="preserve">VENDAS DE MERCADORIAS CONF NF  100921 DE BOMPRECO SUPERMERCADOS  DO NORDESTE LTDA (B-31) </t>
  </si>
  <si>
    <t xml:space="preserve">VENDAS DE MERCADORIAS CONF NF  100926 DE BOMPRECO SUPERMERCADOS  DO NORDESTE LTDA (B-31) </t>
  </si>
  <si>
    <t xml:space="preserve">VENDAS DE MERCADORIAS CONF NF  101021 DE BOMPRECO SUPERMERCADOS  DO NORDESTE LTDA (B-31) </t>
  </si>
  <si>
    <t xml:space="preserve">VENDAS DE MERCADORIAS CONF NF  101089 DE BOMPRECO SUPERMERCADOS  DO NORDESTE LTDA (B-31) </t>
  </si>
  <si>
    <t xml:space="preserve">VENDAS DE MERCADORIAS CONF NF  101140 DE BOMPRECO SUPERMERCADOS  DO NORDESTE LTDA (B-31) </t>
  </si>
  <si>
    <t xml:space="preserve">VENDAS DE MERCADORIAS CONF NF  101197 DE BOMPRECO SUPERMERCADOS  DO NORDESTE LTDA (B-31) </t>
  </si>
  <si>
    <t xml:space="preserve">VENDAS DE MERCADORIAS CONF NF  101226 DE BOMPRECO SUPERMERCADOS  DO NORDESTE LTDA (B-31) </t>
  </si>
  <si>
    <t xml:space="preserve">VENDAS DE MERCADORIAS CONF NF  101232 DE BOMPRECO SUPERMERCADOS  DO NORDESTE LTDA (B-31) </t>
  </si>
  <si>
    <t xml:space="preserve">VENDAS DE MERCADORIAS CONF NF  101320 DE BOMPRECO SUPERMERCADOS  DO NORDESTE LTDA (B-31) </t>
  </si>
  <si>
    <t xml:space="preserve">VENDAS DE MERCADORIAS CONF NF  101360 DE BOMPRECO SUPERMERCADOS  DO NORDESTE LTDA (B-31) </t>
  </si>
  <si>
    <t xml:space="preserve">VENDAS DE MERCADORIAS CONF NF  101429 DE BOMPRECO SUPERMERCADOS  DO NORDESTE LTDA (B-31) </t>
  </si>
  <si>
    <t xml:space="preserve">VENDAS DE MERCADORIAS CONF NF  101481 DE BOMPRECO SUPERMERCADOS  DO NORDESTE LTDA (B-31) </t>
  </si>
  <si>
    <t xml:space="preserve">VENDAS DE MERCADORIAS CONF NF  101530 DE BOMPRECO SUPERMERCADOS  DO NORDESTE LTDA (B-31) </t>
  </si>
  <si>
    <t xml:space="preserve">VENDAS DE MERCADORIAS CONF NF  101571 DE BOMPRECO SUPERMERCADOS  DO NORDESTE LTDA (B-31) </t>
  </si>
  <si>
    <t xml:space="preserve">VENDAS DE MERCADORIAS CONF NF  101574 DE BOMPRECO SUPERMERCADOS  DO NORDESTE LTDA (B-31) </t>
  </si>
  <si>
    <t xml:space="preserve">VENDAS DE MERCADORIAS CONF NF  101658 DE BOMPRECO SUPERMERCADOS  DO NORDESTE LTDA (B-31) </t>
  </si>
  <si>
    <t xml:space="preserve">VENDAS DE MERCADORIAS CONF NF  100376 DE BOMPRECO SUPERMERCADOS  DO NORDESTE LTDA (B-310) </t>
  </si>
  <si>
    <t xml:space="preserve">VENDAS DE MERCADORIAS CONF NF  100493 DE BOMPRECO SUPERMERCADOS  DO NORDESTE LTDA (B-310) </t>
  </si>
  <si>
    <t xml:space="preserve">VENDAS DE MERCADORIAS CONF NF  100608 DE BOMPRECO SUPERMERCADOS  DO NORDESTE LTDA (B-310) </t>
  </si>
  <si>
    <t>VALOR REF. A Clientes - Revenda de  Mercadoria - BOMPREÇO SUPERMERCADOS  DO NORDESTE LTDA  (B-310) -   DOCUMENTO:</t>
  </si>
  <si>
    <t xml:space="preserve">VENDAS DE MERCADORIAS CONF NF  100721 DE BOMPRECO SUPERMERCADOS  DO NORDESTE LTDA (B-310) </t>
  </si>
  <si>
    <t xml:space="preserve">VENDAS DE MERCADORIAS CONF NF  100844 DE BOMPRECO SUPERMERCADOS  DO NORDESTE LTDA (B-310) </t>
  </si>
  <si>
    <t xml:space="preserve">VENDAS DE MERCADORIAS CONF NF  100849 DE BOMPRECO SUPERMERCADOS  DO NORDESTE LTDA (B-310) </t>
  </si>
  <si>
    <t xml:space="preserve">VENDAS DE MERCADORIAS CONF NF  100953 DE BOMPRECO SUPERMERCADOS  DO NORDESTE LTDA (B-310) </t>
  </si>
  <si>
    <t xml:space="preserve">VENDAS DE MERCADORIAS CONF NF  101062 DE BOMPRECO SUPERMERCADOS  DO NORDESTE LTDA (B-310) </t>
  </si>
  <si>
    <t xml:space="preserve">VENDAS DE MERCADORIAS CONF NF  101400 DE BOMPRECO SUPERMERCADOS  DO NORDESTE LTDA (B-310) </t>
  </si>
  <si>
    <t xml:space="preserve">VENDAS DE MERCADORIAS CONF NF  101515 DE BOMPRECO SUPERMERCADOS  DO NORDESTE LTDA (B-310) </t>
  </si>
  <si>
    <t xml:space="preserve">VENDAS DE MERCADORIAS CONF NF  101619 DE BOMPRECO SUPERMERCADOS  DO NORDESTE LTDA (B-310) </t>
  </si>
  <si>
    <t xml:space="preserve">VENDAS DE MERCADORIAS CONF NF  100238 DE BOMPRECO SUPERMERCADOS  DO NORDESTE LTDA (B-341) </t>
  </si>
  <si>
    <t xml:space="preserve">VENDAS DE MERCADORIAS CONF NF  100240 DE BOMPRECO SUPERMERCADOS  DO NORDESTE LTDA (B-341) </t>
  </si>
  <si>
    <t xml:space="preserve">VENDAS DE MERCADORIAS CONF NF  100302 DE BOMPRECO SUPERMERCADOS  DO NORDESTE LTDA (B-341) </t>
  </si>
  <si>
    <t xml:space="preserve">VENDAS DE MERCADORIAS CONF NF  100351 DE BOMPRECO SUPERMERCADOS  DO NORDESTE LTDA (B-341) </t>
  </si>
  <si>
    <t xml:space="preserve">VENDAS DE MERCADORIAS CONF NF  100407 DE BOMPRECO SUPERMERCADOS  DO NORDESTE LTDA (B-341) </t>
  </si>
  <si>
    <t xml:space="preserve">VENDAS DE MERCADORIAS CONF NF  100463 DE BOMPRECO SUPERMERCADOS  DO NORDESTE LTDA (B-341) </t>
  </si>
  <si>
    <t xml:space="preserve">VENDAS DE MERCADORIAS CONF NF  100520 DE BOMPRECO SUPERMERCADOS  DO NORDESTE LTDA (B-341) </t>
  </si>
  <si>
    <t xml:space="preserve">VENDAS DE MERCADORIAS CONF NF  100545 DE BOMPRECO SUPERMERCADOS  DO NORDESTE LTDA (B-341) </t>
  </si>
  <si>
    <t xml:space="preserve">VENDAS DE MERCADORIAS CONF NF  100574 DE BOMPRECO SUPERMERCADOS  DO NORDESTE LTDA (B-341) </t>
  </si>
  <si>
    <t xml:space="preserve">VENDAS DE MERCADORIAS CONF NF  100638 DE BOMPRECO SUPERMERCADOS  DO NORDESTE LTDA (B-341) </t>
  </si>
  <si>
    <t>VALOR REF. A Clientes - Revenda de  Mercadoria - BOMPRECO SUPERMERCADOS  DO NORDESTE LTDA (B-341) -   DOCUMENTO:</t>
  </si>
  <si>
    <t>VALOR REF. A Clientes - Revenda de  Mercadoria - BOMPRECO SUPERMERCADOS  DO NORDESTE LTDA(-B337) -   DOCUMENTO:</t>
  </si>
  <si>
    <t>VALOR REF. A Clientes - Revenda de  Mercadoria - CARREFOUR COMERCIO E  INDUSTRIA LTDA ( TORRE) -   DOCUMENTO: 97921</t>
  </si>
  <si>
    <t>VALOR REF. A Clientes - Revenda de  Mercadoria - CARREFOUR COMERCIO E  INDUSTRIA LTDA ( TORRE) -   DOCUMENTO: 98150</t>
  </si>
  <si>
    <t>VALOR REF. A Clientes - Revenda de  Mercadoria - CARREFOUR COMERCIO E  INDUSTRIA LTDA ( TORRE) -  DOCUMENTO:</t>
  </si>
  <si>
    <t xml:space="preserve">VENDAS DE MERCADORIAS CONF NF  100691 DE BOMPRECO SUPERMERCADOS  DO NORDESTE LTDA (B-341) </t>
  </si>
  <si>
    <t xml:space="preserve">VENDAS DE MERCADORIAS CONF NF  100756 DE BOMPRECO SUPERMERCADOS  DO NORDESTE LTDA (B-341) </t>
  </si>
  <si>
    <t xml:space="preserve">VENDAS DE MERCADORIAS CONF NF  100796 DE BOMPRECO SUPERMERCADOS  DO NORDESTE LTDA (B-341) </t>
  </si>
  <si>
    <t xml:space="preserve">VENDAS DE MERCADORIAS CONF NF  100874 DE BOMPRECO SUPERMERCADOS  DO NORDESTE LTDA (B-341) </t>
  </si>
  <si>
    <t xml:space="preserve">VENDAS DE MERCADORIAS CONF NF  100875 DE BOMPRECO SUPERMERCADOS  DO NORDESTE LTDA (B-341) </t>
  </si>
  <si>
    <t xml:space="preserve">VENDAS DE MERCADORIAS CONF NF  100913 DE BOMPRECO SUPERMERCADOS  DO NORDESTE LTDA (B-341) </t>
  </si>
  <si>
    <t xml:space="preserve">VENDAS DE MERCADORIAS CONF NF  100917 DE BOMPRECO SUPERMERCADOS  DO NORDESTE LTDA (B-341) </t>
  </si>
  <si>
    <t xml:space="preserve">VENDAS DE MERCADORIAS CONF NF  100928 DE BOMPRECO SUPERMERCADOS  DO NORDESTE LTDA (B-341) </t>
  </si>
  <si>
    <t xml:space="preserve">VENDAS DE MERCADORIAS CONF NF  100986 DE BOMPRECO SUPERMERCADOS  DO NORDESTE LTDA (B-341) </t>
  </si>
  <si>
    <t xml:space="preserve">VENDAS DE MERCADORIAS CONF NF  101030 DE BOMPRECO SUPERMERCADOS  DO NORDESTE LTDA (B-341) </t>
  </si>
  <si>
    <t xml:space="preserve">VENDAS DE MERCADORIAS CONF NF  101097 DE BOMPRECO SUPERMERCADOS  DO NORDESTE LTDA (B-341) </t>
  </si>
  <si>
    <t xml:space="preserve">VENDAS DE MERCADORIAS CONF NF  101131 DE BOMPRECO SUPERMERCADOS  DO NORDESTE LTDA (B-341) </t>
  </si>
  <si>
    <t xml:space="preserve">VENDAS DE MERCADORIAS CONF NF  101202 DE BOMPRECO SUPERMERCADOS  DO NORDESTE LTDA (B-341) </t>
  </si>
  <si>
    <t xml:space="preserve">VENDAS DE MERCADORIAS CONF NF  101228 DE BOMPRECO SUPERMERCADOS  DO NORDESTE LTDA (B-341) </t>
  </si>
  <si>
    <t xml:space="preserve">VENDAS DE MERCADORIAS CONF NF  101247 DE BOMPRECO SUPERMERCADOS  DO NORDESTE LTDA (B-341) </t>
  </si>
  <si>
    <t xml:space="preserve">VENDAS DE MERCADORIAS CONF NF  101324 DE BOMPRECO SUPERMERCADOS  DO NORDESTE LTDA (B-341) </t>
  </si>
  <si>
    <t xml:space="preserve">VENDAS DE MERCADORIAS CONF NF  101366 DE BOMPRECO SUPERMERCADOS  DO NORDESTE LTDA (B-341) </t>
  </si>
  <si>
    <t xml:space="preserve">VENDAS DE MERCADORIAS CONF NF  101436 DE BOMPRECO SUPERMERCADOS  DO NORDESTE LTDA (B-341) </t>
  </si>
  <si>
    <t xml:space="preserve">VENDAS DE MERCADORIAS CONF NF  101486 DE BOMPRECO SUPERMERCADOS  DO NORDESTE LTDA (B-341) </t>
  </si>
  <si>
    <t xml:space="preserve">VENDAS DE MERCADORIAS CONF NF  101538 DE BOMPRECO SUPERMERCADOS  DO NORDESTE LTDA (B-341) </t>
  </si>
  <si>
    <t xml:space="preserve">VENDAS DE MERCADORIAS CONF NF  101577 DE BOMPRECO SUPERMERCADOS  DO NORDESTE LTDA (B-341) </t>
  </si>
  <si>
    <t xml:space="preserve">VENDAS DE MERCADORIAS CONF NF  101583 DE BOMPRECO SUPERMERCADOS  DO NORDESTE LTDA (B-341) </t>
  </si>
  <si>
    <t xml:space="preserve">VENDAS DE MERCADORIAS CONF NF  101589 DE BOMPRECO SUPERMERCADOS  DO NORDESTE LTDA (B-341) </t>
  </si>
  <si>
    <t xml:space="preserve">VENDAS DE MERCADORIAS CONF NF  101652 DE BOMPRECO SUPERMERCADOS  DO NORDESTE LTDA (B-341) </t>
  </si>
  <si>
    <t xml:space="preserve">VENDAS DE MERCADORIAS CONF NF  100243 DE BOMPRECO SUPERMERCADOS  DO NORDESTE LTDA (B-352) </t>
  </si>
  <si>
    <t xml:space="preserve">VENDAS DE MERCADORIAS CONF NF  100346 DE BOMPRECO SUPERMERCADOS  DO NORDESTE LTDA (B-352) </t>
  </si>
  <si>
    <t xml:space="preserve">VENDAS DE MERCADORIAS CONF NF  100406 DE BOMPRECO SUPERMERCADOS  DO NORDESTE LTDA (B-352) </t>
  </si>
  <si>
    <t xml:space="preserve">VENDAS DE MERCADORIAS CONF NF  100456 DE BOMPRECO SUPERMERCADOS  DO NORDESTE LTDA (B-352) </t>
  </si>
  <si>
    <t xml:space="preserve">VENDAS DE MERCADORIAS CONF NF  100515 DE BOMPRECO SUPERMERCADOS  DO NORDESTE LTDA (B-352) </t>
  </si>
  <si>
    <t xml:space="preserve">VENDAS DE MERCADORIAS CONF NF  100567 DE BOMPRECO SUPERMERCADOS  DO NORDESTE LTDA (B-352) </t>
  </si>
  <si>
    <t xml:space="preserve">VENDAS DE MERCADORIAS CONF NF  100631 DE BOMPRECO SUPERMERCADOS  DO NORDESTE LTDA (B-352) </t>
  </si>
  <si>
    <t>VALOR REF. A Clientes - Revenda de  Mercadoria - BOMPRECO SUPERMERCADOS  DO NORDESTE LTDA (B-352) -   DOCUMENTO:</t>
  </si>
  <si>
    <t xml:space="preserve">VENDAS DE MERCADORIAS CONF NF  100761 DE BOMPRECO SUPERMERCADOS  DO NORDESTE LTDA (B-352) </t>
  </si>
  <si>
    <t xml:space="preserve">VENDAS DE MERCADORIAS CONF NF  100803 DE BOMPRECO SUPERMERCADOS  DO NORDESTE LTDA (B-352) </t>
  </si>
  <si>
    <t xml:space="preserve">VENDAS DE MERCADORIAS CONF NF  100866 DE BOMPRECO SUPERMERCADOS  DO NORDESTE LTDA (B-352) </t>
  </si>
  <si>
    <t xml:space="preserve">VENDAS DE MERCADORIAS CONF NF  100925 DE BOMPRECO SUPERMERCADOS  DO NORDESTE LTDA (B-352) </t>
  </si>
  <si>
    <t xml:space="preserve">VENDAS DE MERCADORIAS CONF NF  100978 DE BOMPRECO SUPERMERCADOS  DO NORDESTE LTDA (B-352) </t>
  </si>
  <si>
    <t xml:space="preserve">VENDAS DE MERCADORIAS CONF NF  101022 DE BOMPRECO SUPERMERCADOS  DO NORDESTE LTDA (B-352) </t>
  </si>
  <si>
    <t xml:space="preserve">VENDAS DE MERCADORIAS CONF NF  101090 DE BOMPRECO SUPERMERCADOS  DO NORDESTE LTDA (B-352) </t>
  </si>
  <si>
    <t xml:space="preserve">VENDAS DE MERCADORIAS CONF NF  101139 DE BOMPRECO SUPERMERCADOS  DO NORDESTE LTDA (B-352) </t>
  </si>
  <si>
    <t xml:space="preserve">VENDAS DE MERCADORIAS CONF NF  101196 DE BOMPRECO SUPERMERCADOS  DO NORDESTE LTDA (B-352) </t>
  </si>
  <si>
    <t xml:space="preserve">VENDAS DE MERCADORIAS CONF NF  101233 DE BOMPRECO SUPERMERCADOS  DO NORDESTE LTDA (B-352) </t>
  </si>
  <si>
    <t xml:space="preserve">VENDAS DE MERCADORIAS CONF NF  101359 DE BOMPRECO SUPERMERCADOS  DO NORDESTE LTDA (B-352) </t>
  </si>
  <si>
    <t xml:space="preserve">VENDAS DE MERCADORIAS CONF NF  101430 DE BOMPRECO SUPERMERCADOS  DO NORDESTE LTDA (B-352) </t>
  </si>
  <si>
    <t xml:space="preserve">VENDAS DE MERCADORIAS CONF NF  101480 DE BOMPRECO SUPERMERCADOS  DO NORDESTE LTDA (B-352) </t>
  </si>
  <si>
    <t xml:space="preserve">VENDAS DE MERCADORIAS CONF NF  101531 DE BOMPRECO SUPERMERCADOS  DO NORDESTE LTDA (B-352) </t>
  </si>
  <si>
    <t xml:space="preserve">VENDAS DE MERCADORIAS CONF NF  101572 DE BOMPRECO SUPERMERCADOS  DO NORDESTE LTDA (B-352) </t>
  </si>
  <si>
    <t xml:space="preserve">VENDAS DE MERCADORIAS CONF NF  101573 DE BOMPRECO SUPERMERCADOS  DO NORDESTE LTDA (B-352) </t>
  </si>
  <si>
    <t xml:space="preserve">VENDAS DE MERCADORIAS CONF NF  101657 DE BOMPRECO SUPERMERCADOS  DO NORDESTE LTDA (B-352) </t>
  </si>
  <si>
    <t xml:space="preserve">VENDAS DE MERCADORIAS CONF NF  100433 DE BOMPRECO SUPERMERCADOS  DO NORDESTE LTDA (B-41) </t>
  </si>
  <si>
    <t>VALOR REF. A Clientes - Revenda de  Mercadoria - BOMPRECO SUPERMERCADOS  DO NORDESTE LTDA (B-41) -  DOCUMENTO:</t>
  </si>
  <si>
    <t xml:space="preserve">VENDAS DE MERCADORIAS CONF NF  100783 DE BOMPRECO SUPERMERCADOS  DO NORDESTE LTDA (B-41) </t>
  </si>
  <si>
    <t>VALOR REF. A Clientes - Revenda de  Mercadoria - BOMPREÇO SUPERMERCADOS  DO NORDESTE LTDA  CD MURIBECA -   DOCUMENTO:</t>
  </si>
  <si>
    <t>VALOR REF. A Clientes - Revenda de  Mercadoria - HIPER TODO DIA GARANHUNS  -  DOCUMENTO:</t>
  </si>
  <si>
    <t>VALOR REF. A Clientes - Revenda de  Mercadoria - HIPER TODO DIA SÃO  LOURENÇO DA MATA -  DOCUMENTO:</t>
  </si>
  <si>
    <t>VALOR REF. A Clientes - Revenda de  Mercadoria - HIPER TODO DIA PAULISTA -   DOCUMENTO:</t>
  </si>
  <si>
    <t xml:space="preserve">VENDAS DE MERCADORIAS CONF NF 100741 DE BOMPRECO SUPERMERCADOS DO NORDESTE LTDA CD MURIBECA </t>
  </si>
  <si>
    <t xml:space="preserve">VENDAS DE MERCADORIAS CONF NF 100742 DE BOMPRECO SUPERMERCADOS DO NORDESTE LTDA CD MURIBECA </t>
  </si>
  <si>
    <t xml:space="preserve">VENDAS DE MERCADORIAS CONF NF 100743 DE BOMPRECO SUPERMERCADOS DO NORDESTE LTDA CD MURIBECA </t>
  </si>
  <si>
    <t xml:space="preserve">VENDAS DE MERCADORIAS CONF NF 100247 DE HIPER TODO DIA PAULISTA </t>
  </si>
  <si>
    <t xml:space="preserve">VENDAS DE MERCADORIAS CONF NF 100248 DE HIPER TODO DIA SAO LOURENCO DA MATA </t>
  </si>
  <si>
    <t xml:space="preserve">VENDAS DE MERCADORIAS CONF NF 100249 DE HIPER TODO DIA GARANHUNS </t>
  </si>
  <si>
    <t xml:space="preserve">VENDAS DE MERCADORIAS CONF NF  100277 DE BOMPRECO SUPERMERCADOS  DO NORDESTE LTDA(B-01) </t>
  </si>
  <si>
    <t xml:space="preserve">VENDAS DE MERCADORIAS CONF NF 100366 DE HIPER TODO DIA SAO LOURENCO DA MATA </t>
  </si>
  <si>
    <t xml:space="preserve">VENDAS DE MERCADORIAS CONF NF 100367 DE HIPER TODO DIA PAULISTA </t>
  </si>
  <si>
    <t xml:space="preserve">VENDAS DE MERCADORIAS CONF NF 100368 DE HIPER TODO DIA VITORIA SANTO ANTAO </t>
  </si>
  <si>
    <t xml:space="preserve">VENDAS DE MERCADORIAS CONF NF 100369 DE HIPER TODO DIA GARANHUNS </t>
  </si>
  <si>
    <t xml:space="preserve">VENDAS DE MERCADORIAS CONF NF 100481 DE HIPER TODO DIA GARANHUNS </t>
  </si>
  <si>
    <t xml:space="preserve">VENDAS DE MERCADORIAS CONF NF 100482 DE HIPER TODO DIA VITORIA SANTO ANTAO </t>
  </si>
  <si>
    <t xml:space="preserve">VENDAS DE MERCADORIAS CONF NF 100483 DE HIPER TODO DIA SAO LOURENCO DA MATA </t>
  </si>
  <si>
    <t xml:space="preserve">VENDAS DE MERCADORIAS CONF NF 100485 DE HIPER TODO DIA PAULISTA </t>
  </si>
  <si>
    <t xml:space="preserve">VENDAS DE MERCADORIAS CONF NF 100578 DE HIPER TODO DIA GARANHUNS </t>
  </si>
  <si>
    <t xml:space="preserve">VENDAS DE MERCADORIAS CONF NF 100579 DE HIPER TODO DIA SAO LOURENCO DA MATA </t>
  </si>
  <si>
    <t>VALOR REF. A Clientes - Revenda de  Mercadoria - BOMPRECO SUPERMERCADOS  DO NORDESTE LTDA(B-01) -  DOCUMENTO:</t>
  </si>
  <si>
    <t>VALOR REF. A Clientes - Revenda de  Mercadoria - HIPER TODO DIA VITORIA  SANTO ANTÃO -  DOCUMENTO:</t>
  </si>
  <si>
    <t xml:space="preserve">VENDAS DE MERCADORIAS CONF NF  100666 DE BOMPRECO SUPERMERCADOS  DO NORDESTE LTDA(B-01) </t>
  </si>
  <si>
    <t xml:space="preserve">VENDAS DE MERCADORIAS CONF NF 100695 DE HIPER TODO DIA SAO LOURENCO DA MATA </t>
  </si>
  <si>
    <t xml:space="preserve">VENDAS DE MERCADORIAS CONF NF 100696 DE HIPER TODO DIA VITORIA SANTO ANTAO </t>
  </si>
  <si>
    <t xml:space="preserve">VENDAS DE MERCADORIAS CONF NF 100697 DE HIPER TODO DIA GARANHUNS </t>
  </si>
  <si>
    <t xml:space="preserve">VENDAS DE MERCADORIAS CONF NF 100698 DE HIPER TODO DIA PAULISTA </t>
  </si>
  <si>
    <t xml:space="preserve">VENDAS DE MERCADORIAS CONF NF 100830 DE HIPER TODO DIA PAULISTA </t>
  </si>
  <si>
    <t xml:space="preserve">VENDAS DE MERCADORIAS CONF NF 100831 DE HIPER TODO DIA GARANHUNS </t>
  </si>
  <si>
    <t xml:space="preserve">VENDAS DE MERCADORIAS CONF NF 100832 DE HIPER TODO DIA VITORIA SANTO ANTAO </t>
  </si>
  <si>
    <t xml:space="preserve">VENDAS DE MERCADORIAS CONF NF 100833 DE HIPER TODO DIA SAO LOURENCO DA MATA </t>
  </si>
  <si>
    <t xml:space="preserve">VENDAS DE MERCADORIAS CONF NF 100929 DE HIPER TODO DIA SAO LOURENCO DA MATA </t>
  </si>
  <si>
    <t xml:space="preserve">VENDAS DE MERCADORIAS CONF NF 100930 DE HIPER TODO DIA VITORIA SANTO ANTAO </t>
  </si>
  <si>
    <t xml:space="preserve">VENDAS DE MERCADORIAS CONF NF 101040 DE HIPER TODO DIA SAO LOURENCO DA MATA </t>
  </si>
  <si>
    <t xml:space="preserve">VENDAS DE MERCADORIAS CONF NF 101041 DE HIPER TODO DIA VITORIA SANTO ANTAO </t>
  </si>
  <si>
    <t xml:space="preserve">VENDAS DE MERCADORIAS CONF NF  101061 DE BOMPRECO SUPERMERCADOS  DO NORDESTE LTDA(B-01) </t>
  </si>
  <si>
    <t xml:space="preserve">VENDAS DE MERCADORIAS CONF NF 101146 DE HIPER TODO DIA GARANHUNS </t>
  </si>
  <si>
    <t xml:space="preserve">VENDAS DE MERCADORIAS CONF NF 101147 DE HIPER TODO DIA VITORIA SANTO ANTAO </t>
  </si>
  <si>
    <t xml:space="preserve">VENDAS DE MERCADORIAS CONF NF 101148 DE HIPER TODO DIA SAO LOURENCO DA MATA </t>
  </si>
  <si>
    <t xml:space="preserve">VENDAS DE MERCADORIAS CONF NF  101170 DE BOMPRECO SUPERMERCADOS  DO NORDESTE LTDA(B-01) </t>
  </si>
  <si>
    <t xml:space="preserve">VENDAS DE MERCADORIAS CONF NF 101269 DE HIPER TODO DIA SAO LOURENCO DA MATA </t>
  </si>
  <si>
    <t xml:space="preserve">VENDAS DE MERCADORIAS CONF NF 101389 DE HIPER TODO DIA GARANHUNS </t>
  </si>
  <si>
    <t xml:space="preserve">VENDAS DE MERCADORIAS CONF NF 101390 DE HIPER TODO DIA SAO LOURENCO DA MATA </t>
  </si>
  <si>
    <t xml:space="preserve">VENDAS DE MERCADORIAS CONF NF 101489 DE HIPER TODO DIA SAO LOURENCO DA MATA </t>
  </si>
  <si>
    <t xml:space="preserve">VENDAS DE MERCADORIAS CONF NF 101490 DE HIPER TODO DIA VITORIA SANTO ANTAO </t>
  </si>
  <si>
    <t xml:space="preserve">VENDAS DE MERCADORIAS CONF NF 101607 DE HIPER TODO DIA SAO LOURENCO DA MATA </t>
  </si>
  <si>
    <t xml:space="preserve">VENDAS DE MERCADORIAS CONF NF 101608 DE HIPER TODO DIA GARANHUNS </t>
  </si>
  <si>
    <t xml:space="preserve">VENDAS DE MERCADORIAS CONF NF 100432 DE BOMPRECO SUPERMERCADOS DO NORDESTE LTDA(B96) </t>
  </si>
  <si>
    <t>VALOR REF. A Clientes - Revenda de  Mercadoria - BOMPRECO SUPERMERCADOS  DO NORDESTE LTDA(B96) -  DOCUMENTO:</t>
  </si>
  <si>
    <t xml:space="preserve">VENDAS DE MERCADORIAS CONF NF 100784 DE BOMPRECO SUPERMERCADOS DO NORDESTE LTDA(B96) </t>
  </si>
  <si>
    <t xml:space="preserve">VENDAS DE MERCADORIAS CONF NF 101460 DE BOMPRECO SUPERMERCADOS DO NORDESTE LTDA(B96) </t>
  </si>
  <si>
    <t xml:space="preserve">VENDAS DE MERCADORIAS CONF NF 100204 DE CARREFOUR COMERCIO E INDUSTRIA LTDA (BOA VIAGEM ) </t>
  </si>
  <si>
    <t xml:space="preserve">VENDAS DE MERCADORIAS CONF NF 100320 DE CARREFOUR COMERCIO E INDUSTRIA LTDA (BOA VIAGEM ) </t>
  </si>
  <si>
    <t xml:space="preserve">VENDAS DE MERCADORIAS CONF NF 100426 DE CARREFOUR COMERCIO E INDUSTRIA LTDA (BOA VIAGEM ) </t>
  </si>
  <si>
    <t xml:space="preserve">VENDAS DE MERCADORIAS CONF NF 100427 DE CARREFOUR COMERCIO E INDUSTRIA LTDA (BOA VIAGEM ) </t>
  </si>
  <si>
    <t xml:space="preserve">VENDAS DE MERCADORIAS CONF NF 100537 DE CARREFOUR COMERCIO E INDUSTRIA LTDA (BOA VIAGEM ) </t>
  </si>
  <si>
    <t xml:space="preserve">VENDAS DE MERCADORIAS CONF NF 100538 DE CARREFOUR COMERCIO E INDUSTRIA LTDA (BOA VIAGEM ) </t>
  </si>
  <si>
    <t>VALOR REF. A Clientes - Revenda de  Mercadoria - CARREFOUR COMERCIO E  INDUSTRIA LTDA ( BOA VIAGEM ) -   DOCUMENTO:</t>
  </si>
  <si>
    <t xml:space="preserve">VENDAS DE MERCADORIAS CONF NF 100663 DE CARREFOUR COMERCIO E INDUSTRIA LTDA (BOA VIAGEM ) </t>
  </si>
  <si>
    <t xml:space="preserve">VENDAS DE MERCADORIAS CONF NF 100777 DE CARREFOUR COMERCIO E INDUSTRIA LTDA (BOA VIAGEM ) </t>
  </si>
  <si>
    <t xml:space="preserve">VENDAS DE MERCADORIAS CONF NF 100888 DE CARREFOUR COMERCIO E INDUSTRIA LTDA (BOA VIAGEM ) </t>
  </si>
  <si>
    <t xml:space="preserve">VENDAS DE MERCADORIAS CONF NF 100890 DE CARREFOUR COMERCIO E INDUSTRIA LTDA (BOA VIAGEM ) </t>
  </si>
  <si>
    <t xml:space="preserve">VENDAS DE MERCADORIAS CONF NF 101006 DE CARREFOUR COMERCIO E INDUSTRIA LTDA (BOA VIAGEM ) </t>
  </si>
  <si>
    <t xml:space="preserve">VENDAS DE MERCADORIAS CONF NF 101007 DE CARREFOUR COMERCIO E INDUSTRIA LTDA (BOA VIAGEM ) </t>
  </si>
  <si>
    <t xml:space="preserve">VENDAS DE MERCADORIAS CONF NF 101118 DE CARREFOUR COMERCIO E INDUSTRIA LTDA (BOA VIAGEM ) </t>
  </si>
  <si>
    <t xml:space="preserve">VENDAS DE MERCADORIAS CONF NF 101119 DE CARREFOUR COMERCIO E INDUSTRIA LTDA (BOA VIAGEM ) </t>
  </si>
  <si>
    <t xml:space="preserve">VENDAS DE MERCADORIAS CONF NF 101216 DE CARREFOUR COMERCIO E INDUSTRIA LTDA (BOA VIAGEM ) </t>
  </si>
  <si>
    <t xml:space="preserve">VENDAS DE MERCADORIAS CONF NF 101217 DE CARREFOUR COMERCIO E INDUSTRIA LTDA (BOA VIAGEM ) </t>
  </si>
  <si>
    <t xml:space="preserve">VENDAS DE MERCADORIAS CONF NF 101342 DE CARREFOUR COMERCIO E INDUSTRIA LTDA (BOA VIAGEM ) </t>
  </si>
  <si>
    <t xml:space="preserve">VENDAS DE MERCADORIAS CONF NF 101458 DE CARREFOUR COMERCIO E INDUSTRIA LTDA (BOA VIAGEM ) </t>
  </si>
  <si>
    <t xml:space="preserve">VENDAS DE MERCADORIAS CONF NF 101459 DE CARREFOUR COMERCIO E INDUSTRIA LTDA (BOA VIAGEM ) </t>
  </si>
  <si>
    <t xml:space="preserve">VENDAS DE MERCADORIAS CONF NF 101553 DE CARREFOUR COMERCIO E INDUSTRIA LTDA (BOA VIAGEM ) </t>
  </si>
  <si>
    <t xml:space="preserve">VENDAS DE MERCADORIAS CONF NF 101554 DE CARREFOUR COMERCIO E INDUSTRIA LTDA (BOA VIAGEM ) </t>
  </si>
  <si>
    <t xml:space="preserve">VENDAS DE MERCADORIAS CONF NF 100202 DE CARREFOUR COMERCIO E INDUSTRIA LTDA (TORRE) </t>
  </si>
  <si>
    <t xml:space="preserve">VENDAS DE MERCADORIAS CONF NF 100203 DE CARREFOUR COMERCIO E INDUSTRIA LTDA (TORRE) </t>
  </si>
  <si>
    <t xml:space="preserve">VENDAS DE MERCADORIAS CONF NF 100318 DE CARREFOUR COMERCIO E INDUSTRIA LTDA (TORRE) </t>
  </si>
  <si>
    <t xml:space="preserve">VENDAS DE MERCADORIAS CONF NF 100319 DE CARREFOUR COMERCIO E INDUSTRIA LTDA (TORRE) </t>
  </si>
  <si>
    <t xml:space="preserve">VENDAS DE MERCADORIAS CONF NF 100428 DE CARREFOUR COMERCIO E INDUSTRIA LTDA (TORRE) </t>
  </si>
  <si>
    <t xml:space="preserve">VENDAS DE MERCADORIAS CONF NF 100429 DE CARREFOUR COMERCIO E INDUSTRIA LTDA (TORRE) </t>
  </si>
  <si>
    <t xml:space="preserve">VENDAS DE MERCADORIAS CONF NF 100539 DE CARREFOUR COMERCIO E INDUSTRIA LTDA (TORRE) </t>
  </si>
  <si>
    <t>VALOR REF. A Clientes - Revenda de  Mercadoria - CARREFOUR COMERCIO E  INDUSTRIA LTDA ( TORRE) -   DOCUMENTO: 97648</t>
  </si>
  <si>
    <t>VALOR REF. A Clientes - Revenda de  Mercadoria - CARREFOUR COMERCIO E  INDUSTRIA LTDA ( TORRE) -   DOCUMENTO: 97725</t>
  </si>
  <si>
    <t>VALOR REF. A Clientes - Revenda de  Mercadoria - CARREFOUR COMERCIO E  INDUSTRIA LTDA ( TORRE) -   DOCUMENTO: 97826</t>
  </si>
  <si>
    <t>VALOR REF. A Clientes - Revenda de  Mercadoria - CARREFOUR COMERCIO E  INDUSTRIA LTDA ( TORRE) -   DOCUMENTO: 97920</t>
  </si>
  <si>
    <t>VALOR REF. A Clientes - Revenda de  Mercadoria - CARREFOUR COMERCIO E  INDUSTRIA LTDA ( TORRE) -   DOCUMENTO: 97922</t>
  </si>
  <si>
    <t>VALOR REF. A Clientes - Revenda de  Mercadoria - CARREFOUR COMERCIO E  INDUSTRIA LTDA ( TORRE) -   DOCUMENTO: 97990</t>
  </si>
  <si>
    <t>VALOR REF. A Clientes - Revenda de  Mercadoria - CARREFOUR COMERCIO E  INDUSTRIA LTDA ( TORRE) -   DOCUMENTO: 97991</t>
  </si>
  <si>
    <t>VALOR REF. A Clientes - Revenda de  Mercadoria - CARREFOUR COMERCIO E  INDUSTRIA LTDA ( TORRE) -   DOCUMENTO: 97992</t>
  </si>
  <si>
    <t>VALOR REF. A Clientes - Revenda de  Mercadoria - CARREFOUR COMERCIO E  INDUSTRIA LTDA ( TORRE) -   DOCUMENTO: 98151</t>
  </si>
  <si>
    <t>VALOR REF. A Clientes - Revenda de  Mercadoria - CARREFOUR COMERCIO E  INDUSTRIA LTDA ( TORRE) -   DOCUMENTO: 98152</t>
  </si>
  <si>
    <t xml:space="preserve">VENDAS DE MERCADORIAS CONF NF 100664 DE CARREFOUR COMERCIO E INDUSTRIA LTDA (TORRE) </t>
  </si>
  <si>
    <t xml:space="preserve">VENDAS DE MERCADORIAS CONF NF 100665 DE CARREFOUR COMERCIO E INDUSTRIA LTDA (TORRE) </t>
  </si>
  <si>
    <t xml:space="preserve">VENDAS DE MERCADORIAS CONF NF 100779 DE CARREFOUR COMERCIO E INDUSTRIA LTDA (TORRE) </t>
  </si>
  <si>
    <t xml:space="preserve">VENDAS DE MERCADORIAS CONF NF 100780 DE CARREFOUR COMERCIO E INDUSTRIA LTDA (TORRE) </t>
  </si>
  <si>
    <t xml:space="preserve">VENDAS DE MERCADORIAS CONF NF 100887 DE CARREFOUR COMERCIO E INDUSTRIA LTDA (TORRE) </t>
  </si>
  <si>
    <t xml:space="preserve">VENDAS DE MERCADORIAS CONF NF 100889 DE CARREFOUR COMERCIO E INDUSTRIA LTDA (TORRE) </t>
  </si>
  <si>
    <t xml:space="preserve">VENDAS DE MERCADORIAS CONF NF 101004 DE CARREFOUR COMERCIO E INDUSTRIA LTDA (TORRE) </t>
  </si>
  <si>
    <t xml:space="preserve">VENDAS DE MERCADORIAS CONF NF 101005 DE CARREFOUR COMERCIO E INDUSTRIA LTDA (TORRE) </t>
  </si>
  <si>
    <t xml:space="preserve">VENDAS DE MERCADORIAS CONF NF 101120 DE CARREFOUR COMERCIO E INDUSTRIA LTDA (TORRE) </t>
  </si>
  <si>
    <t xml:space="preserve">VENDAS DE MERCADORIAS CONF NF 101121 DE CARREFOUR COMERCIO E INDUSTRIA LTDA (TORRE) </t>
  </si>
  <si>
    <t xml:space="preserve">VENDAS DE MERCADORIAS CONF NF 101215 DE CARREFOUR COMERCIO E INDUSTRIA LTDA (TORRE) </t>
  </si>
  <si>
    <t xml:space="preserve">VENDAS DE MERCADORIAS CONF NF 101340 DE CARREFOUR COMERCIO E INDUSTRIA LTDA (TORRE) </t>
  </si>
  <si>
    <t xml:space="preserve">VENDAS DE MERCADORIAS CONF NF 101341 DE CARREFOUR COMERCIO E INDUSTRIA LTDA (TORRE) </t>
  </si>
  <si>
    <t xml:space="preserve">VENDAS DE MERCADORIAS CONF NF 101456 DE CARREFOUR COMERCIO E INDUSTRIA LTDA (TORRE) </t>
  </si>
  <si>
    <t xml:space="preserve">VENDAS DE MERCADORIAS CONF NF 101457 DE CARREFOUR COMERCIO E INDUSTRIA LTDA (TORRE) </t>
  </si>
  <si>
    <t xml:space="preserve">VENDAS DE MERCADORIAS CONF NF 101551 DE CARREFOUR COMERCIO E INDUSTRIA LTDA (TORRE) </t>
  </si>
  <si>
    <t xml:space="preserve">VENDAS DE MERCADORIAS CONF NF 101552 DE CARREFOUR COMERCIO E INDUSTRIA LTDA (TORRE) </t>
  </si>
  <si>
    <t xml:space="preserve">VENDAS DE MERCADORIAS CONF NF  100221 DE COMPANHIA BRASILEIRA DE  DISTRIBUICAO - (PARNAMIRIM) </t>
  </si>
  <si>
    <t>VALOR REF. A Clientes - Revenda de  Mercadoria - COMPANHIA BRASILEIRA DE  DISTRIBUICAO - (PARNAMIRIM) -   DOCUMENTO: 96974</t>
  </si>
  <si>
    <t>VALOR REF. A Clientes - Revenda de  Mercadoria - COMPANHIA BRASILEIRA DE  DISTRIBUICAO - (PARNAMIRIM) -   DOCUMENTO: 97510</t>
  </si>
  <si>
    <t>VALOR REF. A Clientes - Revenda de  Mercadoria - COMPANHIA BRASILEIRA DE  DISTRIBUICAO - (PARNAMIRIM) -   DOCUMENTO: 97562</t>
  </si>
  <si>
    <t>VALOR REF. A Clientes - Revenda de  Mercadoria - COMPANHIA BRASILEIRA DE  DISTRIBUICAO - (PARNAMIRIM) -   DOCUMENTO: 97586</t>
  </si>
  <si>
    <t>VALOR REF. A Clientes - Revenda de  Mercadoria - COMPANHIA BRASILEIRA DE  DISTRIBUICAO - (PARNAMIRIM) -   DOCUMENTO: 97587</t>
  </si>
  <si>
    <t>VALOR REF. A Clientes - Revenda de  Mercadoria - COMPANHIA BRASILEIRA DE  DISTRIBUICAO - (PARNAMIRIM) -   DOCUMENTO: 97661</t>
  </si>
  <si>
    <t>VALOR REF. A Clientes - Revenda de  Mercadoria - COMPANHIA BRASILEIRA DE  DISTRIBUICAO - (PARNAMIRIM) -   DOCUMENTO: 97742</t>
  </si>
  <si>
    <t>VALOR REF. A Clientes - Revenda de  Mercadoria - COMPANHIA BRASILEIRA DE  DISTRIBUICAO - (PARNAMIRIM) -   DOCUMENTO: 97743</t>
  </si>
  <si>
    <t>VALOR REF. A Clientes - Revenda de  Mercadoria - COMPANHIA BRASILEIRA DE  DISTRIBUICAO - (PARNAMIRIM) -   DOCUMENTO: 97808</t>
  </si>
  <si>
    <t>VALOR REF. A Clientes - Revenda de  Mercadoria - COMPANHIA BRASILEIRA DE  DISTRIBUICAO - (PARNAMIRIM) -   DOCUMENTO: 97843</t>
  </si>
  <si>
    <t>VALOR REF. A Clientes - Revenda de  Mercadoria - COMPANHIA BRASILEIRA DE  DISTRIBUICAO - (PARNAMIRIM) -   DOCUMENTO: 97899</t>
  </si>
  <si>
    <t>VALOR REF. A Clientes - Revenda de  Mercadoria - COMPANHIA BRASILEIRA DE  DISTRIBUICAO - (PARNAMIRIM) -   DOCUMENTO: 97902</t>
  </si>
  <si>
    <t>VALOR REF. A Clientes - Revenda de  Mercadoria - COMPANHIA BRASILEIRA DE  DISTRIBUICAO - (PARNAMIRIM) -   DOCUMENTO: 97932</t>
  </si>
  <si>
    <t>VALOR REF. A Clientes - Revenda de  Mercadoria - COMPANHIA BRASILEIRA DE  DISTRIBUICAO - (PARNAMIRIM) -   DOCUMENTO: 97981</t>
  </si>
  <si>
    <t xml:space="preserve">VENDAS DE MERCADORIAS CONF NF  100295 DE COMPANHIA BRASILEIRA DE  DISTRIBUICAO - (PARNAMIRIM) </t>
  </si>
  <si>
    <t xml:space="preserve">VENDAS DE MERCADORIAS CONF NF  100345 DE COMPANHIA BRASILEIRA DE  DISTRIBUICAO - (PARNAMIRIM) </t>
  </si>
  <si>
    <t xml:space="preserve">VENDAS DE MERCADORIAS CONF NF  100405 DE COMPANHIA BRASILEIRA DE  DISTRIBUICAO - (PARNAMIRIM) </t>
  </si>
  <si>
    <t xml:space="preserve">VENDAS DE MERCADORIAS CONF NF  100454 DE COMPANHIA BRASILEIRA DE  DISTRIBUICAO - (PARNAMIRIM) </t>
  </si>
  <si>
    <t xml:space="preserve">VENDAS DE MERCADORIAS CONF NF  100514 DE COMPANHIA BRASILEIRA DE  DISTRIBUICAO - (PARNAMIRIM) </t>
  </si>
  <si>
    <t xml:space="preserve">VENDAS DE MERCADORIAS CONF NF  100565 DE COMPANHIA BRASILEIRA DE  DISTRIBUICAO - (PARNAMIRIM) </t>
  </si>
  <si>
    <t xml:space="preserve">VENDAS DE MERCADORIAS CONF NF  100580 DE COMPANHIA BRASILEIRA DE  DISTRIBUICAO - (PARNAMIRIM) </t>
  </si>
  <si>
    <t xml:space="preserve">VENDAS DE MERCADORIAS CONF NF  100628 DE COMPANHIA BRASILEIRA DE  DISTRIBUICAO - (PARNAMIRIM) </t>
  </si>
  <si>
    <t>VALOR REF. A Clientes - Revenda de  Mercadoria - COMPANHIA BRASILEIRA DE  DISTRIBUICAO - (PARNAMIRIM) -   DOCUMENTO: 98015</t>
  </si>
  <si>
    <t>VALOR REF. A Clientes - Revenda de  Mercadoria - COMPANHIA BRASILEIRA DE  DISTRIBUICAO - (PARNAMIRIM) -   DOCUMENTO: 98061</t>
  </si>
  <si>
    <t>VALOR REF. A Clientes - Revenda de  Mercadoria - COMPANHIA BRASILEIRA DE  DISTRIBUICAO - (PARNAMIRIM) -   DOCUMENTO: 98132</t>
  </si>
  <si>
    <t>VALOR REF. A Clientes - Revenda de  Mercadoria - COMPANHIA BRASILEIRA DE  DISTRIBUICAO - (PARNAMIRIM) -   DOCUMENTO: 98168</t>
  </si>
  <si>
    <t>VALOR REF. A Clientes - Revenda de  Mercadoria - COMPANHIA BRASILEIRA DE  DISTRIBUICAO - (PARNAMIRIM) -   DOCUMENTO: 98207</t>
  </si>
  <si>
    <t xml:space="preserve">VENDAS DE MERCADORIAS CONF NF  100686 DE COMPANHIA BRASILEIRA DE  DISTRIBUICAO - (PARNAMIRIM) </t>
  </si>
  <si>
    <t xml:space="preserve">VENDAS DE MERCADORIAS CONF NF  100757 DE COMPANHIA BRASILEIRA DE  DISTRIBUICAO - (PARNAMIRIM) </t>
  </si>
  <si>
    <t xml:space="preserve">VENDAS DE MERCADORIAS CONF NF  100801 DE COMPANHIA BRASILEIRA DE  DISTRIBUICAO - (PARNAMIRIM) </t>
  </si>
  <si>
    <t xml:space="preserve">VENDAS DE MERCADORIAS CONF NF  100868 DE COMPANHIA BRASILEIRA DE  DISTRIBUICAO - (PARNAMIRIM) </t>
  </si>
  <si>
    <t xml:space="preserve">VENDAS DE MERCADORIAS CONF NF  100923 DE COMPANHIA BRASILEIRA DE  DISTRIBUICAO - (PARNAMIRIM) </t>
  </si>
  <si>
    <t xml:space="preserve">VENDAS DE MERCADORIAS CONF NF  100980 DE COMPANHIA BRASILEIRA DE  DISTRIBUICAO - (PARNAMIRIM) </t>
  </si>
  <si>
    <t xml:space="preserve">VENDAS DE MERCADORIAS CONF NF  101023 DE COMPANHIA BRASILEIRA DE  DISTRIBUICAO - (PARNAMIRIM) </t>
  </si>
  <si>
    <t xml:space="preserve">VENDAS DE MERCADORIAS CONF NF  101092 DE COMPANHIA BRASILEIRA DE  DISTRIBUICAO - (PARNAMIRIM) </t>
  </si>
  <si>
    <t xml:space="preserve">VENDAS DE MERCADORIAS CONF NF  101136 DE COMPANHIA BRASILEIRA DE  DISTRIBUICAO - (PARNAMIRIM) </t>
  </si>
  <si>
    <t>VALOR REF. A Clientes - Revenda de  Mercadoria - COMPANHIA BRASILEIRA DE  DISTRIBUICAO - (PARNAMIRIM) -   DOCUMENTO: 97702</t>
  </si>
  <si>
    <t>VALOR REF. A Clientes - Revenda de  Mercadoria - COMPANHIA BRASILEIRA DE  DISTRIBUICAO - (PARNAMIRIM) -   DOCUMENTO:</t>
  </si>
  <si>
    <t xml:space="preserve">VENDAS DE MERCADORIAS CONF NF  101194 DE COMPANHIA BRASILEIRA DE  DISTRIBUICAO - (PARNAMIRIM) </t>
  </si>
  <si>
    <t xml:space="preserve">VENDAS DE MERCADORIAS CONF NF  101231 DE COMPANHIA BRASILEIRA DE  DISTRIBUICAO - (PARNAMIRIM) </t>
  </si>
  <si>
    <t xml:space="preserve">VENDAS DE MERCADORIAS CONF NF  101317 DE COMPANHIA BRASILEIRA DE  DISTRIBUICAO - (PARNAMIRIM) </t>
  </si>
  <si>
    <t xml:space="preserve">VENDAS DE MERCADORIAS CONF NF  101358 DE COMPANHIA BRASILEIRA DE  DISTRIBUICAO - (PARNAMIRIM) </t>
  </si>
  <si>
    <t xml:space="preserve">VENDAS DE MERCADORIAS CONF NF  101431 DE COMPANHIA BRASILEIRA DE  DISTRIBUICAO - (PARNAMIRIM) </t>
  </si>
  <si>
    <t xml:space="preserve">VENDAS DE MERCADORIAS CONF NF  101479 DE COMPANHIA BRASILEIRA DE  DISTRIBUICAO - (PARNAMIRIM) </t>
  </si>
  <si>
    <t xml:space="preserve">VENDAS DE MERCADORIAS CONF NF  101529 DE COMPANHIA BRASILEIRA DE  DISTRIBUICAO - (PARNAMIRIM) </t>
  </si>
  <si>
    <t xml:space="preserve">VENDAS DE MERCADORIAS CONF NF  101575 DE COMPANHIA BRASILEIRA DE  DISTRIBUICAO - (PARNAMIRIM) </t>
  </si>
  <si>
    <t xml:space="preserve">VENDAS DE MERCADORIAS CONF NF  101655 DE COMPANHIA BRASILEIRA DE  DISTRIBUICAO - (PARNAMIRIM) </t>
  </si>
  <si>
    <t xml:space="preserve">VENDAS DE MERCADORIAS CONF NF 100222 DE COMPANHIA BRASILEIRA DE DISTRIBUICAO ( ROSA E SILVA) </t>
  </si>
  <si>
    <t>VALOR REF. A Clientes - Revenda de  Mercadoria - COMPANHIA BRASILEIRA DE  DISTRIBUICAO ( ROSA E SILVA) -   DOCUMENTO: 97485</t>
  </si>
  <si>
    <t>VALOR REF. A Clientes - Revenda de  Mercadoria - COMPANHIA BRASILEIRA DE  DISTRIBUICAO ( ROSA E SILVA) -   DOCUMENTO: 97523</t>
  </si>
  <si>
    <t>VALOR REF. A Clientes - Revenda de  Mercadoria - COMPANHIA BRASILEIRA DE  DISTRIBUICAO ( ROSA E SILVA) -   DOCUMENTO: 97566</t>
  </si>
  <si>
    <t>VALOR REF. A Clientes - Revenda de  Mercadoria - COMPANHIA BRASILEIRA DE  DISTRIBUICAO ( ROSA E SILVA) -   DOCUMENTO: 97601</t>
  </si>
  <si>
    <t>VALOR REF. A Clientes - Revenda de  Mercadoria - COMPANHIA BRASILEIRA DE  DISTRIBUICAO ( ROSA E SILVA) -   DOCUMENTO: 97641</t>
  </si>
  <si>
    <t>VALOR REF. A Clientes - Revenda de  Mercadoria - COMPANHIA BRASILEIRA DE  DISTRIBUICAO ( ROSA E SILVA) -   DOCUMENTO: 97666</t>
  </si>
  <si>
    <t>VALOR REF. A Clientes - Revenda de  Mercadoria - COMPANHIA BRASILEIRA DE  DISTRIBUICAO ( ROSA E SILVA) -   DOCUMENTO: 97715</t>
  </si>
  <si>
    <t>VALOR REF. A Clientes - Revenda de  Mercadoria - COMPANHIA BRASILEIRA DE  DISTRIBUICAO ( ROSA E SILVA) -   DOCUMENTO: 97760</t>
  </si>
  <si>
    <t>VALOR REF. A Clientes - Revenda de  Mercadoria - COMPANHIA BRASILEIRA DE  DISTRIBUICAO ( ROSA E SILVA) -   DOCUMENTO: 97821</t>
  </si>
  <si>
    <t>VALOR REF. A Clientes - Revenda de  Mercadoria - COMPANHIA BRASILEIRA DE  DISTRIBUICAO ( ROSA E SILVA) -   DOCUMENTO: 97852</t>
  </si>
  <si>
    <t>VALOR REF. A Clientes - Revenda de  Mercadoria - COMPANHIA BRASILEIRA DE  DISTRIBUICAO ( ROSA E SILVA) -   DOCUMENTO: 97909</t>
  </si>
  <si>
    <t>VALOR REF. A Clientes - Revenda de  Mercadoria - COMPANHIA BRASILEIRA DE  DISTRIBUICAO ( ROSA E SILVA) -   DOCUMENTO: 97938</t>
  </si>
  <si>
    <t>VALOR REF. A Clientes - Revenda de  Mercadoria - COMPANHIA BRASILEIRA DE  DISTRIBUICAO ( ROSA E SILVA) -   DOCUMENTO: 97980</t>
  </si>
  <si>
    <t>VALOR REF. A Clientes - Revenda de  Mercadoria - COMPANHIA BRASILEIRA DE  DISTRIBUICAO ( ROSA E SILVA) -   DOCUMENTO: 97982</t>
  </si>
  <si>
    <t xml:space="preserve">VENDAS DE MERCADORIAS CONF NF 100294 DE COMPANHIA BRASILEIRA DE DISTRIBUICAO ( ROSA E SILVA) </t>
  </si>
  <si>
    <t xml:space="preserve">VENDAS DE MERCADORIAS CONF NF 100343 DE COMPANHIA BRASILEIRA DE DISTRIBUICAO ( ROSA E SILVA) </t>
  </si>
  <si>
    <t xml:space="preserve">VENDAS DE MERCADORIAS CONF NF 100403 DE COMPANHIA BRASILEIRA DE DISTRIBUICAO ( ROSA E SILVA) </t>
  </si>
  <si>
    <t xml:space="preserve">VENDAS DE MERCADORIAS CONF NF 100455 DE COMPANHIA BRASILEIRA DE DISTRIBUICAO ( ROSA E SILVA) </t>
  </si>
  <si>
    <t xml:space="preserve">VENDAS DE MERCADORIAS CONF NF 100512 DE COMPANHIA BRASILEIRA DE DISTRIBUICAO ( ROSA E SILVA) </t>
  </si>
  <si>
    <t xml:space="preserve">VENDAS DE MERCADORIAS CONF NF 100564 DE COMPANHIA BRASILEIRA DE DISTRIBUICAO ( ROSA E SILVA) </t>
  </si>
  <si>
    <t xml:space="preserve">VENDAS DE MERCADORIAS CONF NF 100629 DE COMPANHIA BRASILEIRA DE DISTRIBUICAO ( ROSA E SILVA) </t>
  </si>
  <si>
    <t xml:space="preserve">VENDAS DE MERCADORIAS CONF NF  100658 DE COMPANHIA BRASILEIRA DE  DISTRIBUICAO 5027- BV </t>
  </si>
  <si>
    <t xml:space="preserve">VENDAS DE MERCADORIAS CONF NF  100659 DE P.M COMPANHIA BRASILEIRA  DE DISTRIBUICAO (MADALENA) </t>
  </si>
  <si>
    <t xml:space="preserve">VENDAS DE MERCADORIAS CONF NF  100660 DE P.M COMPANHIA BRASILEIRA  DE DISTRIBUICAO(JOSE BONIFACIO) </t>
  </si>
  <si>
    <t>VALOR REF. A Clientes - Revenda de  Mercadoria - COMPANHIA BRASILEIRA DE  DISTRIBUICAO ( ROSA E SILVA) -   DOCUMENTO: 98024</t>
  </si>
  <si>
    <t>VALOR REF. A Clientes - Revenda de  Mercadoria - COMPANHIA BRASILEIRA DE  DISTRIBUICAO ( ROSA E SILVA) -   DOCUMENTO: 98087</t>
  </si>
  <si>
    <t>VALOR REF. A Clientes - Revenda de  Mercadoria - COMPANHIA BRASILEIRA DE  DISTRIBUICAO ( ROSA E SILVA) -   DOCUMENTO: 98138</t>
  </si>
  <si>
    <t xml:space="preserve">VENDAS DE MERCADORIAS CONF NF  100655 DE P.M. COMPANHIA BRASILEIRA  DE DISTRIBUICAO (GRACAS) </t>
  </si>
  <si>
    <t xml:space="preserve">VENDAS DE MERCADORIAS CONF NF  100656 DE COMPANHIA BRASILEIRA DE  DISTRIBUICAO -5075- RIBEIRO DE BRITO </t>
  </si>
  <si>
    <t xml:space="preserve">VENDAS DE MERCADORIAS CONF NF  100657 DE P.M. COMPANHIA BRASILEIRA  DE DISTRIBUICAO(CONSELHEIRO AGUIAR </t>
  </si>
  <si>
    <t xml:space="preserve">VENDAS DE MERCADORIAS CONF NF 100684 DE COMPANHIA BRASILEIRA DE DISTRIBUICAO ( ROSA E SILVA) </t>
  </si>
  <si>
    <t xml:space="preserve">VENDAS DE MERCADORIAS CONF NF 100685 DE COMPANHIA BRASILEIRA DE DISTRIBUICAO ( ROSA E SILVA) </t>
  </si>
  <si>
    <t xml:space="preserve">VENDAS DE MERCADORIAS CONF NF 100758 DE COMPANHIA BRASILEIRA DE DISTRIBUICAO ( ROSA E SILVA) </t>
  </si>
  <si>
    <t xml:space="preserve">VENDAS DE MERCADORIAS CONF NF 100802 DE COMPANHIA BRASILEIRA DE DISTRIBUICAO ( ROSA E SILVA) </t>
  </si>
  <si>
    <t xml:space="preserve">VENDAS DE MERCADORIAS CONF NF 100865 DE COMPANHIA BRASILEIRA DE DISTRIBUICAO ( ROSA E SILVA) </t>
  </si>
  <si>
    <t xml:space="preserve">VENDAS DE MERCADORIAS CONF NF 100924 DE COMPANHIA BRASILEIRA DE DISTRIBUICAO ( ROSA E SILVA) </t>
  </si>
  <si>
    <t xml:space="preserve">VENDAS DE MERCADORIAS CONF NF 100979 DE COMPANHIA BRASILEIRA DE DISTRIBUICAO ( ROSA E SILVA) </t>
  </si>
  <si>
    <t xml:space="preserve">VENDAS DE MERCADORIAS CONF NF 101020 DE COMPANHIA BRASILEIRA DE DISTRIBUICAO ( ROSA E SILVA) </t>
  </si>
  <si>
    <t xml:space="preserve">VENDAS DE MERCADORIAS CONF NF 101091 DE COMPANHIA BRASILEIRA DE DISTRIBUICAO ( ROSA E SILVA) </t>
  </si>
  <si>
    <t xml:space="preserve">VENDAS DE MERCADORIAS CONF NF 101137 DE COMPANHIA BRASILEIRA DE DISTRIBUICAO ( ROSA E SILVA) </t>
  </si>
  <si>
    <t>VALOR REF. A Clientes - Revenda de  Mercadoria - COMPANHIA BRASILEIRA DE  DISTRIBUICAO ( ROSA E SILVA) -   DOCUMENTO: 98164</t>
  </si>
  <si>
    <t>VALOR REF. A Clientes - Revenda de  Mercadoria - COMPANHIA BRASILEIRA DE  DISTRIBUICAO ( ROSA E SILVA) -   DOCUMENTO: 98213</t>
  </si>
  <si>
    <t>VALOR REF. A Clientes - Revenda de  Mercadoria - COMPANHIA BRASILEIRA DE  DISTRIBUICAO ( ROSA E SILVA) -   DOCUMENTO:</t>
  </si>
  <si>
    <t xml:space="preserve">VENDAS DE MERCADORIAS CONF NF 101195 DE COMPANHIA BRASILEIRA DE DISTRIBUICAO ( ROSA E SILVA) </t>
  </si>
  <si>
    <t xml:space="preserve">VENDAS DE MERCADORIAS CONF NF 101234 DE COMPANHIA BRASILEIRA DE DISTRIBUICAO ( ROSA E SILVA) </t>
  </si>
  <si>
    <t xml:space="preserve">VENDAS DE MERCADORIAS CONF NF 101318 DE COMPANHIA BRASILEIRA DE DISTRIBUICAO ( ROSA E SILVA) </t>
  </si>
  <si>
    <t xml:space="preserve">VENDAS DE MERCADORIAS CONF NF 101357 DE COMPANHIA BRASILEIRA DE DISTRIBUICAO ( ROSA E SILVA) </t>
  </si>
  <si>
    <t xml:space="preserve">VENDAS DE MERCADORIAS CONF NF 101437 DE COMPANHIA BRASILEIRA DE DISTRIBUICAO ( ROSA E SILVA) </t>
  </si>
  <si>
    <t xml:space="preserve">VENDAS DE MERCADORIAS CONF NF 101477 DE COMPANHIA BRASILEIRA DE DISTRIBUICAO ( ROSA E SILVA) </t>
  </si>
  <si>
    <t xml:space="preserve">VENDAS DE MERCADORIAS CONF NF 101534 DE COMPANHIA BRASILEIRA DE DISTRIBUICAO ( ROSA E SILVA) </t>
  </si>
  <si>
    <t xml:space="preserve">VENDAS DE MERCADORIAS CONF NF 101576 DE COMPANHIA BRASILEIRA DE DISTRIBUICAO ( ROSA E SILVA) </t>
  </si>
  <si>
    <t xml:space="preserve">VENDAS DE MERCADORIAS CONF NF 101653 DE COMPANHIA BRASILEIRA DE DISTRIBUICAO ( ROSA E SILVA) </t>
  </si>
  <si>
    <t xml:space="preserve">VENDAS DE MERCADORIAS CONF NF  100242 DE COMPANHIA BRASILEIRA DE  DISTRIBUICAO (EXTRA CONS. AGUIAR) </t>
  </si>
  <si>
    <t xml:space="preserve">VENDAS DE MERCADORIAS CONF NF 100266 DE COMPANHIA BRASILEIRA DE DISTRIBUICAO ( EXTRA MIDWAY ) 1365 </t>
  </si>
  <si>
    <t>VALOR REF. A Clientes - Revenda de  Mercadoria - COMPANHIA BRASILEIRA DE  DISTRIBUIÇÃO (CONSELHEIRO AGUIAR) -   DOCUMENTO: 97507</t>
  </si>
  <si>
    <t>VALOR REF. A Clientes - Revenda de  Mercadoria - COMPANHIA BRASILEIRA DE  DISTRIBUICAO ( EXTRA MIDWAY ) 1365 -   DOCUMENTO: 97597</t>
  </si>
  <si>
    <t>VALOR REF. A Clientes - Revenda de  Mercadoria - COMPANHIA BRASILEIRA DE  DISTRIBUIÇÃO (CONSELHEIRO AGUIAR) -   DOCUMENTO: 97663</t>
  </si>
  <si>
    <t>VALOR REF. A Clientes - Revenda de  Mercadoria - COMPANHIA BRASILEIRA DE  DISTRIBUIÇÃO (CONSELHEIRO AGUIAR) -   DOCUMENTO: 97748</t>
  </si>
  <si>
    <t>VALOR REF. A Clientes - Revenda de  Mercadoria - COMPANHIA BRASILEIRA DE  DISTRIBUIÇÃO (CONSELHEIRO AGUIAR) -   DOCUMENTO: 97937</t>
  </si>
  <si>
    <t>VALOR REF. A Clientes - Revenda de  Mercadoria - COMPANHIA BRASILEIRA DE  DISTRIBUICAO ( EXTRA MIDWAY ) 1365 -   DOCUMENTO: 97947</t>
  </si>
  <si>
    <t xml:space="preserve">VENDAS DE MERCADORIAS CONF NF  100352 DE COMPANHIA BRASILEIRA DE  DISTRIBUICAO (EXTRA CONS. AGUIAR) </t>
  </si>
  <si>
    <t xml:space="preserve">VENDAS DE MERCADORIAS CONF NF  100462 DE COMPANHIA BRASILEIRA DE  DISTRIBUICAO (EXTRA CONS. AGUIAR) </t>
  </si>
  <si>
    <t xml:space="preserve">VENDAS DE MERCADORIAS CONF NF  100590 DE COMPANHIA BRASILEIRA DE  DISTRIBUICAO (EXTRA CONS. AGUIAR) </t>
  </si>
  <si>
    <t>VALOR REF. A Clientes - Revenda de  Mercadoria - COMPANHIA BRASILEIRA DE  DISTRIBUIÇÃO (CONSELHEIRO AGUIAR) -   DOCUMENTO: 98023</t>
  </si>
  <si>
    <t>VALOR REF. A Clientes - Revenda de  Mercadoria - COMPANHIA BRASILEIRA DE  DISTRIBUIÇÃO (CONSELHEIRO AGUIAR) -   DOCUMENTO: 98086</t>
  </si>
  <si>
    <t xml:space="preserve">VENDAS DE MERCADORIAS CONF NF  100689 DE COMPANHIA BRASILEIRA DE  DISTRIBUICAO (EXTRA CONS. AGUIAR) </t>
  </si>
  <si>
    <t xml:space="preserve">VENDAS DE MERCADORIAS CONF NF  100797 DE COMPANHIA BRASILEIRA DE  DISTRIBUICAO (EXTRA CONS. AGUIAR) </t>
  </si>
  <si>
    <t xml:space="preserve">VENDAS DE MERCADORIAS CONF NF  100922 DE COMPANHIA BRASILEIRA DE  DISTRIBUICAO (EXTRA CONS. AGUIAR) </t>
  </si>
  <si>
    <t xml:space="preserve">VENDAS DE MERCADORIAS CONF NF  101025 DE COMPANHIA BRASILEIRA DE  DISTRIBUICAO (EXTRA CONS. AGUIAR) </t>
  </si>
  <si>
    <t xml:space="preserve">VENDAS DE MERCADORIAS CONF NF  101134 DE COMPANHIA BRASILEIRA DE  DISTRIBUICAO (EXTRA CONS. AGUIAR) </t>
  </si>
  <si>
    <t>VALOR REF. A Clientes - Revenda de  Mercadoria - COMPANHIA BRASILEIRA DE  DISTRIBUIÇÃO (CONSELHEIRO AGUIAR) -   DOCUMENTO:</t>
  </si>
  <si>
    <t>VALOR REF. A Clientes - Revenda de  Mercadoria - COMPANHIA BRASILEIRA DE  DISTRIBUICAO ( EXTRA MIDWAY ) 1365 -   DOCUMENTO:</t>
  </si>
  <si>
    <t xml:space="preserve">VENDAS DE MERCADORIAS CONF NF  101245 DE COMPANHIA BRASILEIRA DE  DISTRIBUICAO (EXTRA CONS. AGUIAR) </t>
  </si>
  <si>
    <t xml:space="preserve">VENDAS DE MERCADORIAS CONF NF  101364 DE COMPANHIA BRASILEIRA DE  DISTRIBUICAO (EXTRA CONS. AGUIAR) </t>
  </si>
  <si>
    <t xml:space="preserve">VENDAS DE MERCADORIAS CONF NF  101586 DE COMPANHIA BRASILEIRA DE  DISTRIBUICAO (EXTRA CONS. AGUIAR) </t>
  </si>
  <si>
    <t xml:space="preserve">VENDAS DE MERCADORIAS CONF NF 101596 DE COMPANHIA BRASILEIRA DE DISTRIBUICAO ( EXTRA MIDWAY ) 1365 </t>
  </si>
  <si>
    <t>VALOR REF. A Clientes - Revenda de  Mercadoria - COMPANHIA BRASILEIRA DE  DISTRIBUICAO (EXTRAAO (EXTRA OLINDA)  -  DOCUMENTO: 97484</t>
  </si>
  <si>
    <t>VALOR REF. A Clientes - Revenda de  Mercadoria - COMPANHIA BRASILEIRA DE  DISTRIBUICAO (EXTRAAO (EXTRA OLINDA)  -  DOCUMENTO: 97565</t>
  </si>
  <si>
    <t>VALOR REF. A Clientes - Revenda de  Mercadoria - COMPANHIA BRASILEIRA DE  DISTRIBUICAO (EXTRAAO (EXTRA OLINDA)  -  DOCUMENTO: 97714</t>
  </si>
  <si>
    <t>VALOR REF. A Clientes - Revenda de  Mercadoria - COMPANHIA BRASILEIRA DE  DISTRIBUICAO (EXTRAAO (EXTRA OLINDA)  -  DOCUMENTO: 97761</t>
  </si>
  <si>
    <t>VALOR REF. A Clientes - Revenda de  Mercadoria - COMPANHIA BRASILEIRA DE  DISTRIBUICAO (EXTRAAO (EXTRA OLINDA)  -  DOCUMENTO: 97851</t>
  </si>
  <si>
    <t>VALOR REF. A Clientes - Revenda de  Mercadoria - COMPANHIA BRASILEIRA DE  DISTRIBUICAO (EXTRAAO (EXTRA OLINDA)  -  DOCUMENTO: 97907</t>
  </si>
  <si>
    <t>VALOR REF. A Clientes - Revenda de  Mercadoria - COMPANHIA BRASILEIRA DE  DISTRIBUICAO (EXTRAAO (EXTRA OLINDA)  -  DOCUMENTO: 97936</t>
  </si>
  <si>
    <t xml:space="preserve">VENDAS DE MERCADORIAS CONF NF 100404 DE COMPANHIA BRASILEIRA DE DISTRIBUICAO (EXTRA OLINDA) </t>
  </si>
  <si>
    <t xml:space="preserve">VENDAS DE MERCADORIAS CONF NF 100458 DE COMPANHIA BRASILEIRA DE DISTRIBUICAO (EXTRA OLINDA) </t>
  </si>
  <si>
    <t xml:space="preserve">VENDAS DE MERCADORIAS CONF NF 100633 DE COMPANHIA BRASILEIRA DE DISTRIBUICAO (EXTRA OLINDA) </t>
  </si>
  <si>
    <t>VALOR REF. A Clientes - Revenda de  Mercadoria - COMPANHIA BRASILEIRA DE  DISTRIBUICAO (EXTRAAO (EXTRA OLINDA)  -  DOCUMENTO: 97979</t>
  </si>
  <si>
    <t>VALOR REF. A Clientes - Revenda de  Mercadoria - COMPANHIA BRASILEIRA DE  DISTRIBUICAO (EXTRAAO (EXTRA OLINDA)  -  DOCUMENTO: 98055</t>
  </si>
  <si>
    <t>VALOR REF. A Clientes - Revenda de  Mercadoria - COMPANHIA BRASILEIRA DE  DISTRIBUICAO (EXTRAAO (EXTRA OLINDA)  -  DOCUMENTO: 98137</t>
  </si>
  <si>
    <t>VALOR REF. A Clientes - Revenda de  Mercadoria - COMPANHIA BRASILEIRA DE  DISTRIBUICAO (EXTRAAO (EXTRA OLINDA)  -  DOCUMENTO: 98165</t>
  </si>
  <si>
    <t xml:space="preserve">VENDAS DE MERCADORIAS CONF NF 100687 DE COMPANHIA BRASILEIRA DE DISTRIBUICAO (EXTRA OLINDA) </t>
  </si>
  <si>
    <t xml:space="preserve">VENDAS DE MERCADORIAS CONF NF 100759 DE COMPANHIA BRASILEIRA DE DISTRIBUICAO (EXTRA OLINDA) </t>
  </si>
  <si>
    <t xml:space="preserve">VENDAS DE MERCADORIAS CONF NF 100805 DE COMPANHIA BRASILEIRA DE DISTRIBUICAO (EXTRA OLINDA) </t>
  </si>
  <si>
    <t xml:space="preserve">VENDAS DE MERCADORIAS CONF NF 100981 DE COMPANHIA BRASILEIRA DE DISTRIBUICAO (EXTRA OLINDA) </t>
  </si>
  <si>
    <t xml:space="preserve">VENDAS DE MERCADORIAS CONF NF 101138 DE COMPANHIA BRASILEIRA DE DISTRIBUICAO (EXTRA OLINDA) </t>
  </si>
  <si>
    <t>VALOR REF. A Clientes - Revenda de  Mercadoria - COMPANHIA BRASILEIRA DE  DISTRIBUICAO (EXTRAAO (EXTRA OLINDA)  -  DOCUMENTO: 97817</t>
  </si>
  <si>
    <t>VALOR REF. A Clientes - Revenda de  Mercadoria - COMPANHIA BRASILEIRA DE  DISTRIBUICAO (EXTRAAO (EXTRA OLINDA)  -  DOCUMENTO: 98209</t>
  </si>
  <si>
    <t>VALOR REF. A Clientes - Revenda de  Mercadoria - COMPANHIA BRASILEIRA DE  DISTRIBUICAO (EXTRAAO (EXTRA OLINDA)  -  DOCUMENTO:</t>
  </si>
  <si>
    <t xml:space="preserve">VENDAS DE MERCADORIAS CONF NF 101193 DE COMPANHIA BRASILEIRA DE DISTRIBUICAO (EXTRA OLINDA) </t>
  </si>
  <si>
    <t xml:space="preserve">VENDAS DE MERCADORIAS CONF NF 101319 DE COMPANHIA BRASILEIRA DE DISTRIBUICAO (EXTRA OLINDA) </t>
  </si>
  <si>
    <t xml:space="preserve">VENDAS DE MERCADORIAS CONF NF 101476 DE COMPANHIA BRASILEIRA DE DISTRIBUICAO (EXTRA OLINDA) </t>
  </si>
  <si>
    <t xml:space="preserve">VENDAS DE MERCADORIAS CONF NF 100235 DE COMPANHIA BRASILEIRA DE DISTRIBUICAO (PIEDADE) </t>
  </si>
  <si>
    <t>VALOR REF. A Clientes - Revenda de  Mercadoria - COMPANHIA BRASILEIRA DE  DISTRIBUICAO (PIEDADE) -   DOCUMENTO: 97483</t>
  </si>
  <si>
    <t>VALOR REF. A Clientes - Revenda de  Mercadoria - COMPANHIA BRASILEIRA DE  DISTRIBUICAO (PIEDADE) -   DOCUMENTO: 97515</t>
  </si>
  <si>
    <t>VALOR REF. A Clientes - Revenda de  Mercadoria - COMPANHIA BRASILEIRA DE  DISTRIBUICAO (PIEDADE) -   DOCUMENTO: 97570</t>
  </si>
  <si>
    <t>VALOR REF. A Clientes - Revenda de  Mercadoria - COMPANHIA BRASILEIRA DE  DISTRIBUICAO (PIEDADE) -   DOCUMENTO: 97591</t>
  </si>
  <si>
    <t>VALOR REF. A Clientes - Revenda de  Mercadoria - COMPANHIA BRASILEIRA DE  DISTRIBUICAO (PIEDADE) -   DOCUMENTO: 97639</t>
  </si>
  <si>
    <t>VALOR REF. A Clientes - Revenda de  Mercadoria - COMPANHIA BRASILEIRA DE  DISTRIBUICAO (PIEDADE) -   DOCUMENTO: 97670</t>
  </si>
  <si>
    <t>VALOR REF. A Clientes - Revenda de  Mercadoria - COMPANHIA BRASILEIRA DE  DISTRIBUICAO (PIEDADE) -   DOCUMENTO: 97711</t>
  </si>
  <si>
    <t>VALOR REF. A Clientes - Revenda de  Mercadoria - COMPANHIA BRASILEIRA DE  DISTRIBUICAO (PIEDADE) -   DOCUMENTO: 97755</t>
  </si>
  <si>
    <t>VALOR REF. A Clientes - Revenda de  Mercadoria - COMPANHIA BRASILEIRA DE  DISTRIBUICAO (PIEDADE) -   DOCUMENTO: 97813</t>
  </si>
  <si>
    <t>VALOR REF. A Clientes - Revenda de  Mercadoria - COMPANHIA BRASILEIRA DE  DISTRIBUICAO (PIEDADE) -   DOCUMENTO: 97846</t>
  </si>
  <si>
    <t>VALOR REF. A Clientes - Revenda de  Mercadoria - COMPANHIA BRASILEIRA DE  DISTRIBUICAO (PIEDADE) -   DOCUMENTO: 97905</t>
  </si>
  <si>
    <t>VALOR REF. A Clientes - Revenda de  Mercadoria - COMPANHIA BRASILEIRA DE  DISTRIBUICAO (PIEDADE) -   DOCUMENTO: 97942</t>
  </si>
  <si>
    <t xml:space="preserve">VENDAS DE MERCADORIAS CONF NF 100297 DE COMPANHIA BRASILEIRA DE DISTRIBUICAO (PIEDADE) </t>
  </si>
  <si>
    <t xml:space="preserve">VENDAS DE MERCADORIAS CONF NF 100344 DE COMPANHIA BRASILEIRA DE DISTRIBUICAO (PIEDADE) </t>
  </si>
  <si>
    <t xml:space="preserve">VENDAS DE MERCADORIAS CONF NF 100409 DE COMPANHIA BRASILEIRA DE DISTRIBUICAO (PIEDADE) </t>
  </si>
  <si>
    <t xml:space="preserve">VENDAS DE MERCADORIAS CONF NF 100459 DE COMPANHIA BRASILEIRA DE DISTRIBUICAO (PIEDADE) </t>
  </si>
  <si>
    <t xml:space="preserve">VENDAS DE MERCADORIAS CONF NF 100519 DE COMPANHIA BRASILEIRA DE DISTRIBUICAO (PIEDADE) </t>
  </si>
  <si>
    <t xml:space="preserve">VENDAS DE MERCADORIAS CONF NF 100591 DE COMPANHIA BRASILEIRA DE DISTRIBUICAO (PIEDADE) </t>
  </si>
  <si>
    <t xml:space="preserve">VENDAS DE MERCADORIAS CONF NF 100635 DE COMPANHIA BRASILEIRA DE DISTRIBUICAO (PIEDADE) </t>
  </si>
  <si>
    <t>VALOR REF. A Clientes - Revenda de  Mercadoria - COMPANHIA BRASILEIRA DE  DISTRIBUICAO (PIEDADE) -   DOCUMENTO: 97973</t>
  </si>
  <si>
    <t>VALOR REF. A Clientes - Revenda de  Mercadoria - COMPANHIA BRASILEIRA DE  DISTRIBUICAO (PIEDADE) -   DOCUMENTO: 98025</t>
  </si>
  <si>
    <t>VALOR REF. A Clientes - Revenda de  Mercadoria - COMPANHIA BRASILEIRA DE  DISTRIBUICAO (PIEDADE) -   DOCUMENTO: 98069</t>
  </si>
  <si>
    <t>VALOR REF. A Clientes - Revenda de  Mercadoria - COMPANHIA BRASILEIRA DE  DISTRIBUICAO (PIEDADE) -   DOCUMENTO: 98088</t>
  </si>
  <si>
    <t>VALOR REF. A Clientes - Revenda de  Mercadoria - COMPANHIA BRASILEIRA DE  DISTRIBUICAO (PIEDADE) -   DOCUMENTO: 98133</t>
  </si>
  <si>
    <t>VALOR REF. A Clientes - Revenda de  Mercadoria - COMPANHIA BRASILEIRA DE  DISTRIBUICAO (PIEDADE) -   DOCUMENTO: 98169</t>
  </si>
  <si>
    <t xml:space="preserve">VENDAS DE MERCADORIAS CONF NF 100690 DE COMPANHIA BRASILEIRA DE DISTRIBUICAO (PIEDADE) </t>
  </si>
  <si>
    <t xml:space="preserve">VENDAS DE MERCADORIAS CONF NF 100752 DE COMPANHIA BRASILEIRA DE DISTRIBUICAO (PIEDADE) </t>
  </si>
  <si>
    <t xml:space="preserve">VENDAS DE MERCADORIAS CONF NF 100795 DE COMPANHIA BRASILEIRA DE DISTRIBUICAO (PIEDADE) </t>
  </si>
  <si>
    <t xml:space="preserve">VENDAS DE MERCADORIAS CONF NF 100876 DE COMPANHIA BRASILEIRA DE DISTRIBUICAO (PIEDADE) </t>
  </si>
  <si>
    <t xml:space="preserve">VENDAS DE MERCADORIAS CONF NF 100915 DE COMPANHIA BRASILEIRA DE DISTRIBUICAO (PIEDADE) </t>
  </si>
  <si>
    <t xml:space="preserve">VENDAS DE MERCADORIAS CONF NF 100984 DE COMPANHIA BRASILEIRA DE DISTRIBUICAO (PIEDADE) </t>
  </si>
  <si>
    <t xml:space="preserve">VENDAS DE MERCADORIAS CONF NF 101024 DE COMPANHIA BRASILEIRA DE DISTRIBUICAO (PIEDADE) </t>
  </si>
  <si>
    <t xml:space="preserve">VENDAS DE MERCADORIAS CONF NF 101093 DE COMPANHIA BRASILEIRA DE DISTRIBUICAO (PIEDADE) </t>
  </si>
  <si>
    <t xml:space="preserve">VENDAS DE MERCADORIAS CONF NF 101130 DE COMPANHIA BRASILEIRA DE DISTRIBUICAO (PIEDADE) </t>
  </si>
  <si>
    <t>VALOR REF. A Clientes - Revenda de  Mercadoria - COMPANHIA BRASILEIRA DE  DISTRIBUICAO (PIEDADE) -   DOCUMENTO: 98214</t>
  </si>
  <si>
    <t>VALOR REF. A Clientes - Revenda de  Mercadoria - COMPANHIA BRASILEIRA DE  DISTRIBUICAO (PIEDADE) -  DOCUMENTO:</t>
  </si>
  <si>
    <t xml:space="preserve">VENDAS DE MERCADORIAS CONF NF 101198 DE COMPANHIA BRASILEIRA DE DISTRIBUICAO (PIEDADE) </t>
  </si>
  <si>
    <t xml:space="preserve">VENDAS DE MERCADORIAS CONF NF 101249 DE COMPANHIA BRASILEIRA DE DISTRIBUICAO (PIEDADE) </t>
  </si>
  <si>
    <t xml:space="preserve">VENDAS DE MERCADORIAS CONF NF 101323 DE COMPANHIA BRASILEIRA DE DISTRIBUICAO (PIEDADE) </t>
  </si>
  <si>
    <t xml:space="preserve">VENDAS DE MERCADORIAS CONF NF 101361 DE COMPANHIA BRASILEIRA DE DISTRIBUICAO (PIEDADE) </t>
  </si>
  <si>
    <t xml:space="preserve">VENDAS DE MERCADORIAS CONF NF 101432 DE COMPANHIA BRASILEIRA DE DISTRIBUICAO (PIEDADE) </t>
  </si>
  <si>
    <t xml:space="preserve">VENDAS DE MERCADORIAS CONF NF 101483 DE COMPANHIA BRASILEIRA DE DISTRIBUICAO (PIEDADE) </t>
  </si>
  <si>
    <t xml:space="preserve">VENDAS DE MERCADORIAS CONF NF 101533 DE COMPANHIA BRASILEIRA DE DISTRIBUICAO (PIEDADE) </t>
  </si>
  <si>
    <t xml:space="preserve">VENDAS DE MERCADORIAS CONF NF 101585 DE COMPANHIA BRASILEIRA DE DISTRIBUICAO (PIEDADE) </t>
  </si>
  <si>
    <t xml:space="preserve">VENDAS DE MERCADORIAS CONF NF 101647 DE COMPANHIA BRASILEIRA DE DISTRIBUICAO (PIEDADE) </t>
  </si>
  <si>
    <t xml:space="preserve">VENDAS DE MERCADORIAS CONF NF  100200 DE COMPANHIA BRASILEIRA DE  DISTRIBUICAO CD - PE </t>
  </si>
  <si>
    <t xml:space="preserve">VENDAS DE MERCADORIAS CONF NF  100201 DE COMPANHIA BRASILEIRA DE  DISTRIBUICAO CD - PE </t>
  </si>
  <si>
    <t xml:space="preserve">VENDAS DE MERCADORIAS CONF NF  100259 DE COMPANHIA BRASILEIRA DE  DISTRIBUICAO CD - PE </t>
  </si>
  <si>
    <t xml:space="preserve">VENDAS DE MERCADORIAS CONF NF  100260 DE COMPANHIA BRASILEIRA DE  DISTRIBUICAO CD - PE </t>
  </si>
  <si>
    <t xml:space="preserve">VENDAS DE MERCADORIAS CONF NF  100262 DE COMPANHIA BRASILEIRA DE  DISTRIBUICAO CD - PE </t>
  </si>
  <si>
    <t xml:space="preserve">VENDAS DE MERCADORIAS CONF NF  100263 DE COMPANHIA BRASILEIRA DE  DISTRIBUICAO CD - PE </t>
  </si>
  <si>
    <t xml:space="preserve">VENDAS DE MERCADORIAS CONF NF  100264 DE COMPANHIA BRASILEIRA DE  DISTRIBUICAO CD - PE </t>
  </si>
  <si>
    <t xml:space="preserve">VENDAS DE MERCADORIAS CONF NF  100265 DE COMPANHIA BRASILEIRA DE  DISTRIBUICAO CD - PE </t>
  </si>
  <si>
    <t xml:space="preserve">VENDAS DE MERCADORIAS CONF NF  100267 DE COMPANHIA BRASILEIRA DE  DISTRIBUICAO CD - PE </t>
  </si>
  <si>
    <t>VALOR REF. A Clientes - Revenda de  Mercadoria - COMPANHIA BRASILEIRA DE  DISTRIBUICAO CD - PE -  DOCUMENTO:  97532</t>
  </si>
  <si>
    <t>VALOR REF. A Clientes - Revenda de  Mercadoria - COMPANHIA BRASILEIRA DE  DISTRIBUICAO CD - PE -  DOCUMENTO:  97533</t>
  </si>
  <si>
    <t>VALOR REF. A Clientes - Revenda de  Mercadoria - COMPANHIA BRASILEIRA DE  DISTRIBUICAO CD - PE -  DOCUMENTO:  97534</t>
  </si>
  <si>
    <t>VALOR REF. A Clientes - Revenda de  Mercadoria - COMPANHIA BRASILEIRA DE  DISTRIBUICAO CD - PE -  DOCUMENTO:  97574</t>
  </si>
  <si>
    <t>VALOR REF. A Clientes - Revenda de  Mercadoria - COMPANHIA BRASILEIRA DE  DISTRIBUICAO CD - PE -  DOCUMENTO:  97575</t>
  </si>
  <si>
    <t>VALOR REF. A Clientes - Revenda de  Mercadoria - COMPANHIA BRASILEIRA DE  DISTRIBUICAO CD - PE -  DOCUMENTO:  97576</t>
  </si>
  <si>
    <t>VALOR REF. A Clientes - Revenda de  Mercadoria - COMPANHIA BRASILEIRA DE  DISTRIBUICAO CD - PE -  DOCUMENTO:  97582</t>
  </si>
  <si>
    <t>VALOR REF. A Clientes - Revenda de  Mercadoria - COMPANHIA BRASILEIRA DE  DISTRIBUICAO CD - PE -  DOCUMENTO:  97583</t>
  </si>
  <si>
    <t>VALOR REF. A Clientes - Revenda de  Mercadoria - COMPANHIA BRASILEIRA DE  DISTRIBUICAO CD - PE -  DOCUMENTO:  97598</t>
  </si>
  <si>
    <t>VALOR REF. A Clientes - Revenda de  Mercadoria - COMPANHIA BRASILEIRA DE  DISTRIBUICAO CD - PE -  DOCUMENTO:  97643</t>
  </si>
  <si>
    <t>VALOR REF. A Clientes - Revenda de  Mercadoria - COMPANHIA BRASILEIRA DE  DISTRIBUICAO CD - PE -  DOCUMENTO:  97644</t>
  </si>
  <si>
    <t>VALOR REF. A Clientes - Revenda de  Mercadoria - COMPANHIA BRASILEIRA DE  DISTRIBUICAO CD - PE -  DOCUMENTO:  97671</t>
  </si>
  <si>
    <t>VALOR REF. A Clientes - Revenda de  Mercadoria - COMPANHIA BRASILEIRA DE  DISTRIBUICAO CD - PE -  DOCUMENTO:  97679</t>
  </si>
  <si>
    <t>VALOR REF. A Clientes - Revenda de  Mercadoria - COMPANHIA BRASILEIRA DE  DISTRIBUICAO CD - PE -  DOCUMENTO:  97680</t>
  </si>
  <si>
    <t>VALOR REF. A Clientes - Revenda de  Mercadoria - COMPANHIA BRASILEIRA DE  DISTRIBUICAO CD - PE -  DOCUMENTO:  97719</t>
  </si>
  <si>
    <t>VALOR REF. A Clientes - Revenda de  Mercadoria - COMPANHIA BRASILEIRA DE  DISTRIBUICAO CD - PE -  DOCUMENTO:  97720</t>
  </si>
  <si>
    <t>VALOR REF. A Clientes - Revenda de  Mercadoria - COMPANHIA BRASILEIRA DE  DISTRIBUICAO CD - PE -  DOCUMENTO:  97773</t>
  </si>
  <si>
    <t>VALOR REF. A Clientes - Revenda de  Mercadoria - COMPANHIA BRASILEIRA DE  DISTRIBUICAO CD - PE -  DOCUMENTO:  97782</t>
  </si>
  <si>
    <t>VALOR REF. A Clientes - Revenda de  Mercadoria - COMPANHIA BRASILEIRA DE  DISTRIBUICAO CD - PE -  DOCUMENTO:  97822</t>
  </si>
  <si>
    <t>VALOR REF. A Clientes - Revenda de  Mercadoria - COMPANHIA BRASILEIRA DE  DISTRIBUICAO CD - PE -  DOCUMENTO:  97823</t>
  </si>
  <si>
    <t>VALOR REF. A Clientes - Revenda de  Mercadoria - COMPANHIA BRASILEIRA DE  DISTRIBUICAO CD - PE -  DOCUMENTO:  97856</t>
  </si>
  <si>
    <t>VALOR REF. A Clientes - Revenda de  Mercadoria - COMPANHIA BRASILEIRA DE  DISTRIBUICAO CD - PE -  DOCUMENTO:  97873</t>
  </si>
  <si>
    <t>VALOR REF. A Clientes - Revenda de  Mercadoria - COMPANHIA BRASILEIRA DE  DISTRIBUICAO CD - PE -  DOCUMENTO:  97874</t>
  </si>
  <si>
    <t>VALOR REF. A Clientes - Revenda de  Mercadoria - COMPANHIA BRASILEIRA DE  DISTRIBUICAO CD - PE -  DOCUMENTO:  97911</t>
  </si>
  <si>
    <t>VALOR REF. A Clientes - Revenda de  Mercadoria - COMPANHIA BRASILEIRA DE  DISTRIBUICAO CD - PE -  DOCUMENTO:  97916</t>
  </si>
  <si>
    <t>VALOR REF. A Clientes - Revenda de  Mercadoria - COMPANHIA BRASILEIRA DE  DISTRIBUICAO CD - PE -  DOCUMENTO:  97917</t>
  </si>
  <si>
    <t>VALOR REF. A Clientes - Revenda de  Mercadoria - COMPANHIA BRASILEIRA DE  DISTRIBUICAO CD - PE -  DOCUMENTO:  97960</t>
  </si>
  <si>
    <t>VALOR REF. A Clientes - Revenda de  Mercadoria - COMPANHIA BRASILEIRA DE  DISTRIBUICAO CD - PE -  DOCUMENTO:  97961</t>
  </si>
  <si>
    <t>VALOR REF. A Clientes - Revenda de  Mercadoria - COMPANHIA BRASILEIRA DE  DISTRIBUICAO CD - PE -  DOCUMENTO:  97983</t>
  </si>
  <si>
    <t>VALOR REF. A Clientes - Revenda de  Mercadoria - COMPANHIA BRASILEIRA DE  DISTRIBUICAO CD - PE -  DOCUMENTO:  97984</t>
  </si>
  <si>
    <t xml:space="preserve">VENDAS DE MERCADORIAS CONF NF  100315 DE COMPANHIA BRASILEIRA DE  DISTRIBUICAO CD - PE </t>
  </si>
  <si>
    <t xml:space="preserve">VENDAS DE MERCADORIAS CONF NF  100316 DE COMPANHIA BRASILEIRA DE  DISTRIBUICAO CD - PE </t>
  </si>
  <si>
    <t xml:space="preserve">VENDAS DE MERCADORIAS CONF NF  100317 DE COMPANHIA BRASILEIRA DE  DISTRIBUICAO CD - PE </t>
  </si>
  <si>
    <t xml:space="preserve">VENDAS DE MERCADORIAS CONF NF  100370 DE COMPANHIA BRASILEIRA DE  DISTRIBUICAO CD - PE </t>
  </si>
  <si>
    <t xml:space="preserve">VENDAS DE MERCADORIAS CONF NF  100371 DE COMPANHIA BRASILEIRA DE  DISTRIBUICAO CD - PE </t>
  </si>
  <si>
    <t xml:space="preserve">VENDAS DE MERCADORIAS CONF NF  100415 DE COMPANHIA BRASILEIRA DE  DISTRIBUICAO CD - PE </t>
  </si>
  <si>
    <t xml:space="preserve">VENDAS DE MERCADORIAS CONF NF  100416 DE COMPANHIA BRASILEIRA DE  DISTRIBUICAO CD - PE </t>
  </si>
  <si>
    <t xml:space="preserve">VENDAS DE MERCADORIAS CONF NF  100417 DE COMPANHIA BRASILEIRA DE  DISTRIBUICAO CD - PE </t>
  </si>
  <si>
    <t xml:space="preserve">VENDAS DE MERCADORIAS CONF NF  100418 DE COMPANHIA BRASILEIRA DE  DISTRIBUICAO CD - PE </t>
  </si>
  <si>
    <t xml:space="preserve">VENDAS DE MERCADORIAS CONF NF  100419 DE COMPANHIA BRASILEIRA DE  DISTRIBUICAO CD - PE </t>
  </si>
  <si>
    <t xml:space="preserve">VENDAS DE MERCADORIAS CONF NF  100420 DE COMPANHIA BRASILEIRA DE  DISTRIBUICAO CD - PE </t>
  </si>
  <si>
    <t xml:space="preserve">VENDAS DE MERCADORIAS CONF NF  100421 DE COMPANHIA BRASILEIRA DE  DISTRIBUICAO CD - PE </t>
  </si>
  <si>
    <t xml:space="preserve">VENDAS DE MERCADORIAS CONF NF  100424 DE COMPANHIA BRASILEIRA DE  DISTRIBUICAO CD - PE </t>
  </si>
  <si>
    <t xml:space="preserve">VENDAS DE MERCADORIAS CONF NF  100425 DE COMPANHIA BRASILEIRA DE  DISTRIBUICAO CD - PE </t>
  </si>
  <si>
    <t xml:space="preserve">VENDAS DE MERCADORIAS CONF NF  100469 DE COMPANHIA BRASILEIRA DE  DISTRIBUICAO CD - PE </t>
  </si>
  <si>
    <t xml:space="preserve">VENDAS DE MERCADORIAS CONF NF  100470 DE COMPANHIA BRASILEIRA DE  DISTRIBUICAO CD - PE </t>
  </si>
  <si>
    <t xml:space="preserve">VENDAS DE MERCADORIAS CONF NF  100533 DE COMPANHIA BRASILEIRA DE  DISTRIBUICAO CD - PE </t>
  </si>
  <si>
    <t xml:space="preserve">VENDAS DE MERCADORIAS CONF NF  100534 DE COMPANHIA BRASILEIRA DE  DISTRIBUICAO CD - PE </t>
  </si>
  <si>
    <t xml:space="preserve">VENDAS DE MERCADORIAS CONF NF  100594 DE COMPANHIA BRASILEIRA DE  DISTRIBUICAO CD - PE </t>
  </si>
  <si>
    <t xml:space="preserve">VENDAS DE MERCADORIAS CONF NF  100595 DE COMPANHIA BRASILEIRA DE  DISTRIBUICAO CD - PE </t>
  </si>
  <si>
    <t xml:space="preserve">VENDAS DE MERCADORIAS CONF NF  100597 DE COMPANHIA BRASILEIRA DE  DISTRIBUICAO CD - PE </t>
  </si>
  <si>
    <t xml:space="preserve">VENDAS DE MERCADORIAS CONF NF  100598 DE COMPANHIA BRASILEIRA DE  DISTRIBUICAO CD - PE </t>
  </si>
  <si>
    <t xml:space="preserve">VENDAS DE MERCADORIAS CONF NF  100599 DE COMPANHIA BRASILEIRA DE  DISTRIBUICAO CD - PE </t>
  </si>
  <si>
    <t xml:space="preserve">VENDAS DE MERCADORIAS CONF NF  100601 DE COMPANHIA BRASILEIRA DE  DISTRIBUICAO CD - PE </t>
  </si>
  <si>
    <t xml:space="preserve">VENDAS DE MERCADORIAS CONF NF  100602 DE COMPANHIA BRASILEIRA DE  DISTRIBUICAO CD - PE </t>
  </si>
  <si>
    <t xml:space="preserve">VENDAS DE MERCADORIAS CONF NF  100648 DE COMPANHIA BRASILEIRA DE  DISTRIBUICAO CD - PE </t>
  </si>
  <si>
    <t xml:space="preserve">VENDAS DE MERCADORIAS CONF NF  100649 DE COMPANHIA BRASILEIRA DE  DISTRIBUICAO CD - PE </t>
  </si>
  <si>
    <t xml:space="preserve">VENDAS DE MERCADORIAS CONF NF  100650 DE COMPANHIA BRASILEIRA DE  DISTRIBUICAO CD - PE </t>
  </si>
  <si>
    <t>VALOR REF. A Clientes - Revenda de  Mercadoria - COMPANHIA BRASILEIRA DE  DISTRIBUICAO CD - PE -  DOCUMENTO:  98040</t>
  </si>
  <si>
    <t>VALOR REF. A Clientes - Revenda de  Mercadoria - COMPANHIA BRASILEIRA DE  DISTRIBUICAO CD - PE -  DOCUMENTO:  98041</t>
  </si>
  <si>
    <t>VALOR REF. A Clientes - Revenda de  Mercadoria - COMPANHIA BRASILEIRA DE  DISTRIBUICAO CD - PE -  DOCUMENTO:  98070</t>
  </si>
  <si>
    <t>VALOR REF. A Clientes - Revenda de  Mercadoria - COMPANHIA BRASILEIRA DE  DISTRIBUICAO CD - PE -  DOCUMENTO:  98073</t>
  </si>
  <si>
    <t>VALOR REF. A Clientes - Revenda de  Mercadoria - COMPANHIA BRASILEIRA DE  DISTRIBUICAO CD - PE -  DOCUMENTO:  98101</t>
  </si>
  <si>
    <t>VALOR REF. A Clientes - Revenda de  Mercadoria - COMPANHIA BRASILEIRA DE  DISTRIBUICAO CD - PE -  DOCUMENTO:  98102</t>
  </si>
  <si>
    <t>VALOR REF. A Clientes - Revenda de  Mercadoria - COMPANHIA BRASILEIRA DE  DISTRIBUICAO CD - PE -  DOCUMENTO:  98114</t>
  </si>
  <si>
    <t>VALOR REF. A Clientes - Revenda de  Mercadoria - COMPANHIA BRASILEIRA DE  DISTRIBUICAO CD - PE -  DOCUMENTO:  98144</t>
  </si>
  <si>
    <t>VALOR REF. A Clientes - Revenda de  Mercadoria - COMPANHIA BRASILEIRA DE  DISTRIBUICAO CD - PE -  DOCUMENTO:  98146</t>
  </si>
  <si>
    <t>VALOR REF. A Clientes - Revenda de  Mercadoria - COMPANHIA BRASILEIRA DE  DISTRIBUICAO CD - PE -  DOCUMENTO:  98147</t>
  </si>
  <si>
    <t>VALOR REF. A Clientes - Revenda de  Mercadoria - COMPANHIA BRASILEIRA DE  DISTRIBUICAO CD - PE -  DOCUMENTO:  98148</t>
  </si>
  <si>
    <t>VALOR REF. A Clientes - Revenda de  Mercadoria - COMPANHIA BRASILEIRA DE  DISTRIBUICAO CD - PE -  DOCUMENTO:  98149</t>
  </si>
  <si>
    <t>VALOR REF. A Clientes - Revenda de  Mercadoria - COMPANHIA BRASILEIRA DE  DISTRIBUICAO CD - PE -  DOCUMENTO:  98193</t>
  </si>
  <si>
    <t>VALOR REF. A Clientes - Revenda de  Mercadoria - COMPANHIA BRASILEIRA DE  DISTRIBUICAO CD - PE -  DOCUMENTO:  98194</t>
  </si>
  <si>
    <t>VALOR REF. A Clientes - Revenda de  Mercadoria - COMPANHIA BRASILEIRA DE  DISTRIBUICAO CD - PE -  DOCUMENTO:  98219</t>
  </si>
  <si>
    <t>VALOR REF. A Clientes - Revenda de  Mercadoria - COMPANHIA BRASILEIRA DE  DISTRIBUICAO CD - PE -  DOCUMENTO:  98220</t>
  </si>
  <si>
    <t xml:space="preserve">VENDAS DE MERCADORIAS CONF NF  100646 DE COMPANHIA BRASILEIRA DE  DISTRIBUICAO CD - PE </t>
  </si>
  <si>
    <t xml:space="preserve">VENDAS DE MERCADORIAS CONF NF  100661 DE COMPANHIA BRASILEIRA DE  DISTRIBUICAO CD - PE </t>
  </si>
  <si>
    <t xml:space="preserve">VENDAS DE MERCADORIAS CONF NF  100662 DE COMPANHIA BRASILEIRA DE  DISTRIBUICAO CD - PE </t>
  </si>
  <si>
    <t xml:space="preserve">VENDAS DE MERCADORIAS CONF NF  100712 DE COMPANHIA BRASILEIRA DE  DISTRIBUICAO CD - PE </t>
  </si>
  <si>
    <t xml:space="preserve">VENDAS DE MERCADORIAS CONF NF  100713 DE COMPANHIA BRASILEIRA DE  DISTRIBUICAO CD - PE </t>
  </si>
  <si>
    <t xml:space="preserve">VENDAS DE MERCADORIAS CONF NF  100673 DE COMPANHIA BRASILEIRA DE  DISTRIBUICAO CD - PE </t>
  </si>
  <si>
    <t xml:space="preserve">VENDAS DE MERCADORIAS CONF NF  100714 DE COMPANHIA BRASILEIRA DE  DISTRIBUICAO CD - PE </t>
  </si>
  <si>
    <t xml:space="preserve">VENDAS DE MERCADORIAS CONF NF  100766 DE COMPANHIA BRASILEIRA DE  DISTRIBUICAO CD - PE </t>
  </si>
  <si>
    <t xml:space="preserve">VENDAS DE MERCADORIAS CONF NF  100767 DE COMPANHIA BRASILEIRA DE  DISTRIBUICAO CD - PE </t>
  </si>
  <si>
    <t xml:space="preserve">VENDAS DE MERCADORIAS CONF NF  100768 DE COMPANHIA BRASILEIRA DE  DISTRIBUICAO CD - PE </t>
  </si>
  <si>
    <t xml:space="preserve">VENDAS DE MERCADORIAS CONF NF  100769 DE COMPANHIA BRASILEIRA DE  DISTRIBUICAO CD - PE </t>
  </si>
  <si>
    <t xml:space="preserve">VENDAS DE MERCADORIAS CONF NF  100770 DE COMPANHIA BRASILEIRA DE  DISTRIBUICAO CD - PE </t>
  </si>
  <si>
    <t xml:space="preserve">VENDAS DE MERCADORIAS CONF NF  100771 DE COMPANHIA BRASILEIRA DE  DISTRIBUICAO CD - PE </t>
  </si>
  <si>
    <t xml:space="preserve">VENDAS DE MERCADORIAS CONF NF  100772 DE COMPANHIA BRASILEIRA DE  DISTRIBUICAO CD - PE </t>
  </si>
  <si>
    <t xml:space="preserve">VENDAS DE MERCADORIAS CONF NF  100775 DE COMPANHIA BRASILEIRA DE  DISTRIBUICAO CD - PE </t>
  </si>
  <si>
    <t xml:space="preserve">VENDAS DE MERCADORIAS CONF NF  100776 DE COMPANHIA BRASILEIRA DE  DISTRIBUICAO CD - PE </t>
  </si>
  <si>
    <t xml:space="preserve">VENDAS DE MERCADORIAS CONF NF  100834 DE COMPANHIA BRASILEIRA DE  DISTRIBUICAO CD - PE </t>
  </si>
  <si>
    <t xml:space="preserve">VENDAS DE MERCADORIAS CONF NF  100835 DE COMPANHIA BRASILEIRA DE  DISTRIBUICAO CD - PE </t>
  </si>
  <si>
    <t xml:space="preserve">VENDAS DE MERCADORIAS CONF NF  100838 DE COMPANHIA BRASILEIRA DE  DISTRIBUICAO CD - PE </t>
  </si>
  <si>
    <t xml:space="preserve">VENDAS DE MERCADORIAS CONF NF  100878 DE COMPANHIA BRASILEIRA DE  DISTRIBUICAO CD - PE </t>
  </si>
  <si>
    <t xml:space="preserve">VENDAS DE MERCADORIAS CONF NF  100879 DE COMPANHIA BRASILEIRA DE  DISTRIBUICAO CD - PE </t>
  </si>
  <si>
    <t xml:space="preserve">VENDAS DE MERCADORIAS CONF NF  100932 DE COMPANHIA BRASILEIRA DE  DISTRIBUICAO CD - PE </t>
  </si>
  <si>
    <t xml:space="preserve">VENDAS DE MERCADORIAS CONF NF  100933 DE COMPANHIA BRASILEIRA DE  DISTRIBUICAO CD - PE </t>
  </si>
  <si>
    <t xml:space="preserve">VENDAS DE MERCADORIAS CONF NF  100934 DE COMPANHIA BRASILEIRA DE  DISTRIBUICAO CD - PE </t>
  </si>
  <si>
    <t xml:space="preserve">VENDAS DE MERCADORIAS CONF NF  100945 DE COMPANHIA BRASILEIRA DE  DISTRIBUICAO CD - PE </t>
  </si>
  <si>
    <t xml:space="preserve">VENDAS DE MERCADORIAS CONF NF  100946 DE COMPANHIA BRASILEIRA DE  DISTRIBUICAO CD - PE </t>
  </si>
  <si>
    <t xml:space="preserve">VENDAS DE MERCADORIAS CONF NF  100949 DE COMPANHIA BRASILEIRA DE  DISTRIBUICAO CD - PE </t>
  </si>
  <si>
    <t xml:space="preserve">VENDAS DE MERCADORIAS CONF NF  100950 DE COMPANHIA BRASILEIRA DE  DISTRIBUICAO CD - PE </t>
  </si>
  <si>
    <t xml:space="preserve">VENDAS DE MERCADORIAS CONF NF  100998 DE COMPANHIA BRASILEIRA DE  DISTRIBUICAO CD - PE </t>
  </si>
  <si>
    <t xml:space="preserve">VENDAS DE MERCADORIAS CONF NF  100999 DE COMPANHIA BRASILEIRA DE  DISTRIBUICAO CD - PE </t>
  </si>
  <si>
    <t xml:space="preserve">VENDAS DE MERCADORIAS CONF NF  101002 DE COMPANHIA BRASILEIRA DE  DISTRIBUICAO CD - PE </t>
  </si>
  <si>
    <t xml:space="preserve">VENDAS DE MERCADORIAS CONF NF  101003 DE COMPANHIA BRASILEIRA DE  DISTRIBUICAO CD - PE </t>
  </si>
  <si>
    <t xml:space="preserve">VENDAS DE MERCADORIAS CONF NF  101042 DE COMPANHIA BRASILEIRA DE  DISTRIBUICAO CD - PE </t>
  </si>
  <si>
    <t xml:space="preserve">VENDAS DE MERCADORIAS CONF NF  101052 DE COMPANHIA BRASILEIRA DE  DISTRIBUICAO CD - PE </t>
  </si>
  <si>
    <t xml:space="preserve">VENDAS DE MERCADORIAS CONF NF  101053 DE COMPANHIA BRASILEIRA DE  DISTRIBUICAO CD - PE </t>
  </si>
  <si>
    <t xml:space="preserve">VENDAS DE MERCADORIAS CONF NF  101054 DE COMPANHIA BRASILEIRA DE  DISTRIBUICAO CD - PE </t>
  </si>
  <si>
    <t xml:space="preserve">VENDAS DE MERCADORIAS CONF NF  101055 DE COMPANHIA BRASILEIRA DE  DISTRIBUICAO CD - PE </t>
  </si>
  <si>
    <t xml:space="preserve">VENDAS DE MERCADORIAS CONF NF  101056 DE COMPANHIA BRASILEIRA DE  DISTRIBUICAO CD - PE </t>
  </si>
  <si>
    <t xml:space="preserve">VENDAS DE MERCADORIAS CONF NF  101059 DE COMPANHIA BRASILEIRA DE  DISTRIBUICAO CD - PE </t>
  </si>
  <si>
    <t xml:space="preserve">VENDAS DE MERCADORIAS CONF NF  101060 DE COMPANHIA BRASILEIRA DE  DISTRIBUICAO CD - PE </t>
  </si>
  <si>
    <t xml:space="preserve">VENDAS DE MERCADORIAS CONF NF  101086 DE COMPANHIA BRASILEIRA DE  DISTRIBUICAO CD - PE </t>
  </si>
  <si>
    <t xml:space="preserve">VENDAS DE MERCADORIAS CONF NF  101103 DE COMPANHIA BRASILEIRA DE  DISTRIBUICAO CD - PE </t>
  </si>
  <si>
    <t xml:space="preserve">VENDAS DE MERCADORIAS CONF NF  101104 DE COMPANHIA BRASILEIRA DE  DISTRIBUICAO CD - PE </t>
  </si>
  <si>
    <t xml:space="preserve">VENDAS DE MERCADORIAS CONF NF  101105 DE COMPANHIA BRASILEIRA DE  DISTRIBUICAO CD - PE </t>
  </si>
  <si>
    <t xml:space="preserve">VENDAS DE MERCADORIAS CONF NF  101106 DE COMPANHIA BRASILEIRA DE  DISTRIBUICAO CD - PE </t>
  </si>
  <si>
    <t xml:space="preserve">VENDAS DE MERCADORIAS CONF NF  101107 DE COMPANHIA BRASILEIRA DE  DISTRIBUICAO CD - PE </t>
  </si>
  <si>
    <t xml:space="preserve">VENDAS DE MERCADORIAS CONF NF  101108 DE COMPANHIA BRASILEIRA DE  DISTRIBUICAO CD - PE </t>
  </si>
  <si>
    <t xml:space="preserve">VENDAS DE MERCADORIAS CONF NF  101111 DE COMPANHIA BRASILEIRA DE  DISTRIBUICAO CD - PE </t>
  </si>
  <si>
    <t xml:space="preserve">VENDAS DE MERCADORIAS CONF NF  101112 DE COMPANHIA BRASILEIRA DE  DISTRIBUICAO CD - PE </t>
  </si>
  <si>
    <t>VALOR REF. A Clientes - Revenda de  Mercadoria - COMPANHIA BRASILEIRA DE  DISTRIBUICAO CD - PE -  DOCUMENTO:</t>
  </si>
  <si>
    <t xml:space="preserve">VENDAS DE MERCADORIAS CONF NF  101164 DE COMPANHIA BRASILEIRA DE  DISTRIBUICAO CD - PE </t>
  </si>
  <si>
    <t xml:space="preserve">VENDAS DE MERCADORIAS CONF NF  101165 DE COMPANHIA BRASILEIRA DE  DISTRIBUICAO CD - PE </t>
  </si>
  <si>
    <t xml:space="preserve">VENDAS DE MERCADORIAS CONF NF  101167 DE COMPANHIA BRASILEIRA DE  DISTRIBUICAO CD - PE </t>
  </si>
  <si>
    <t xml:space="preserve">VENDAS DE MERCADORIAS CONF NF  101168 DE COMPANHIA BRASILEIRA DE  DISTRIBUICAO CD - PE </t>
  </si>
  <si>
    <t xml:space="preserve">VENDAS DE MERCADORIAS CONF NF  101211 DE COMPANHIA BRASILEIRA DE  DISTRIBUICAO CD - PE </t>
  </si>
  <si>
    <t xml:space="preserve">VENDAS DE MERCADORIAS CONF NF  101212 DE COMPANHIA BRASILEIRA DE  DISTRIBUICAO CD - PE </t>
  </si>
  <si>
    <t xml:space="preserve">VENDAS DE MERCADORIAS CONF NF  101271 DE COMPANHIA BRASILEIRA DE  DISTRIBUICAO CD - PE </t>
  </si>
  <si>
    <t xml:space="preserve">VENDAS DE MERCADORIAS CONF NF  101272 DE COMPANHIA BRASILEIRA DE  DISTRIBUICAO CD - PE </t>
  </si>
  <si>
    <t xml:space="preserve">VENDAS DE MERCADORIAS CONF NF  101273 DE COMPANHIA BRASILEIRA DE  DISTRIBUICAO CD - PE </t>
  </si>
  <si>
    <t xml:space="preserve">VENDAS DE MERCADORIAS CONF NF  101274 DE COMPANHIA BRASILEIRA DE  DISTRIBUICAO CD - PE </t>
  </si>
  <si>
    <t xml:space="preserve">VENDAS DE MERCADORIAS CONF NF  101277 DE COMPANHIA BRASILEIRA DE  DISTRIBUICAO CD - PE </t>
  </si>
  <si>
    <t xml:space="preserve">VENDAS DE MERCADORIAS CONF NF  101278 DE COMPANHIA BRASILEIRA DE  DISTRIBUICAO CD - PE </t>
  </si>
  <si>
    <t xml:space="preserve">VENDAS DE MERCADORIAS CONF NF  101315 DE COMPANHIA BRASILEIRA DE  DISTRIBUICAO CD - PE </t>
  </si>
  <si>
    <t xml:space="preserve">VENDAS DE MERCADORIAS CONF NF  101327 DE COMPANHIA BRASILEIRA DE  DISTRIBUICAO CD - PE </t>
  </si>
  <si>
    <t xml:space="preserve">VENDAS DE MERCADORIAS CONF NF  101336 DE COMPANHIA BRASILEIRA DE  DISTRIBUICAO CD - PE </t>
  </si>
  <si>
    <t xml:space="preserve">VENDAS DE MERCADORIAS CONF NF  101337 DE COMPANHIA BRASILEIRA DE  DISTRIBUICAO CD - PE </t>
  </si>
  <si>
    <t xml:space="preserve">VENDAS DE MERCADORIAS CONF NF  101338 DE COMPANHIA BRASILEIRA DE  DISTRIBUICAO CD - PE </t>
  </si>
  <si>
    <t xml:space="preserve">VENDAS DE MERCADORIAS CONF NF  101339 DE COMPANHIA BRASILEIRA DE  DISTRIBUICAO CD - PE </t>
  </si>
  <si>
    <t xml:space="preserve">VENDAS DE MERCADORIAS CONF NF  101373 DE COMPANHIA BRASILEIRA DE  DISTRIBUICAO CD - PE </t>
  </si>
  <si>
    <t xml:space="preserve">VENDAS DE MERCADORIAS CONF NF  101393 DE COMPANHIA BRASILEIRA DE  DISTRIBUICAO CD - PE </t>
  </si>
  <si>
    <t xml:space="preserve">VENDAS DE MERCADORIAS CONF NF  101394 DE COMPANHIA BRASILEIRA DE  DISTRIBUICAO CD - PE </t>
  </si>
  <si>
    <t xml:space="preserve">VENDAS DE MERCADORIAS CONF NF  101395 DE COMPANHIA BRASILEIRA DE  DISTRIBUICAO CD - PE </t>
  </si>
  <si>
    <t xml:space="preserve">VENDAS DE MERCADORIAS CONF NF  101396 DE COMPANHIA BRASILEIRA DE  DISTRIBUICAO CD - PE </t>
  </si>
  <si>
    <t xml:space="preserve">VENDAS DE MERCADORIAS CONF NF  101450 DE COMPANHIA BRASILEIRA DE  DISTRIBUICAO CD - PE </t>
  </si>
  <si>
    <t xml:space="preserve">VENDAS DE MERCADORIAS CONF NF  101451 DE COMPANHIA BRASILEIRA DE  DISTRIBUICAO CD - PE </t>
  </si>
  <si>
    <t xml:space="preserve">VENDAS DE MERCADORIAS CONF NF  101452 DE COMPANHIA BRASILEIRA DE  DISTRIBUICAO CD - PE </t>
  </si>
  <si>
    <t xml:space="preserve">VENDAS DE MERCADORIAS CONF NF  101444 DE COMPANHIA BRASILEIRA DE  DISTRIBUICAO CD - PE </t>
  </si>
  <si>
    <t xml:space="preserve">VENDAS DE MERCADORIAS CONF NF  101445 DE COMPANHIA BRASILEIRA DE  DISTRIBUICAO CD - PE </t>
  </si>
  <si>
    <t xml:space="preserve">VENDAS DE MERCADORIAS CONF NF  101446 DE COMPANHIA BRASILEIRA DE  DISTRIBUICAO CD - PE </t>
  </si>
  <si>
    <t xml:space="preserve">VENDAS DE MERCADORIAS CONF NF  101447 DE COMPANHIA BRASILEIRA DE  DISTRIBUICAO CD - PE </t>
  </si>
  <si>
    <t xml:space="preserve">VENDAS DE MERCADORIAS CONF NF  101448 DE COMPANHIA BRASILEIRA DE  DISTRIBUICAO CD - PE </t>
  </si>
  <si>
    <t xml:space="preserve">VENDAS DE MERCADORIAS CONF NF  101449 DE COMPANHIA BRASILEIRA DE  DISTRIBUICAO CD - PE </t>
  </si>
  <si>
    <t xml:space="preserve">VENDAS DE MERCADORIAS CONF NF  101453 DE COMPANHIA BRASILEIRA DE  DISTRIBUICAO CD - PE </t>
  </si>
  <si>
    <t xml:space="preserve">VENDAS DE MERCADORIAS CONF NF  101454 DE COMPANHIA BRASILEIRA DE  DISTRIBUICAO CD - PE </t>
  </si>
  <si>
    <t xml:space="preserve">VENDAS DE MERCADORIAS CONF NF  101502 DE COMPANHIA BRASILEIRA DE  DISTRIBUICAO CD - PE </t>
  </si>
  <si>
    <t xml:space="preserve">VENDAS DE MERCADORIAS CONF NF  101503 DE COMPANHIA BRASILEIRA DE  DISTRIBUICAO CD - PE </t>
  </si>
  <si>
    <t xml:space="preserve">VENDAS DE MERCADORIAS CONF NF  101506 DE COMPANHIA BRASILEIRA DE  DISTRIBUICAO CD - PE </t>
  </si>
  <si>
    <t xml:space="preserve">VENDAS DE MERCADORIAS CONF NF  101546 DE COMPANHIA BRASILEIRA DE  DISTRIBUICAO CD - PE </t>
  </si>
  <si>
    <t xml:space="preserve">VENDAS DE MERCADORIAS CONF NF  101547 DE COMPANHIA BRASILEIRA DE  DISTRIBUICAO CD - PE </t>
  </si>
  <si>
    <t xml:space="preserve">VENDAS DE MERCADORIAS CONF NF  101609 DE COMPANHIA BRASILEIRA DE  DISTRIBUICAO CD - PE </t>
  </si>
  <si>
    <t xml:space="preserve">VENDAS DE MERCADORIAS CONF NF  101610 DE COMPANHIA BRASILEIRA DE  DISTRIBUICAO CD - PE </t>
  </si>
  <si>
    <t xml:space="preserve">VENDAS DE MERCADORIAS CONF NF  101613 DE COMPANHIA BRASILEIRA DE  DISTRIBUICAO CD - PE </t>
  </si>
  <si>
    <t xml:space="preserve">VENDAS DE MERCADORIAS CONF NF  101614 DE COMPANHIA BRASILEIRA DE  DISTRIBUICAO CD - PE </t>
  </si>
  <si>
    <t xml:space="preserve">VENDAS DE MERCADORIAS CONF NF  101615 DE COMPANHIA BRASILEIRA DE  DISTRIBUICAO CD - PE </t>
  </si>
  <si>
    <t xml:space="preserve">VENDAS DE MERCADORIAS CONF NF  101616 DE COMPANHIA BRASILEIRA DE  DISTRIBUICAO CD - PE </t>
  </si>
  <si>
    <t xml:space="preserve">VENDAS DE MERCADORIAS CONF NF  101617 DE COMPANHIA BRASILEIRA DE  DISTRIBUICAO CD - PE </t>
  </si>
  <si>
    <t xml:space="preserve">VENDAS DE MERCADORIAS CONF NF  101618 DE COMPANHIA BRASILEIRA DE  DISTRIBUICAO CD - PE </t>
  </si>
  <si>
    <t xml:space="preserve">VENDAS DE MERCADORIAS CONF NF  101665 DE COMPANHIA BRASILEIRA DE  DISTRIBUICAO CD - PE </t>
  </si>
  <si>
    <t xml:space="preserve">VENDAS DE MERCADORIAS CONF NF  101666 DE COMPANHIA BRASILEIRA DE  DISTRIBUICAO CD - PE </t>
  </si>
  <si>
    <t xml:space="preserve">VENDAS DE MERCADORIAS CONF NF  100254 DE SUPERMERCADO NORDESTAO  LTDA (L.03) </t>
  </si>
  <si>
    <t xml:space="preserve">VENDAS DE MERCADORIAS CONF NF  100255 DE SUPERMERCADO NORDESTAO  LTDA (L.03) </t>
  </si>
  <si>
    <t xml:space="preserve">VENDAS DE MERCADORIAS CONF NF  100258 DE SUPERMERCADO NORDESTAO  LTDA (L.03) </t>
  </si>
  <si>
    <t xml:space="preserve">VENDAS DE MERCADORIAS CONF NF  100356 DE SUPERMERCADO NORDESTAO  LTDA (L.03) </t>
  </si>
  <si>
    <t xml:space="preserve">VENDAS DE MERCADORIAS CONF NF  100362 DE SUPERMERCADO NORDESTAO  LTDA (L.03) </t>
  </si>
  <si>
    <t>VALOR REF. A Clientes - Revenda de  Mercadoria - SUPERMERCADO NORDESTAO  LTDA (L.03) -  DOCUMENTO: 97951</t>
  </si>
  <si>
    <t>VALOR REF. A Clientes - Revenda de  Mercadoria - SUPERMERCADO NORDESTAO  LTDA (L.03) -  DOCUMENTO: 97952</t>
  </si>
  <si>
    <t>VALOR REF. A Clientes - Revenda de  Mercadoria - SUPERMERCADO NORDESTAO  LTDA (L.03) -  DOCUMENTO: 98030</t>
  </si>
  <si>
    <t>VALOR REF. A Clientes - Revenda de  Mercadoria - SUPERMERCADO NORDESTAO  LTDA (L.03) -  DOCUMENTO: 98031</t>
  </si>
  <si>
    <t>VALOR REF. A Clientes - Revenda de  Mercadoria - SUPERMERCADO NORDESTAO  LTDA (L.03) -  DOCUMENTO: 98094</t>
  </si>
  <si>
    <t>VALOR REF. A Clientes - Revenda de  Mercadoria - SUPERMERCADO NORDESTAO  LTDA (L.03) -  DOCUMENTO: 98095</t>
  </si>
  <si>
    <t>VALOR REF. A Clientes - Revenda de  Mercadoria - SUPERMERCADO NORDESTAO  LTDA (L.03) -  DOCUMENTO: 98175</t>
  </si>
  <si>
    <t>VALOR REF. A Clientes - Revenda de  Mercadoria - SUPERMERCADO NORDESTAO  LTDA (L.03) -  DOCUMENTO: 98176</t>
  </si>
  <si>
    <t xml:space="preserve">VENDAS DE MERCADORIAS CONF NF  100472 DE SUPERMERCADO NORDESTAO  LTDA (L.03) </t>
  </si>
  <si>
    <t xml:space="preserve">VENDAS DE MERCADORIAS CONF NF  100478 DE SUPERMERCADO NORDESTAO  LTDA (L.03) </t>
  </si>
  <si>
    <t xml:space="preserve">VENDAS DE MERCADORIAS CONF NF  100581 DE SUPERMERCADO NORDESTAO  LTDA (L.03) </t>
  </si>
  <si>
    <t xml:space="preserve">VENDAS DE MERCADORIAS CONF NF  100582 DE SUPERMERCADO NORDESTAO  LTDA (L.03) </t>
  </si>
  <si>
    <t xml:space="preserve">VENDAS DE MERCADORIAS CONF NF  100702 DE SUPERMERCADO NORDESTAO  LTDA (L.03) </t>
  </si>
  <si>
    <t xml:space="preserve">VENDAS DE MERCADORIAS CONF NF  100703 DE SUPERMERCADO NORDESTAO  LTDA (L.03) </t>
  </si>
  <si>
    <t xml:space="preserve">VENDAS DE MERCADORIAS CONF NF  100825 DE SUPERMERCADO NORDESTAO  LTDA (L.03) </t>
  </si>
  <si>
    <t xml:space="preserve">VENDAS DE MERCADORIAS CONF NF  100826 DE SUPERMERCADO NORDESTAO  LTDA (L.03) </t>
  </si>
  <si>
    <t>VALOR REF. A Clientes - Revenda de  Mercadoria - SUPERMERCADO NORDESTAO  LTDA (L.03) -  DOCUMENTO:</t>
  </si>
  <si>
    <t xml:space="preserve">VENDAS DE MERCADORIAS CONF NF  100937 DE SUPERMERCADO NORDESTAO  LTDA (L.03) </t>
  </si>
  <si>
    <t xml:space="preserve">VENDAS DE MERCADORIAS CONF NF  100938 DE SUPERMERCADO NORDESTAO  LTDA (L.03) </t>
  </si>
  <si>
    <t xml:space="preserve">VENDAS DE MERCADORIAS CONF NF  101043 DE SUPERMERCADO NORDESTAO  LTDA (L.03) </t>
  </si>
  <si>
    <t xml:space="preserve">VENDAS DE MERCADORIAS CONF NF  101044 DE SUPERMERCADO NORDESTAO  LTDA (L.03) </t>
  </si>
  <si>
    <t xml:space="preserve">VENDAS DE MERCADORIAS CONF NF  101149 DE SUPERMERCADO NORDESTAO  LTDA (L.03) </t>
  </si>
  <si>
    <t xml:space="preserve">VENDAS DE MERCADORIAS CONF NF  101150 DE SUPERMERCADO NORDESTAO  LTDA (L.03) </t>
  </si>
  <si>
    <t xml:space="preserve">VENDAS DE MERCADORIAS CONF NF  101260 DE SUPERMERCADO NORDESTAO  LTDA (L.03) </t>
  </si>
  <si>
    <t xml:space="preserve">VENDAS DE MERCADORIAS CONF NF  101368 DE SUPERMERCADO NORDESTAO  LTDA (L.03) </t>
  </si>
  <si>
    <t xml:space="preserve">VENDAS DE MERCADORIAS CONF NF  101376 DE SUPERMERCADO NORDESTAO  LTDA (L.03) </t>
  </si>
  <si>
    <t xml:space="preserve">VENDAS DE MERCADORIAS CONF NF  101377 DE SUPERMERCADO NORDESTAO  LTDA (L.03) </t>
  </si>
  <si>
    <t xml:space="preserve">VENDAS DE MERCADORIAS CONF NF  101492 DE SUPERMERCADO NORDESTAO  LTDA (L.03) </t>
  </si>
  <si>
    <t xml:space="preserve">VENDAS DE MERCADORIAS CONF NF  101493 DE SUPERMERCADO NORDESTAO  LTDA (L.03) </t>
  </si>
  <si>
    <t xml:space="preserve">VENDAS DE MERCADORIAS CONF NF  101598 DE SUPERMERCADO NORDESTAO  LTDA (L.03) </t>
  </si>
  <si>
    <t xml:space="preserve">VENDAS DE MERCADORIAS CONF NF  101599 DE SUPERMERCADO NORDESTAO  LTDA (L.03) </t>
  </si>
  <si>
    <t xml:space="preserve">VENDAS DE MERCADORIAS CONF NF  100256 DE SUPERMERCADO NORDESTAO  LTDA (L.04) </t>
  </si>
  <si>
    <t xml:space="preserve">VENDAS DE MERCADORIAS CONF NF  100358 DE SUPERMERCADO NORDESTAO  LTDA (L.04) </t>
  </si>
  <si>
    <t>VALOR REF. A Clientes - Revenda de  Mercadoria - SUPERMERCADO NORDESTAO  LTDA (L.04) -  DOCUMENTO: 97948</t>
  </si>
  <si>
    <t>VALOR REF. A Clientes - Revenda de  Mercadoria - SUPERMERCADO NORDESTAO  LTDA (L.04) -  DOCUMENTO: 98027</t>
  </si>
  <si>
    <t>VALOR REF. A Clientes - Revenda de  Mercadoria - SUPERMERCADO NORDESTAO  LTDA (L.04) -  DOCUMENTO: 98091</t>
  </si>
  <si>
    <t>VALOR REF. A Clientes - Revenda de  Mercadoria - SUPERMERCADO NORDESTAO  LTDA (L.04) -  DOCUMENTO: 98172</t>
  </si>
  <si>
    <t xml:space="preserve">VENDAS DE MERCADORIAS CONF NF  100474 DE SUPERMERCADO NORDESTAO  LTDA (L.04) </t>
  </si>
  <si>
    <t xml:space="preserve">VENDAS DE MERCADORIAS CONF NF  100583 DE SUPERMERCADO NORDESTAO  LTDA (L.04) </t>
  </si>
  <si>
    <t xml:space="preserve">VENDAS DE MERCADORIAS CONF NF  100704 DE SUPERMERCADO NORDESTAO  LTDA (L.04) </t>
  </si>
  <si>
    <t xml:space="preserve">VENDAS DE MERCADORIAS CONF NF  100824 DE SUPERMERCADO NORDESTAO  LTDA (L.04) </t>
  </si>
  <si>
    <t>VALOR REF. A Clientes - Revenda de  Mercadoria - SUPERMERCADO NORDESTAO  LTDA (L.04) -  DOCUMENTO:</t>
  </si>
  <si>
    <t xml:space="preserve">VENDAS DE MERCADORIAS CONF NF  100939 DE SUPERMERCADO NORDESTAO  LTDA (L.04) </t>
  </si>
  <si>
    <t xml:space="preserve">VENDAS DE MERCADORIAS CONF NF  101045 DE SUPERMERCADO NORDESTAO  LTDA (L.04) </t>
  </si>
  <si>
    <t xml:space="preserve">VENDAS DE MERCADORIAS CONF NF  101151 DE SUPERMERCADO NORDESTAO  LTDA (L.04) </t>
  </si>
  <si>
    <t xml:space="preserve">VENDAS DE MERCADORIAS CONF NF  101261 DE SUPERMERCADO NORDESTAO  LTDA (L.04) </t>
  </si>
  <si>
    <t xml:space="preserve">VENDAS DE MERCADORIAS CONF NF  101378 DE SUPERMERCADO NORDESTAO  LTDA (L.04) </t>
  </si>
  <si>
    <t xml:space="preserve">VENDAS DE MERCADORIAS CONF NF  101494 DE SUPERMERCADO NORDESTAO  LTDA (L.04) </t>
  </si>
  <si>
    <t xml:space="preserve">VENDAS DE MERCADORIAS CONF NF  101603 DE SUPERMERCADO NORDESTAO  LTDA (L.04) </t>
  </si>
  <si>
    <t xml:space="preserve">VENDAS DE MERCADORIAS CONF NF  100257 DE SUPERMERCADO NORDESTAO  LTDA (L.05) </t>
  </si>
  <si>
    <t xml:space="preserve">VENDAS DE MERCADORIAS CONF NF  100361 DE SUPERMERCADO NORDESTAO  LTDA (L.05) </t>
  </si>
  <si>
    <t>VALOR REF. A Clientes - Revenda de  Mercadoria - SUPERMERCADO NORDESTAO  LTDA (L.05) -  DOCUMENTO: 97953</t>
  </si>
  <si>
    <t>VALOR REF. A Clientes - Revenda de  Mercadoria - SUPERMERCADO NORDESTAO  LTDA (L.05) -  DOCUMENTO: 98033</t>
  </si>
  <si>
    <t>VALOR REF. A Clientes - Revenda de  Mercadoria - SUPERMERCADO NORDESTAO  LTDA (L.05) -  DOCUMENTO: 98097</t>
  </si>
  <si>
    <t>VALOR REF. A Clientes - Revenda de  Mercadoria - SUPERMERCADO NORDESTAO  LTDA (L.05) -  DOCUMENTO: 98178</t>
  </si>
  <si>
    <t xml:space="preserve">VENDAS DE MERCADORIAS CONF NF  100477 DE SUPERMERCADO NORDESTAO  LTDA (L.05) </t>
  </si>
  <si>
    <t xml:space="preserve">VENDAS DE MERCADORIAS CONF NF  100584 DE SUPERMERCADO NORDESTAO  LTDA (L.05) </t>
  </si>
  <si>
    <t xml:space="preserve">VENDAS DE MERCADORIAS CONF NF  100705 DE SUPERMERCADO NORDESTAO  LTDA (L.05) </t>
  </si>
  <si>
    <t xml:space="preserve">VENDAS DE MERCADORIAS CONF NF  100823 DE SUPERMERCADO NORDESTAO  LTDA (L.05) </t>
  </si>
  <si>
    <t>VALOR REF. A Clientes - Revenda de  Mercadoria - SUPERMERCADO NORDESTAO  LTDA (L.05) -  DOCUMENTO:</t>
  </si>
  <si>
    <t xml:space="preserve">VENDAS DE MERCADORIAS CONF NF  100940 DE SUPERMERCADO NORDESTAO  LTDA (L.05) </t>
  </si>
  <si>
    <t xml:space="preserve">VENDAS DE MERCADORIAS CONF NF  101046 DE SUPERMERCADO NORDESTAO  LTDA (L.05) </t>
  </si>
  <si>
    <t xml:space="preserve">VENDAS DE MERCADORIAS CONF NF  101152 DE SUPERMERCADO NORDESTAO  LTDA (L.05) </t>
  </si>
  <si>
    <t xml:space="preserve">VENDAS DE MERCADORIAS CONF NF  101262 DE SUPERMERCADO NORDESTAO  LTDA (L.05) </t>
  </si>
  <si>
    <t xml:space="preserve">VENDAS DE MERCADORIAS CONF NF  101379 DE SUPERMERCADO NORDESTAO  LTDA (L.05) </t>
  </si>
  <si>
    <t xml:space="preserve">VENDAS DE MERCADORIAS CONF NF  101495 DE SUPERMERCADO NORDESTAO  LTDA (L.05) </t>
  </si>
  <si>
    <t xml:space="preserve">VENDAS DE MERCADORIAS CONF NF  101602 DE SUPERMERCADO NORDESTAO  LTDA (L.05) </t>
  </si>
  <si>
    <t xml:space="preserve">VENDAS DE MERCADORIAS CONF NF  100250 DE SUPERMERCADO NORDESTAO  LTDA (L.07) </t>
  </si>
  <si>
    <t xml:space="preserve">VENDAS DE MERCADORIAS CONF NF  100251 DE SUPERMERCADO NORDESTAO  LTDA (L.07) </t>
  </si>
  <si>
    <t xml:space="preserve">VENDAS DE MERCADORIAS CONF NF  100355 DE SUPERMERCADO NORDESTAO  LTDA (L.07) </t>
  </si>
  <si>
    <t xml:space="preserve">VENDAS DE MERCADORIAS CONF NF  100360 DE SUPERMERCADO NORDESTAO  LTDA (L.07) </t>
  </si>
  <si>
    <t>VALOR REF. A Clientes - Revenda de  Mercadoria - SUPERMERCADO NORDESTAO  LTDA (L.07) -  DOCUMENTO: 97954</t>
  </si>
  <si>
    <t>VALOR REF. A Clientes - Revenda de  Mercadoria - SUPERMERCADO NORDESTAO  LTDA (L.07) -  DOCUMENTO: 97955</t>
  </si>
  <si>
    <t>VALOR REF. A Clientes - Revenda de  Mercadoria - SUPERMERCADO NORDESTAO  LTDA (L.07) -  DOCUMENTO: 98034</t>
  </si>
  <si>
    <t>VALOR REF. A Clientes - Revenda de  Mercadoria - SUPERMERCADO NORDESTAO  LTDA (L.07) -  DOCUMENTO: 98035</t>
  </si>
  <si>
    <t>VALOR REF. A Clientes - Revenda de  Mercadoria - SUPERMERCADO NORDESTAO  LTDA (L.07) -  DOCUMENTO: 98098</t>
  </si>
  <si>
    <t>VALOR REF. A Clientes - Revenda de  Mercadoria - SUPERMERCADO NORDESTAO  LTDA (L.07) -  DOCUMENTO: 98099</t>
  </si>
  <si>
    <t>VALOR REF. A Clientes - Revenda de  Mercadoria - SUPERMERCADO NORDESTAO  LTDA (L.07) -  DOCUMENTO: 98179</t>
  </si>
  <si>
    <t>VALOR REF. A Clientes - Revenda de  Mercadoria - SUPERMERCADO NORDESTAO  LTDA (L.07) -  DOCUMENTO: 98180</t>
  </si>
  <si>
    <t xml:space="preserve">VENDAS DE MERCADORIAS CONF NF  100471 DE SUPERMERCADO NORDESTAO  LTDA (L.07) </t>
  </si>
  <si>
    <t xml:space="preserve">VENDAS DE MERCADORIAS CONF NF  100476 DE SUPERMERCADO NORDESTAO  LTDA (L.07) </t>
  </si>
  <si>
    <t xml:space="preserve">VENDAS DE MERCADORIAS CONF NF  100585 DE SUPERMERCADO NORDESTAO  LTDA (L.07) </t>
  </si>
  <si>
    <t xml:space="preserve">VENDAS DE MERCADORIAS CONF NF  100586 DE SUPERMERCADO NORDESTAO  LTDA (L.07) </t>
  </si>
  <si>
    <t xml:space="preserve">VENDAS DE MERCADORIAS CONF NF  100706 DE SUPERMERCADO NORDESTAO  LTDA (L.07) </t>
  </si>
  <si>
    <t xml:space="preserve">VENDAS DE MERCADORIAS CONF NF  100707 DE SUPERMERCADO NORDESTAO  LTDA (L.07) </t>
  </si>
  <si>
    <t xml:space="preserve">VENDAS DE MERCADORIAS CONF NF  100821 DE SUPERMERCADO NORDESTAO  LTDA (L.07) </t>
  </si>
  <si>
    <t xml:space="preserve">VENDAS DE MERCADORIAS CONF NF  100822 DE SUPERMERCADO NORDESTAO  LTDA (L.07) </t>
  </si>
  <si>
    <t>VALOR REF. A Clientes - Revenda de  Mercadoria - SUPERMERCADO NORDESTAO  LTDA (L.07) -  DOCUMENTO:</t>
  </si>
  <si>
    <t xml:space="preserve">VENDAS DE MERCADORIAS CONF NF  100941 DE SUPERMERCADO NORDESTAO  LTDA (L.07) </t>
  </si>
  <si>
    <t xml:space="preserve">VENDAS DE MERCADORIAS CONF NF  100942 DE SUPERMERCADO NORDESTAO  LTDA (L.07) </t>
  </si>
  <si>
    <t xml:space="preserve">VENDAS DE MERCADORIAS CONF NF  101047 DE SUPERMERCADO NORDESTAO  LTDA (L.07) </t>
  </si>
  <si>
    <t xml:space="preserve">VENDAS DE MERCADORIAS CONF NF  101048 DE SUPERMERCADO NORDESTAO  LTDA (L.07) </t>
  </si>
  <si>
    <t xml:space="preserve">VENDAS DE MERCADORIAS CONF NF  101153 DE SUPERMERCADO NORDESTAO  LTDA (L.07) </t>
  </si>
  <si>
    <t xml:space="preserve">VENDAS DE MERCADORIAS CONF NF  101154 DE SUPERMERCADO NORDESTAO  LTDA (L.07) </t>
  </si>
  <si>
    <t xml:space="preserve">VENDAS DE MERCADORIAS CONF NF  101263 DE SUPERMERCADO NORDESTAO  LTDA (L.07) </t>
  </si>
  <si>
    <t xml:space="preserve">VENDAS DE MERCADORIAS CONF NF  101264 DE SUPERMERCADO NORDESTAO  LTDA (L.07) </t>
  </si>
  <si>
    <t xml:space="preserve">VENDAS DE MERCADORIAS CONF NF  101380 DE SUPERMERCADO NORDESTAO  LTDA (L.07) </t>
  </si>
  <si>
    <t xml:space="preserve">VENDAS DE MERCADORIAS CONF NF  101381 DE SUPERMERCADO NORDESTAO  LTDA (L.07) </t>
  </si>
  <si>
    <t xml:space="preserve">VENDAS DE MERCADORIAS CONF NF  101496 DE SUPERMERCADO NORDESTAO  LTDA (L.07) </t>
  </si>
  <si>
    <t xml:space="preserve">VENDAS DE MERCADORIAS CONF NF  101497 DE SUPERMERCADO NORDESTAO  LTDA (L.07) </t>
  </si>
  <si>
    <t xml:space="preserve">VENDAS DE MERCADORIAS CONF NF  101594 DE SUPERMERCADO NORDESTAO  LTDA (L.07) </t>
  </si>
  <si>
    <t xml:space="preserve">VENDAS DE MERCADORIAS CONF NF  101595 DE SUPERMERCADO NORDESTAO  LTDA (L.07) </t>
  </si>
  <si>
    <t>VALOR REF. A Clientes - Revenda de  Mercadoria - SUPERMERCADO NORDESTAO  LTDA (L.08) -  DOCUMENTO: 98032</t>
  </si>
  <si>
    <t>VALOR REF. A Clientes - Revenda de  Mercadoria - SUPERMERCADO NORDESTAO  LTDA (L.08) -  DOCUMENTO: 98096</t>
  </si>
  <si>
    <t>VALOR REF. A Clientes - Revenda de  Mercadoria - SUPERMERCADO NORDESTAO  LTDA (L.08) -  DOCUMENTO: 98177</t>
  </si>
  <si>
    <t xml:space="preserve">VENDAS DE MERCADORIAS CONF NF  100708 DE SUPERMERCADO NORDESTAO  LTDA (L.08) </t>
  </si>
  <si>
    <t xml:space="preserve">VENDAS DE MERCADORIAS CONF NF  100820 DE SUPERMERCADO NORDESTAO  LTDA (L.08) </t>
  </si>
  <si>
    <t>VALOR REF. A Clientes - Revenda de  Mercadoria - SUPERMERCADO NORDESTAO  LTDA (L.08) -  DOCUMENTO:</t>
  </si>
  <si>
    <t xml:space="preserve">VENDAS DE MERCADORIAS CONF NF  101049 DE SUPERMERCADO NORDESTAO  LTDA (L.08) </t>
  </si>
  <si>
    <t xml:space="preserve">VENDAS DE MERCADORIAS CONF NF  101156 DE SUPERMERCADO NORDESTAO  LTDA (L.08) </t>
  </si>
  <si>
    <t xml:space="preserve">VENDAS DE MERCADORIAS CONF NF  101265 DE SUPERMERCADO NORDESTAO  LTDA (L.08) </t>
  </si>
  <si>
    <t xml:space="preserve">VENDAS DE MERCADORIAS CONF NF  101382 DE SUPERMERCADO NORDESTAO  LTDA (L.08) </t>
  </si>
  <si>
    <t xml:space="preserve">VENDAS DE MERCADORIAS CONF NF  101600 DE SUPERMERCADO NORDESTAO  LTDA (L.08) </t>
  </si>
  <si>
    <t xml:space="preserve">VENDAS DE MERCADORIAS CONF NF  100252 DE SUPERMERCADO NORDESTAO  LTDA (L.09) </t>
  </si>
  <si>
    <t xml:space="preserve">VENDAS DE MERCADORIAS CONF NF  100253 DE SUPERMERCADO NORDESTAO  LTDA (L.09) </t>
  </si>
  <si>
    <t xml:space="preserve">VENDAS DE MERCADORIAS CONF NF  100357 DE SUPERMERCADO NORDESTAO  LTDA (L.09) </t>
  </si>
  <si>
    <t xml:space="preserve">VENDAS DE MERCADORIAS CONF NF  100359 DE SUPERMERCADO NORDESTAO  LTDA (L.09) </t>
  </si>
  <si>
    <t>VALOR REF. A Clientes - Revenda de  Mercadoria - SUPERMERCADO NORDESTÃO  LTDA (L.09) -  DOCUMENTO: 97949</t>
  </si>
  <si>
    <t>VALOR REF. A Clientes - Revenda de  Mercadoria - SUPERMERCADO NORDESTÃO  LTDA (L.09) -  DOCUMENTO: 97950</t>
  </si>
  <si>
    <t>VALOR REF. A Clientes - Revenda de  Mercadoria - SUPERMERCADO NORDESTÃO  LTDA (L.09) -  DOCUMENTO: 98028</t>
  </si>
  <si>
    <t>VALOR REF. A Clientes - Revenda de  Mercadoria - SUPERMERCADO NORDESTÃO  LTDA (L.09) -  DOCUMENTO: 98029</t>
  </si>
  <si>
    <t>VALOR REF. A Clientes - Revenda de  Mercadoria - SUPERMERCADO NORDESTÃO  LTDA (L.09) -  DOCUMENTO: 98092</t>
  </si>
  <si>
    <t>VALOR REF. A Clientes - Revenda de  Mercadoria - SUPERMERCADO NORDESTÃO  LTDA (L.09) -  DOCUMENTO: 98093</t>
  </si>
  <si>
    <t>VALOR REF. A Clientes - Revenda de  Mercadoria - SUPERMERCADO NORDESTÃO  LTDA (L.09) -  DOCUMENTO: 98173</t>
  </si>
  <si>
    <t>VALOR REF. A Clientes - Revenda de  Mercadoria - SUPERMERCADO NORDESTÃO  LTDA (L.09) -  DOCUMENTO: 98174</t>
  </si>
  <si>
    <t xml:space="preserve">VENDAS DE MERCADORIAS CONF NF  100473 DE SUPERMERCADO NORDESTAO  LTDA (L.09) </t>
  </si>
  <si>
    <t xml:space="preserve">VENDAS DE MERCADORIAS CONF NF  100475 DE SUPERMERCADO NORDESTAO  LTDA (L.09) </t>
  </si>
  <si>
    <t xml:space="preserve">VENDAS DE MERCADORIAS CONF NF  100587 DE SUPERMERCADO NORDESTAO  LTDA (L.09) </t>
  </si>
  <si>
    <t xml:space="preserve">VENDAS DE MERCADORIAS CONF NF  100588 DE SUPERMERCADO NORDESTAO  LTDA (L.09) </t>
  </si>
  <si>
    <t xml:space="preserve">VENDAS DE MERCADORIAS CONF NF  100709 DE SUPERMERCADO NORDESTAO  LTDA (L.09) </t>
  </si>
  <si>
    <t xml:space="preserve">VENDAS DE MERCADORIAS CONF NF  100710 DE SUPERMERCADO NORDESTAO  LTDA (L.09) </t>
  </si>
  <si>
    <t xml:space="preserve">VENDAS DE MERCADORIAS CONF NF  100818 DE SUPERMERCADO NORDESTAO  LTDA (L.09) </t>
  </si>
  <si>
    <t xml:space="preserve">VENDAS DE MERCADORIAS CONF NF  100819 DE SUPERMERCADO NORDESTAO  LTDA (L.09) </t>
  </si>
  <si>
    <t>VALOR REF. A Clientes - Revenda de  Mercadoria - SUPERMERCADO NORDESTÃO  LTDA (L.09) -  DOCUMENTO:</t>
  </si>
  <si>
    <t xml:space="preserve">VENDAS DE MERCADORIAS CONF NF  100943 DE SUPERMERCADO NORDESTAO  LTDA (L.09) </t>
  </si>
  <si>
    <t xml:space="preserve">VENDAS DE MERCADORIAS CONF NF  100944 DE SUPERMERCADO NORDESTAO  LTDA (L.09) </t>
  </si>
  <si>
    <t xml:space="preserve">VENDAS DE MERCADORIAS CONF NF  101050 DE SUPERMERCADO NORDESTAO  LTDA (L.09) </t>
  </si>
  <si>
    <t xml:space="preserve">VENDAS DE MERCADORIAS CONF NF  101051 DE SUPERMERCADO NORDESTAO  LTDA (L.09) </t>
  </si>
  <si>
    <t xml:space="preserve">VENDAS DE MERCADORIAS CONF NF  101155 DE SUPERMERCADO NORDESTAO  LTDA (L.09) </t>
  </si>
  <si>
    <t xml:space="preserve">VENDAS DE MERCADORIAS CONF NF  101266 DE SUPERMERCADO NORDESTAO  LTDA (L.09) </t>
  </si>
  <si>
    <t xml:space="preserve">VENDAS DE MERCADORIAS CONF NF  101268 DE SUPERMERCADO NORDESTAO  LTDA (L.09) </t>
  </si>
  <si>
    <t xml:space="preserve">VENDAS DE MERCADORIAS CONF NF  101383 DE SUPERMERCADO NORDESTAO  LTDA (L.09) </t>
  </si>
  <si>
    <t xml:space="preserve">VENDAS DE MERCADORIAS CONF NF  101384 DE SUPERMERCADO NORDESTAO  LTDA (L.09) </t>
  </si>
  <si>
    <t xml:space="preserve">VENDAS DE MERCADORIAS CONF NF  101498 DE SUPERMERCADO NORDESTAO  LTDA (L.09) </t>
  </si>
  <si>
    <t xml:space="preserve">VENDAS DE MERCADORIAS CONF NF  101499 DE SUPERMERCADO NORDESTAO  LTDA (L.09) </t>
  </si>
  <si>
    <t xml:space="preserve">VENDAS DE MERCADORIAS CONF NF  101597 DE SUPERMERCADO NORDESTAO  LTDA (L.09) </t>
  </si>
  <si>
    <t xml:space="preserve">VENDAS DE MERCADORIAS CONF NF  101601 DE SUPERMERCADO NORDESTAO  LTDA (L.09) </t>
  </si>
  <si>
    <t xml:space="preserve">VENDAS DE MERCADORIAS CONF NF 100205 DE WAL MART BRASIL LTDA </t>
  </si>
  <si>
    <t xml:space="preserve">VENDAS DE MERCADORIAS CONF NF 100275 DE WAL MART BRASIL LTDA </t>
  </si>
  <si>
    <t xml:space="preserve">VENDAS DE MERCADORIAS CONF NF 100312 DE WAL MART BRASIL LTDA </t>
  </si>
  <si>
    <t xml:space="preserve">VENDAS DE MERCADORIAS CONF NF 100380 DE WAL MART BRASIL LTDA </t>
  </si>
  <si>
    <t xml:space="preserve">VENDAS DE MERCADORIAS CONF NF 100430 DE WAL MART BRASIL LTDA </t>
  </si>
  <si>
    <t xml:space="preserve">VENDAS DE MERCADORIAS CONF NF 100431 DE WAL MART BRASIL LTDA </t>
  </si>
  <si>
    <t xml:space="preserve">VENDAS DE MERCADORIAS CONF NF 100488 DE WAL MART BRASIL LTDA </t>
  </si>
  <si>
    <t xml:space="preserve">VENDAS DE MERCADORIAS CONF NF 100540 DE WAL MART BRASIL LTDA </t>
  </si>
  <si>
    <t xml:space="preserve">VENDAS DE MERCADORIAS CONF NF 100603 DE WAL MART BRASIL LTDA </t>
  </si>
  <si>
    <t xml:space="preserve">VENDAS DE MERCADORIAS CONF NF 100645 DE WAL MART BRASIL LTDA </t>
  </si>
  <si>
    <t>VALOR REF. A Clientes - Revenda de  Mercadoria - WAL MART BRASIL LTDA -   DOCUMENTO:</t>
  </si>
  <si>
    <t xml:space="preserve">VENDAS DE MERCADORIAS CONF NF 100724 DE WAL MART BRASIL LTDA </t>
  </si>
  <si>
    <t xml:space="preserve">VENDAS DE MERCADORIAS CONF NF 100765 DE WAL MART BRASIL LTDA </t>
  </si>
  <si>
    <t xml:space="preserve">VENDAS DE MERCADORIAS CONF NF 100781 DE WAL MART BRASIL LTDA </t>
  </si>
  <si>
    <t xml:space="preserve">VENDAS DE MERCADORIAS CONF NF 100782 DE WAL MART BRASIL LTDA </t>
  </si>
  <si>
    <t xml:space="preserve">VENDAS DE MERCADORIAS CONF NF 100839 DE WAL MART BRASIL LTDA </t>
  </si>
  <si>
    <t xml:space="preserve">VENDAS DE MERCADORIAS CONF NF 100840 DE WAL MART BRASIL LTDA </t>
  </si>
  <si>
    <t xml:space="preserve">VENDAS DE MERCADORIAS CONF NF 100893 DE WAL MART BRASIL LTDA </t>
  </si>
  <si>
    <t xml:space="preserve">VENDAS DE MERCADORIAS CONF NF 100956 DE WAL MART BRASIL LTDA </t>
  </si>
  <si>
    <t xml:space="preserve">VENDAS DE MERCADORIAS CONF NF 100977 DE WAL MART BRASIL LTDA </t>
  </si>
  <si>
    <t xml:space="preserve">VENDAS DE MERCADORIAS CONF NF 101008 DE WAL MART BRASIL LTDA </t>
  </si>
  <si>
    <t xml:space="preserve">VENDAS DE MERCADORIAS CONF NF 101122 DE WAL MART BRASIL LTDA </t>
  </si>
  <si>
    <t xml:space="preserve">VENDAS DE MERCADORIAS CONF NF 101123 DE WAL MART BRASIL LTDA </t>
  </si>
  <si>
    <t xml:space="preserve">VENDAS DE MERCADORIAS CONF NF 101169 DE WAL MART BRASIL LTDA </t>
  </si>
  <si>
    <t xml:space="preserve">VENDAS DE MERCADORIAS CONF NF 101220 DE WAL MART BRASIL LTDA </t>
  </si>
  <si>
    <t xml:space="preserve">VENDAS DE MERCADORIAS CONF NF 101280 DE WAL MART BRASIL LTDA </t>
  </si>
  <si>
    <t xml:space="preserve">VENDAS DE MERCADORIAS CONF NF 101314 DE WAL MART BRASIL LTDA </t>
  </si>
  <si>
    <t xml:space="preserve">VENDAS DE MERCADORIAS CONF NF 101343 DE WAL MART BRASIL LTDA </t>
  </si>
  <si>
    <t xml:space="preserve">VENDAS DE MERCADORIAS CONF NF 101397 DE WAL MART BRASIL LTDA </t>
  </si>
  <si>
    <t xml:space="preserve">VENDAS DE MERCADORIAS CONF NF 101399 DE WAL MART BRASIL LTDA </t>
  </si>
  <si>
    <t xml:space="preserve">VENDAS DE MERCADORIAS CONF NF 101455 DE WAL MART BRASIL LTDA </t>
  </si>
  <si>
    <t xml:space="preserve">VENDAS DE MERCADORIAS CONF NF 101513 DE WAL MART BRASIL LTDA </t>
  </si>
  <si>
    <t xml:space="preserve">VENDAS DE MERCADORIAS CONF NF 101550 DE WAL MART BRASIL LTDA </t>
  </si>
  <si>
    <t xml:space="preserve">VENDAS DE MERCADORIAS CONF NF 101620 DE WAL MART BRASIL LTDA </t>
  </si>
  <si>
    <t xml:space="preserve">VENDAS DE MERCADORIAS CONF NF 101621 DE WAL MART BRASIL LTDA </t>
  </si>
  <si>
    <t xml:space="preserve">VENDAS DE MERCADORIAS CONF NF  100270 DE J R DE AGUIAR HORTIFRUTI  LTDA( FRUT. TORRE) </t>
  </si>
  <si>
    <t xml:space="preserve">VENDAS DE MERCADORIAS CONF NF  100364 DE J R DE AGUIAR HORTIFRUTI  LTDA( FRUT. TORRE) </t>
  </si>
  <si>
    <t xml:space="preserve">VENDAS DE MERCADORIAS CONF NF  100480 DE J R DE AGUIAR HORTIFRUTI  LTDA( FRUT. TORRE) </t>
  </si>
  <si>
    <t xml:space="preserve">VENDAS DE MERCADORIAS CONF NF  100593 DE J R DE AGUIAR HORTIFRUTI  LTDA( FRUT. TORRE) </t>
  </si>
  <si>
    <t xml:space="preserve">VENDAS DE MERCADORIAS CONF NF  100700 DE J R DE AGUIAR HORTIFRUTI  LTDA( FRUT. TORRE) </t>
  </si>
  <si>
    <t xml:space="preserve">VENDAS DE MERCADORIAS CONF NF  100837 DE J R DE AGUIAR HORTIFRUTI  LTDA( FRUT. TORRE) </t>
  </si>
  <si>
    <t xml:space="preserve">VENDAS DE MERCADORIAS CONF NF  100948 DE J R DE AGUIAR HORTIFRUTI  LTDA( FRUT. TORRE) </t>
  </si>
  <si>
    <t xml:space="preserve">VENDAS DE MERCADORIAS CONF NF  101058 DE J R DE AGUIAR HORTIFRUTI  LTDA( FRUT. TORRE) </t>
  </si>
  <si>
    <t xml:space="preserve">VENDAS DE MERCADORIAS CONF NF  101160 DE J R DE AGUIAR HORTIFRUTI  LTDA( FRUT. TORRE) </t>
  </si>
  <si>
    <t xml:space="preserve">VENDAS DE MERCADORIAS CONF NF  101276 DE J R DE AGUIAR HORTIFRUTI  LTDA( FRUT. TORRE) </t>
  </si>
  <si>
    <t xml:space="preserve">VENDAS DE MERCADORIAS CONF NF  101392 DE J R DE AGUIAR HORTIFRUTI  LTDA( FRUT. TORRE) </t>
  </si>
  <si>
    <t xml:space="preserve">VENDAS DE MERCADORIAS CONF NF  101505 DE J R DE AGUIAR HORTIFRUTI  LTDA( FRUT. TORRE) </t>
  </si>
  <si>
    <t xml:space="preserve">VENDAS DE MERCADORIAS CONF NF  101611 DE J R DE AGUIAR HORTIFRUTI  LTDA( FRUT. TORRE) </t>
  </si>
  <si>
    <t xml:space="preserve">VENDAS DE MERCADORIAS CONF NF 100400 DE NIPPON INDUSTRIA E COMERCIO DE ALIMENTOS LTDA </t>
  </si>
  <si>
    <t xml:space="preserve">VENDAS DE MERCADORIAS CONF NF 100730 DE NIPPON INDUSTRIA E COMERCIO DE ALIMENTOS LTDA </t>
  </si>
  <si>
    <t xml:space="preserve">VENDAS DE MERCADORIAS CONF NF 101079 DE NIPPON INDUSTRIA E COMERCIO DE ALIMENTOS LTDA </t>
  </si>
  <si>
    <t xml:space="preserve">VENDAS DE MERCADORIAS CONF NF 100198 DE NOVO ATACADO COMERCIO DE ALIMENTOS LTDA (TIMBAUBA) </t>
  </si>
  <si>
    <t xml:space="preserve">VENDAS DE MERCADORIAS CONF NF 100199 DE NOVO ATACADO COMERCIO DE ALIMENTOS LTDA (GOIANA) </t>
  </si>
  <si>
    <t xml:space="preserve">DEVOLUÇÃO DE MERCADORIAS CONF NF 357 DE MOUSTACHE BEAMS LTDA </t>
  </si>
  <si>
    <t xml:space="preserve">DEVOLUÇÃO DE MERCADORIAS CONF NF  229 DE IF-BR COMERCIO DE ALIMENTOS E  BEBIDAS LTDA </t>
  </si>
  <si>
    <t xml:space="preserve">VENDAS DE MERCADORIAS CONF NF 100313 DE NOVO ATACADO COMERCIO DE ALIMENTOS LTDA (TIMBAUBA) </t>
  </si>
  <si>
    <t xml:space="preserve">VENDAS DE MERCADORIAS CONF NF 100314 DE NOVO ATACADO COMERCIO DE ALIMENTOS LTDA (GOIANA) </t>
  </si>
  <si>
    <t xml:space="preserve">DEVOLUÇÃO DE MERCADORIAS CONF NF 31 DE MOUSTACHE BEAMS LTDA </t>
  </si>
  <si>
    <t xml:space="preserve">DEVOLUÇÃO DE MERCADORIAS CONF NF 360 DE MOUSTACHE BEAMS LTDA </t>
  </si>
  <si>
    <t>VALOR REF. A Clientes - Revenda de  Mercadoria - NOVO ATACAREJO LJ07 -   DOCUMENTO:</t>
  </si>
  <si>
    <t>VALOR REF. A Clientes - Revenda de  Mercadoria - NOVO ATACAREJO LJ 20 -   DOCUMENTO: 97327</t>
  </si>
  <si>
    <t>VALOR REF. A Clientes - Revenda de  Mercadoria - NOVO ATACAREJO LJ 20 -   DOCUMENTO: 97412</t>
  </si>
  <si>
    <t>VALOR REF. A Clientes - Revenda de  Mercadoria - NOVO ATACAREJO LJ 20 -   DOCUMENTO: 97440</t>
  </si>
  <si>
    <t>VALOR REF. A Clientes - Revenda de  Mercadoria - NOVO ATACAREJO LJ 20 -   DOCUMENTO: 97492</t>
  </si>
  <si>
    <t>VALOR REF. A Clientes - Revenda de  Mercadoria - NOVO ATACAREJO LJ 20 -   DOCUMENTO: 97535</t>
  </si>
  <si>
    <t xml:space="preserve">VENDAS DE MERCADORIAS CONF NF 100422 DE NOVO ATACADO COMERCIO DE ALIMENTOS LTDA (TIMBAUBA) </t>
  </si>
  <si>
    <t xml:space="preserve">VENDAS DE MERCADORIAS CONF NF 100423 DE NOVO ATACADO COMERCIO DE ALIMENTOS LTDA (GOIANA) </t>
  </si>
  <si>
    <t xml:space="preserve">DEVOLUÇÃO DE MERCADORIAS CONF NF 371 DE MOUSTACHE BEAMS LTDA </t>
  </si>
  <si>
    <t xml:space="preserve">DEVOLUÇÃO DE MERCADORIAS CONF NF 376 DE MOUSTACHE BEAMS LTDA </t>
  </si>
  <si>
    <t xml:space="preserve">VENDAS DE MERCADORIAS CONF NF 100486 DE NOVO ATACADO COMERCIO DE ALIMENTOS LTDA (TIMBAUBA) </t>
  </si>
  <si>
    <t xml:space="preserve">VENDAS DE MERCADORIAS CONF NF 100487 DE NOVO ATACADO COMERCIO DE ALIMENTOS LTDA (GOIANA) </t>
  </si>
  <si>
    <t xml:space="preserve">DEVOLUÇÃO DE MERCADORIAS CONF NF  231 DE IF-BR COMERCIO DE ALIMENTOS E  BEBIDAS LTDA </t>
  </si>
  <si>
    <t xml:space="preserve">VENDAS DE MERCADORIAS CONF NF 100535 DE NOVO ATACADO COMERCIO DE ALIMENTOS LTDA (TIMBAUBA) </t>
  </si>
  <si>
    <t xml:space="preserve">VENDAS DE MERCADORIAS CONF NF 100536 DE NOVO ATACADO COMERCIO DE ALIMENTOS LTDA (GOIANA) </t>
  </si>
  <si>
    <t xml:space="preserve">DEVOLUÇÃO DE MERCADORIAS CONF NF  232 DE IF-BR COMERCIO DE ALIMENTOS E  BEBIDAS LTDA </t>
  </si>
  <si>
    <t xml:space="preserve">VENDAS DE MERCADORIAS CONF NF 100651 DE NOVO ATACADO COMERCIO DE ALIMENTOS LTDA (TIMBAUBA) </t>
  </si>
  <si>
    <t xml:space="preserve">VENDAS DE MERCADORIAS CONF NF 100652 DE NOVO ATACADO COMERCIO DE ALIMENTOS LTDA (GOIANA) </t>
  </si>
  <si>
    <t xml:space="preserve">DEVOLUÇÃO DE MERCADORIAS CONF NF 388 DE MOUSTACHE BEAMS LTDA </t>
  </si>
  <si>
    <t xml:space="preserve">DEVOLUÇÃO DE MERCADORIAS CONF NF 389 DE MOUSTACHE BEAMS LTDA </t>
  </si>
  <si>
    <t xml:space="preserve">DEVOLUÇÃO DE MERCADORIAS CONF NF 394 DE MOUSTACHE BEAMS LTDA </t>
  </si>
  <si>
    <t>VALOR REF. A Clientes - Revenda de  Mercadoria - NOVO ATACAREJO LJ 20 -   DOCUMENTO: 97593</t>
  </si>
  <si>
    <t>VALOR REF. A Clientes - Revenda de  Mercadoria - NOVO ATACAREJO LJ 20 -   DOCUMENTO: 97647</t>
  </si>
  <si>
    <t>VALOR REF. A Clientes - Revenda de  Mercadoria - NOVO ATACAREJO LJ 20 -   DOCUMENTO: 97681</t>
  </si>
  <si>
    <t>VALOR REF. A Clientes - Revenda de  Mercadoria - NOVO ATACAREJO LJ 20 -   DOCUMENTO: 97721</t>
  </si>
  <si>
    <t>VALOR REF. A Clientes - Revenda de  Mercadoria - NOVO ATACAREJO LJ 20 -   DOCUMENTO: 97723</t>
  </si>
  <si>
    <t>VALOR REF. A Clientes - Revenda de  Mercadoria - NOVO ATACAREJO LJ 20 -   DOCUMENTO: 97784</t>
  </si>
  <si>
    <t xml:space="preserve">DEVOLUÇÃO DE MERCADORIAS CONF NF 18 DE DS RECIFE NORTE </t>
  </si>
  <si>
    <t xml:space="preserve">DEVOLUÇÃO DE MERCADORIAS CONF NF 49 DE MOUSTACHE BEAMS LTDA </t>
  </si>
  <si>
    <t xml:space="preserve">DEVOLUÇÃO DE MERCADORIAS CONF NF 397 DE MOUSTACHE BEAMS LTDA </t>
  </si>
  <si>
    <t xml:space="preserve">VENDAS DE MERCADORIAS CONF NF 100773 DE NOVO ATACADO COMERCIO DE ALIMENTOS LTDA (TIMBAUBA) </t>
  </si>
  <si>
    <t xml:space="preserve">VENDAS DE MERCADORIAS CONF NF 100774 DE NOVO ATACADO COMERCIO DE ALIMENTOS LTDA (GOIANA) </t>
  </si>
  <si>
    <t xml:space="preserve">VENDAS DE MERCADORIAS CONF NF 100885 DE NOVO ATACADO COMERCIO DE ALIMENTOS LTDA (TIMBAUBA) </t>
  </si>
  <si>
    <t xml:space="preserve">VENDAS DE MERCADORIAS CONF NF 100886 DE NOVO ATACADO COMERCIO DE ALIMENTOS LTDA (GOIANA) </t>
  </si>
  <si>
    <t xml:space="preserve">DEVOLUÇÃO DE MERCADORIAS CONF NF 408 DE MOUSTACHE BEAMS LTDA </t>
  </si>
  <si>
    <t xml:space="preserve">DEVOLUÇÃO DE MERCADORIAS CONF NF 19 DE DS RECIFE NORTE </t>
  </si>
  <si>
    <t xml:space="preserve">VENDAS DE MERCADORIAS CONF NF 101000 DE NOVO ATACADO COMERCIO DE ALIMENTOS LTDA (TIMBAUBA) </t>
  </si>
  <si>
    <t xml:space="preserve">VENDAS DE MERCADORIAS CONF NF 101001 DE NOVO ATACADO COMERCIO DE ALIMENTOS LTDA (GOIANA) </t>
  </si>
  <si>
    <t>VALOR REF. A Clientes - Revenda de  Mercadoria - NOVO ATACAREJO LJ 20 -   DOCUMENTO: 97825</t>
  </si>
  <si>
    <t>VALOR REF. A Clientes - Revenda de  Mercadoria - NOVO ATACAREJO LJ 20 -   DOCUMENTO: 97871</t>
  </si>
  <si>
    <t>VALOR REF. A Clientes - Revenda de  Mercadoria - NOVO ATACAREJO LJ 20 -   DOCUMENTO: 97956</t>
  </si>
  <si>
    <t>VALOR REF. A Clientes - Revenda de  Mercadoria - NOVO ATACAREJO LJ 20 -   DOCUMENTO: 97989</t>
  </si>
  <si>
    <t>VALOR REF. A Clientes - Revenda de  Mercadoria - NOVO ATACAREJO LJ 20 -   DOCUMENTO: 98043</t>
  </si>
  <si>
    <t xml:space="preserve">DEVOLUÇÃO DE MERCADORIAS CONF NF 416 DE MOUSTACHE BEAMS LTDA </t>
  </si>
  <si>
    <t xml:space="preserve">DEVOLUÇÃO DE MERCADORIAS CONF NF 417 DE MOUSTACHE BEAMS LTDA </t>
  </si>
  <si>
    <t xml:space="preserve">VENDAS DE MERCADORIAS CONF NF 101109 DE NOVO ATACADO COMERCIO DE ALIMENTOS LTDA (TIMBAUBA) </t>
  </si>
  <si>
    <t xml:space="preserve">VENDAS DE MERCADORIAS CONF NF 101110 DE NOVO ATACADO COMERCIO DE ALIMENTOS LTDA (GOIANA) </t>
  </si>
  <si>
    <t xml:space="preserve">DEVOLUÇÃO DE MERCADORIAS CONF NF 51 DE MOUSTACHE BEAMS LTDA </t>
  </si>
  <si>
    <t xml:space="preserve">DEVOLUÇÃO DE MERCADORIAS CONF NF 427 DE MOUSTACHE BEAMS LTDA </t>
  </si>
  <si>
    <t xml:space="preserve">VENDAS DE MERCADORIAS CONF NF 101161 DE NOVO ATACADO COMERCIO DE ALIMENTOS LTDA (TIMBAUBA) </t>
  </si>
  <si>
    <t xml:space="preserve">VENDAS DE MERCADORIAS CONF NF 101162 DE NOVO ATACADO COMERCIO DE ALIMENTOS LTDA (GOIANA) </t>
  </si>
  <si>
    <t xml:space="preserve">VENDAS DE MERCADORIAS CONF NF 101213 DE NOVO ATACADO COMERCIO DE ALIMENTOS LTDA (TIMBAUBA) </t>
  </si>
  <si>
    <t xml:space="preserve">VENDAS DE MERCADORIAS CONF NF 101214 DE NOVO ATACADO COMERCIO DE ALIMENTOS LTDA (GOIANA) </t>
  </si>
  <si>
    <t xml:space="preserve">DEVOLUÇÃO DE MERCADORIAS CONF NF 101267 DE COD COMERCIO DE ALIMENTOS E BEBIDAS LTDA DOC </t>
  </si>
  <si>
    <t xml:space="preserve">DEVOLUÇÃO DE MERCADORIAS CONF NF 41 DE MOUSTACHE BEAMS LTDA </t>
  </si>
  <si>
    <t xml:space="preserve">DEVOLUÇÃO DE MERCADORIAS CONF NF 428 DE MOUSTACHE BEAMS LTDA </t>
  </si>
  <si>
    <t xml:space="preserve">DEVOLUÇÃO DE MERCADORIAS CONF NF 433 DE MOUSTACHE BEAMS LTDA </t>
  </si>
  <si>
    <t xml:space="preserve">DEVOLUÇÃO DE MERCADORIAS CONF NF  1754 DE BOMPRECO SUPERMERCADO DO  NORDESTE LTDA (B-17) </t>
  </si>
  <si>
    <t xml:space="preserve">DEVOLUÇÃO DE MERCADORIAS CONF NF 21 DE DS RECIFE NORTE </t>
  </si>
  <si>
    <t xml:space="preserve">DEVOLUÇÃO DE MERCADORIAS CONF NF 22 DE DS RECIFE NORTE </t>
  </si>
  <si>
    <t xml:space="preserve">DEVOLUÇÃO DE MERCADORIAS CONF NF 23 DE DS RECIFE NORTE </t>
  </si>
  <si>
    <t xml:space="preserve">DEVOLUÇÃO DE MERCADORIAS CONF NF 42 DE MOUSTACHE BEAMS LTDA </t>
  </si>
  <si>
    <t xml:space="preserve">DEVOLUÇÃO DE MERCADORIAS CONF NF 13682 DE UNI COMPRA SUPERMERCADOS LTDA </t>
  </si>
  <si>
    <t xml:space="preserve">VENDAS DE MERCADORIAS CONF NF 101328 DE NOVO ATACADO COMERCIO DE ALIMENTOS LTDA (TIMBAUBA) </t>
  </si>
  <si>
    <t xml:space="preserve">VENDAS DE MERCADORIAS CONF NF 101329 DE NOVO ATACADO COMERCIO DE ALIMENTOS LTDA (GOIANA) </t>
  </si>
  <si>
    <t>VALOR REF. A Clientes - Revenda de  Mercadoria - NOVO ATACAREJO LJ 20 -   DOCUMENTO: 98063</t>
  </si>
  <si>
    <t>VALOR REF. A Clientes - Revenda de  Mercadoria - NOVO ATACAREJO LJ 20 -   DOCUMENTO: 98112</t>
  </si>
  <si>
    <t>VALOR REF. A Clientes - Revenda de  Mercadoria - NOVO ATACAREJO LJ 20 -   DOCUMENTO: 98141</t>
  </si>
  <si>
    <t>VALOR REF. A Clientes - Revenda de  Mercadoria - NOVO ATACAREJO LJ 20 -   DOCUMENTO: 98195</t>
  </si>
  <si>
    <t>VALOR REF. A Clientes - Revenda de  Mercadoria - NOVO ATACAREJO LJ 20 -   DOCUMENTO:</t>
  </si>
  <si>
    <t xml:space="preserve">DEVOLUÇÃO DE MERCADORIAS CONF NF 55 DE MOUSTACHE BEAMS LTDA </t>
  </si>
  <si>
    <t xml:space="preserve">DEVOLUÇÃO DE MERCADORIAS CONF NF 44 DE MOUSTACHE BEAMS LTDA </t>
  </si>
  <si>
    <t xml:space="preserve">VENDAS DE MERCADORIAS CONF NF 101439 DE NOVO ATACADO COMERCIO DE ALIMENTOS LTDA (TIMBAUBA) </t>
  </si>
  <si>
    <t xml:space="preserve">VENDAS DE MERCADORIAS CONF NF 101440 DE NOVO ATACADO COMERCIO DE ALIMENTOS LTDA (GOIANA) </t>
  </si>
  <si>
    <t xml:space="preserve">DEVOLUÇÃO DE MERCADORIAS CONF NF 24 DE DS RECIFE NORTE </t>
  </si>
  <si>
    <t xml:space="preserve">DEVOLUÇÃO DE MERCADORIAS CONF NF 446 DE MOUSTACHE BEAMS LTDA </t>
  </si>
  <si>
    <t xml:space="preserve">DEVOLUÇÃO DE MERCADORIAS CONF NF 447 DE MOUSTACHE BEAMS LTDA </t>
  </si>
  <si>
    <t xml:space="preserve">DEVOLUÇÃO DE MERCADORIAS CONF NF 448 DE MOUSTACHE BEAMS LTDA </t>
  </si>
  <si>
    <t xml:space="preserve">DEVOLUÇÃO DE MERCADORIAS CONF NF 449 DE MOUSTACHE BEAMS LTDA </t>
  </si>
  <si>
    <t xml:space="preserve">VENDAS DE MERCADORIAS CONF NF 101548 DE NOVO ATACADO COMERCIO DE ALIMENTOS LTDA (TIMBAUBA) </t>
  </si>
  <si>
    <t xml:space="preserve">VENDAS DE MERCADORIAS CONF NF 101549 DE NOVO ATACADO COMERCIO DE ALIMENTOS LTDA (GOIANA) </t>
  </si>
  <si>
    <t xml:space="preserve">VENDAS DE MERCADORIAS CONF NF 101663 DE NOVO ATACADO COMERCIO DE ALIMENTOS LTDA (TIMBAUBA) </t>
  </si>
  <si>
    <t xml:space="preserve">VENDAS DE MERCADORIAS CONF NF 101664 DE NOVO ATACADO COMERCIO DE ALIMENTOS LTDA (GOIANA) </t>
  </si>
  <si>
    <t xml:space="preserve">DEVOLUÇÃO DE MERCADORIAS CONF NF 56 DE MOUSTACHE BEAMS LTDA </t>
  </si>
  <si>
    <t xml:space="preserve">DEVOLUÇÃO DE MERCADORIAS CONF NF 47 DE MOUSTACHE BEAMS LTDA </t>
  </si>
  <si>
    <t xml:space="preserve">DEVOLUÇÃO DE MERCADORIAS CONF NF 48 DE MOUSTACHE BEAMS LTDA </t>
  </si>
  <si>
    <t xml:space="preserve">DEVOLUÇÃO DE MERCADORIAS CONF NF 466 DE MOUSTACHE BEAMS LTDA </t>
  </si>
  <si>
    <t xml:space="preserve">VENDAS DE MERCADORIAS CONF NF 100268 DE UNICOMPRA SUPERMERCADOS LTDA </t>
  </si>
  <si>
    <t xml:space="preserve">VENDAS DE MERCADORIAS CONF NF 100365 DE UNICOMPRA SUPERMERCADOS LTDA </t>
  </si>
  <si>
    <t xml:space="preserve">VENDAS DE MERCADORIAS CONF NF 100468 DE UNICOMPRA SUPERMERCADOS LTDA </t>
  </si>
  <si>
    <t xml:space="preserve">VENDAS DE MERCADORIAS CONF NF 100577 DE UNICOMPRA SUPERMERCADOS LTDA </t>
  </si>
  <si>
    <t xml:space="preserve">VENDAS DE MERCADORIAS CONF NF 100694 DE UNICOMPRA SUPERMERCADOS LTDA </t>
  </si>
  <si>
    <t xml:space="preserve">VENDAS DE MERCADORIAS CONF NF 100815 DE UNICOMPRA SUPERMERCADOS LTDA </t>
  </si>
  <si>
    <t xml:space="preserve">VENDAS DE MERCADORIAS CONF NF 100816 DE UNICOMPRA SUPERMERCADOS LTDA </t>
  </si>
  <si>
    <t xml:space="preserve">VENDAS DE MERCADORIAS CONF NF 100935 DE UNICOMPRA SUPERMERCADOS LTDA </t>
  </si>
  <si>
    <t xml:space="preserve">VENDAS DE MERCADORIAS CONF NF 101038 DE UNICOMPRA SUPERMERCADOS LTDA </t>
  </si>
  <si>
    <t xml:space="preserve">VENDAS DE MERCADORIAS CONF NF 101157 DE UNICOMPRA SUPERMERCADOS LTDA </t>
  </si>
  <si>
    <t xml:space="preserve">VENDAS DE MERCADORIAS CONF NF 101258 DE UNICOMPRA SUPERMERCADOS LTDA </t>
  </si>
  <si>
    <t xml:space="preserve">VENDAS DE MERCADORIAS CONF NF 101385 DE UNICOMPRA SUPERMERCADOS LTDA </t>
  </si>
  <si>
    <t xml:space="preserve">VENDAS DE MERCADORIAS CONF NF 101501 DE UNICOMPRA SUPERMERCADOS LTDA </t>
  </si>
  <si>
    <t xml:space="preserve">VENDAS DE MERCADORIAS CONF NF 100206 DE DS AFLITOS </t>
  </si>
  <si>
    <t xml:space="preserve">VENDAS DE MERCADORIAS CONF NF 100271 DE DS AFLITOS </t>
  </si>
  <si>
    <t xml:space="preserve">VENDAS DE MERCADORIAS CONF NF 100281 DE DS AFLITOS </t>
  </si>
  <si>
    <t xml:space="preserve">VENDAS DE MERCADORIAS CONF NF 100393 DE DS AFLITOS </t>
  </si>
  <si>
    <t xml:space="preserve">VENDAS DE MERCADORIAS CONF NF 100397 DE DS AFLITOS </t>
  </si>
  <si>
    <t xml:space="preserve">VENDAS DE MERCADORIAS CONF NF 100494 DE DS AFLITOS </t>
  </si>
  <si>
    <t xml:space="preserve">VENDAS DE MERCADORIAS CONF NF 100547 DE DS AFLITOS </t>
  </si>
  <si>
    <t xml:space="preserve">VENDAS DE MERCADORIAS CONF NF 100616 DE DS AFLITOS </t>
  </si>
  <si>
    <t xml:space="preserve">VENDAS DE MERCADORIAS CONF NF 100627 DE DS AFLITOS </t>
  </si>
  <si>
    <t xml:space="preserve">VENDAS DE MERCADORIAS CONF NF 100718 DE DS AFLITOS </t>
  </si>
  <si>
    <t xml:space="preserve">VENDAS DE MERCADORIAS CONF NF 100745 DE DS AFLITOS </t>
  </si>
  <si>
    <t xml:space="preserve">VENDAS DE MERCADORIAS CONF NF 100847 DE DS AFLITOS </t>
  </si>
  <si>
    <t xml:space="preserve">VENDAS DE MERCADORIAS CONF NF 100906 DE DS AFLITOS </t>
  </si>
  <si>
    <t xml:space="preserve">VENDAS DE MERCADORIAS CONF NF 100969 DE DS AFLITOS </t>
  </si>
  <si>
    <t xml:space="preserve">VENDAS DE MERCADORIAS CONF NF 100972 DE DS AFLITOS </t>
  </si>
  <si>
    <t xml:space="preserve">VENDAS DE MERCADORIAS CONF NF 101069 DE DS AFLITOS </t>
  </si>
  <si>
    <t xml:space="preserve">VENDAS DE MERCADORIAS CONF NF 101076 DE DS AFLITOS </t>
  </si>
  <si>
    <t xml:space="preserve">VENDAS DE MERCADORIAS CONF NF 101088 DE DS AFLITOS </t>
  </si>
  <si>
    <t xml:space="preserve">VENDAS DE MERCADORIAS CONF NF 101175 DE DS AFLITOS </t>
  </si>
  <si>
    <t xml:space="preserve">VENDAS DE MERCADORIAS CONF NF 101221 DE DS AFLITOS </t>
  </si>
  <si>
    <t xml:space="preserve">VENDAS DE MERCADORIAS CONF NF 101282 DE DS AFLITOS </t>
  </si>
  <si>
    <t xml:space="preserve">VENDAS DE MERCADORIAS CONF NF 101289 DE DS AFLITOS </t>
  </si>
  <si>
    <t xml:space="preserve">VENDAS DE MERCADORIAS CONF NF 101407 DE DS AFLITOS </t>
  </si>
  <si>
    <t xml:space="preserve">VENDAS DE MERCADORIAS CONF NF 101411 DE DS AFLITOS </t>
  </si>
  <si>
    <t xml:space="preserve">VENDAS DE MERCADORIAS CONF NF 101514 DE DS AFLITOS </t>
  </si>
  <si>
    <t xml:space="preserve">VENDAS DE MERCADORIAS CONF NF 101556 DE DS AFLITOS </t>
  </si>
  <si>
    <t xml:space="preserve">VENDAS DE MERCADORIAS CONF NF 101624 DE DS AFLITOS </t>
  </si>
  <si>
    <t xml:space="preserve">VENDAS DE MERCADORIAS CONF NF 101637 DE DS AFLITOS </t>
  </si>
  <si>
    <t xml:space="preserve">VENDAS DE MERCADORIAS CONF NF 100207 DE DS CASA AMARELA </t>
  </si>
  <si>
    <t xml:space="preserve">VENDAS DE MERCADORIAS CONF NF 100279 DE DS CASA AMARELA </t>
  </si>
  <si>
    <t xml:space="preserve">VENDAS DE MERCADORIAS CONF NF 100394 DE DS CASA AMARELA </t>
  </si>
  <si>
    <t xml:space="preserve">VENDAS DE MERCADORIAS CONF NF 100398 DE DS CASA AMARELA </t>
  </si>
  <si>
    <t xml:space="preserve">VENDAS DE MERCADORIAS CONF NF 100495 DE DS CASA AMARELA </t>
  </si>
  <si>
    <t xml:space="preserve">VENDAS DE MERCADORIAS CONF NF 100548 DE DS CASA AMARELA </t>
  </si>
  <si>
    <t xml:space="preserve">VENDAS DE MERCADORIAS CONF NF 100613 DE DS CASA AMARELA </t>
  </si>
  <si>
    <t xml:space="preserve">VENDAS DE MERCADORIAS CONF NF 100626 DE DS CASA AMARELA </t>
  </si>
  <si>
    <t xml:space="preserve">VENDAS DE MERCADORIAS CONF NF 100715 DE DS CASA AMARELA </t>
  </si>
  <si>
    <t xml:space="preserve">VENDAS DE MERCADORIAS CONF NF 100747 DE DS CASA AMARELA </t>
  </si>
  <si>
    <t xml:space="preserve">VENDAS DE MERCADORIAS CONF NF 100846 DE DS CASA AMARELA </t>
  </si>
  <si>
    <t xml:space="preserve">VENDAS DE MERCADORIAS CONF NF 100907 DE DS CASA AMARELA </t>
  </si>
  <si>
    <t xml:space="preserve">VENDAS DE MERCADORIAS CONF NF 100967 DE DS CASA AMARELA </t>
  </si>
  <si>
    <t xml:space="preserve">VENDAS DE MERCADORIAS CONF NF 100974 DE DS CASA AMARELA </t>
  </si>
  <si>
    <t xml:space="preserve">VENDAS DE MERCADORIAS CONF NF 101070 DE DS CASA AMARELA </t>
  </si>
  <si>
    <t xml:space="preserve">VENDAS DE MERCADORIAS CONF NF 101077 DE DS CASA AMARELA </t>
  </si>
  <si>
    <t xml:space="preserve">VENDAS DE MERCADORIAS CONF NF 101173 DE DS CASA AMARELA </t>
  </si>
  <si>
    <t xml:space="preserve">VENDAS DE MERCADORIAS CONF NF 101219 DE DS CASA AMARELA </t>
  </si>
  <si>
    <t xml:space="preserve">VENDAS DE MERCADORIAS CONF NF 101283 DE DS CASA AMARELA </t>
  </si>
  <si>
    <t xml:space="preserve">VENDAS DE MERCADORIAS CONF NF 101404 DE DS CASA AMARELA </t>
  </si>
  <si>
    <t xml:space="preserve">VENDAS DE MERCADORIAS CONF NF 101408 DE DS CASA AMARELA </t>
  </si>
  <si>
    <t xml:space="preserve">VENDAS DE MERCADORIAS CONF NF 101508 DE DS CASA AMARELA </t>
  </si>
  <si>
    <t xml:space="preserve">VENDAS DE MERCADORIAS CONF NF 101555 DE DS CASA AMARELA </t>
  </si>
  <si>
    <t xml:space="preserve">VENDAS DE MERCADORIAS CONF NF 101625 DE DS CASA AMARELA </t>
  </si>
  <si>
    <t xml:space="preserve">VENDAS DE MERCADORIAS CONF NF 101638 DE DS CASA AMARELA </t>
  </si>
  <si>
    <t xml:space="preserve">VENDAS DE MERCADORIAS CONF NF 100209 DE DS PIEDADE </t>
  </si>
  <si>
    <t xml:space="preserve">VENDAS DE MERCADORIAS CONF NF 100287 DE DS PIEDADE </t>
  </si>
  <si>
    <t xml:space="preserve">VENDAS DE MERCADORIAS CONF NF 100389 DE DS PIEDADE </t>
  </si>
  <si>
    <t xml:space="preserve">VENDAS DE MERCADORIAS CONF NF 100390 DE DS PIEDADE </t>
  </si>
  <si>
    <t xml:space="preserve">VENDAS DE MERCADORIAS CONF NF 100490 DE DS PIEDADE </t>
  </si>
  <si>
    <t xml:space="preserve">VENDAS DE MERCADORIAS CONF NF 100550 DE DS PIEDADE </t>
  </si>
  <si>
    <t xml:space="preserve">VENDAS DE MERCADORIAS CONF NF 100605 DE DS PIEDADE </t>
  </si>
  <si>
    <t xml:space="preserve">VENDAS DE MERCADORIAS CONF NF 100612 DE DS PIEDADE </t>
  </si>
  <si>
    <t xml:space="preserve">VENDAS DE MERCADORIAS CONF NF 100719 DE DS PIEDADE </t>
  </si>
  <si>
    <t xml:space="preserve">VENDAS DE MERCADORIAS CONF NF 100729 DE DS PIEDADE </t>
  </si>
  <si>
    <t xml:space="preserve">VENDAS DE MERCADORIAS CONF NF 100843 DE DS PIEDADE </t>
  </si>
  <si>
    <t xml:space="preserve">VENDAS DE MERCADORIAS CONF NF 100897 DE DS PIEDADE </t>
  </si>
  <si>
    <t xml:space="preserve">VENDAS DE MERCADORIAS CONF NF 100970 DE DS PIEDADE </t>
  </si>
  <si>
    <t xml:space="preserve">VENDAS DE MERCADORIAS CONF NF 101073 DE DS PIEDADE </t>
  </si>
  <si>
    <t xml:space="preserve">VENDAS DE MERCADORIAS CONF NF 101075 DE DS PIEDADE </t>
  </si>
  <si>
    <t xml:space="preserve">VENDAS DE MERCADORIAS CONF NF 101176 DE DS PIEDADE </t>
  </si>
  <si>
    <t xml:space="preserve">VENDAS DE MERCADORIAS CONF NF 101223 DE DS PIEDADE </t>
  </si>
  <si>
    <t xml:space="preserve">VENDAS DE MERCADORIAS CONF NF 101284 DE DS PIEDADE </t>
  </si>
  <si>
    <t xml:space="preserve">VENDAS DE MERCADORIAS CONF NF 101292 DE DS PIEDADE </t>
  </si>
  <si>
    <t xml:space="preserve">VENDAS DE MERCADORIAS CONF NF 101405 DE DS PIEDADE </t>
  </si>
  <si>
    <t xml:space="preserve">VENDAS DE MERCADORIAS CONF NF 101409 DE DS PIEDADE </t>
  </si>
  <si>
    <t xml:space="preserve">VENDAS DE MERCADORIAS CONF NF 101510 DE DS PIEDADE </t>
  </si>
  <si>
    <t xml:space="preserve">VENDAS DE MERCADORIAS CONF NF 101559 DE DS PIEDADE </t>
  </si>
  <si>
    <t xml:space="preserve">VENDAS DE MERCADORIAS CONF NF 101622 DE DS PIEDADE </t>
  </si>
  <si>
    <t xml:space="preserve">VENDAS DE MERCADORIAS CONF NF 101639 DE DS PIEDADE </t>
  </si>
  <si>
    <t xml:space="preserve">VENDAS DE MERCADORIAS CONF NF 100208 DE DS RECIFE NORTE </t>
  </si>
  <si>
    <t xml:space="preserve">VENDAS DE MERCADORIAS CONF NF 100272 DE DS RECIFE NORTE </t>
  </si>
  <si>
    <t xml:space="preserve">VENDAS DE MERCADORIAS CONF NF 100280 DE DS RECIFE NORTE </t>
  </si>
  <si>
    <t xml:space="preserve">VENDAS DE MERCADORIAS CONF NF 100395 DE DS RECIFE NORTE </t>
  </si>
  <si>
    <t xml:space="preserve">VENDAS DE MERCADORIAS CONF NF 100399 DE DS RECIFE NORTE </t>
  </si>
  <si>
    <t xml:space="preserve">VENDAS DE MERCADORIAS CONF NF 100496 DE DS RECIFE NORTE </t>
  </si>
  <si>
    <t xml:space="preserve">VENDAS DE MERCADORIAS CONF NF 100549 DE DS RECIFE NORTE </t>
  </si>
  <si>
    <t xml:space="preserve">VENDAS DE MERCADORIAS CONF NF 100615 DE DS RECIFE NORTE </t>
  </si>
  <si>
    <t xml:space="preserve">VENDAS DE MERCADORIAS CONF NF 100625 DE DS RECIFE NORTE </t>
  </si>
  <si>
    <t xml:space="preserve">VENDAS DE MERCADORIAS CONF NF 100717 DE DS RECIFE NORTE </t>
  </si>
  <si>
    <t xml:space="preserve">VENDAS DE MERCADORIAS CONF NF 100746 DE DS RECIFE NORTE </t>
  </si>
  <si>
    <t xml:space="preserve">VENDAS DE MERCADORIAS CONF NF 100845 DE DS RECIFE NORTE </t>
  </si>
  <si>
    <t xml:space="preserve">VENDAS DE MERCADORIAS CONF NF 100905 DE DS RECIFE NORTE </t>
  </si>
  <si>
    <t xml:space="preserve">VENDAS DE MERCADORIAS CONF NF 100968 DE DS RECIFE NORTE </t>
  </si>
  <si>
    <t xml:space="preserve">VENDAS DE MERCADORIAS CONF NF 100973 DE DS RECIFE NORTE </t>
  </si>
  <si>
    <t xml:space="preserve">VENDAS DE MERCADORIAS CONF NF 101072 DE DS RECIFE NORTE </t>
  </si>
  <si>
    <t xml:space="preserve">VENDAS DE MERCADORIAS CONF NF 101078 DE DS RECIFE NORTE </t>
  </si>
  <si>
    <t xml:space="preserve">VENDAS DE MERCADORIAS CONF NF 101174 DE DS RECIFE NORTE </t>
  </si>
  <si>
    <t xml:space="preserve">VENDAS DE MERCADORIAS CONF NF 101222 DE DS RECIFE NORTE </t>
  </si>
  <si>
    <t xml:space="preserve">VENDAS DE MERCADORIAS CONF NF 101281 DE DS RECIFE NORTE </t>
  </si>
  <si>
    <t xml:space="preserve">VENDAS DE MERCADORIAS CONF NF 101290 DE DS RECIFE NORTE </t>
  </si>
  <si>
    <t xml:space="preserve">VENDAS DE MERCADORIAS CONF NF 101403 DE DS RECIFE NORTE </t>
  </si>
  <si>
    <t xml:space="preserve">VENDAS DE MERCADORIAS CONF NF 101406 DE DS RECIFE NORTE </t>
  </si>
  <si>
    <t xml:space="preserve">VENDAS DE MERCADORIAS CONF NF 101509 DE DS RECIFE NORTE </t>
  </si>
  <si>
    <t xml:space="preserve">VENDAS DE MERCADORIAS CONF NF 101557 DE DS RECIFE NORTE </t>
  </si>
  <si>
    <t xml:space="preserve">VENDAS DE MERCADORIAS CONF NF 101626 DE DS RECIFE NORTE </t>
  </si>
  <si>
    <t xml:space="preserve">VENDAS DE MERCADORIAS CONF NF 100210 DE MOUSTACHE BEAMS LTDA DS RECIFE SUL </t>
  </si>
  <si>
    <t xml:space="preserve">VENDAS DE MERCADORIAS CONF NF 100273 DE MOUSTACHE BEAMS LTDA DS RECIFE SUL </t>
  </si>
  <si>
    <t xml:space="preserve">VENDAS DE MERCADORIAS CONF NF 100288 DE MOUSTACHE BEAMS LTDA DS RECIFE SUL </t>
  </si>
  <si>
    <t xml:space="preserve">VENDAS DE MERCADORIAS CONF NF 100303 DE MOUSTACHE BEAMS LTDA DS RECIFE SUL </t>
  </si>
  <si>
    <t xml:space="preserve">VENDAS DE MERCADORIAS CONF NF 100333 DE MOUSTACHE BEAMS LTDA DS RECIFE SUL </t>
  </si>
  <si>
    <t xml:space="preserve">VENDAS DE MERCADORIAS CONF NF 100387 DE MOUSTACHE BEAMS LTDA DS RECIFE SUL </t>
  </si>
  <si>
    <t xml:space="preserve">VENDAS DE MERCADORIAS CONF NF 100388 DE MOUSTACHE BEAMS LTDA DS RECIFE SUL </t>
  </si>
  <si>
    <t xml:space="preserve">VENDAS DE MERCADORIAS CONF NF 100491 DE MOUSTACHE BEAMS LTDA DS RECIFE SUL </t>
  </si>
  <si>
    <t xml:space="preserve">VENDAS DE MERCADORIAS CONF NF 100551 DE MOUSTACHE BEAMS LTDA DS RECIFE SUL </t>
  </si>
  <si>
    <t xml:space="preserve">VENDAS DE MERCADORIAS CONF NF 100606 DE MOUSTACHE BEAMS LTDA DS RECIFE SUL </t>
  </si>
  <si>
    <t xml:space="preserve">VENDAS DE MERCADORIAS CONF NF 100614 DE MOUSTACHE BEAMS LTDA DS RECIFE SUL </t>
  </si>
  <si>
    <t xml:space="preserve">VENDAS DE MERCADORIAS CONF NF 100716 DE MOUSTACHE BEAMS LTDA DS RECIFE SUL </t>
  </si>
  <si>
    <t xml:space="preserve">VENDAS DE MERCADORIAS CONF NF 100731 DE MOUSTACHE BEAMS LTDA DS RECIFE SUL </t>
  </si>
  <si>
    <t xml:space="preserve">VENDAS DE MERCADORIAS CONF NF 100842 DE MOUSTACHE BEAMS LTDA DS RECIFE SUL </t>
  </si>
  <si>
    <t xml:space="preserve">VENDAS DE MERCADORIAS CONF NF 100898 DE MOUSTACHE BEAMS LTDA DS RECIFE SUL </t>
  </si>
  <si>
    <t xml:space="preserve">VENDAS DE MERCADORIAS CONF NF 100966 DE MOUSTACHE BEAMS LTDA DS RECIFE SUL </t>
  </si>
  <si>
    <t xml:space="preserve">VENDAS DE MERCADORIAS CONF NF 100971 DE MOUSTACHE BEAMS LTDA DS RECIFE SUL </t>
  </si>
  <si>
    <t xml:space="preserve">VENDAS DE MERCADORIAS CONF NF 101071 DE MOUSTACHE BEAMS LTDA DS RECIFE SUL </t>
  </si>
  <si>
    <t xml:space="preserve">VENDAS DE MERCADORIAS CONF NF 101074 DE MOUSTACHE BEAMS LTDA DS RECIFE SUL </t>
  </si>
  <si>
    <t xml:space="preserve">VENDAS DE MERCADORIAS CONF NF 101087 DE MOUSTACHE BEAMS LTDA DS RECIFE SUL </t>
  </si>
  <si>
    <t xml:space="preserve">VENDAS DE MERCADORIAS CONF NF 101177 DE MOUSTACHE BEAMS LTDA DS RECIFE SUL </t>
  </si>
  <si>
    <t xml:space="preserve">VENDAS DE MERCADORIAS CONF NF 101225 DE MOUSTACHE BEAMS LTDA DS RECIFE SUL </t>
  </si>
  <si>
    <t xml:space="preserve">VENDAS DE MERCADORIAS CONF NF 101285 DE MOUSTACHE BEAMS LTDA DS RECIFE SUL </t>
  </si>
  <si>
    <t xml:space="preserve">VENDAS DE MERCADORIAS CONF NF 101291 DE MOUSTACHE BEAMS LTDA DS RECIFE SUL </t>
  </si>
  <si>
    <t xml:space="preserve">VENDAS DE MERCADORIAS CONF NF 101402 DE MOUSTACHE BEAMS LTDA DS RECIFE SUL </t>
  </si>
  <si>
    <t xml:space="preserve">VENDAS DE MERCADORIAS CONF NF 101410 DE MOUSTACHE BEAMS LTDA DS RECIFE SUL </t>
  </si>
  <si>
    <t xml:space="preserve">VENDAS DE MERCADORIAS CONF NF 101511 DE MOUSTACHE BEAMS LTDA DS RECIFE SUL </t>
  </si>
  <si>
    <t xml:space="preserve">VENDAS DE MERCADORIAS CONF NF 101562 DE MOUSTACHE BEAMS LTDA DS RECIFE SUL </t>
  </si>
  <si>
    <t xml:space="preserve">VENDAS DE MERCADORIAS CONF NF 101629 DE MOUSTACHE BEAMS LTDA DS RECIFE SUL </t>
  </si>
  <si>
    <t xml:space="preserve">VENDAS DE MERCADORIAS CONF NF 101640 DE MOUSTACHE BEAMS LTDA DS RECIFE SUL </t>
  </si>
  <si>
    <t xml:space="preserve">VENDAS DE MERCADORIAS CONF NF 100269 DE J ROBERTO COMERCIO DE HORTIFRUTIGRANJEIROS LTDA (ROSARINHO) </t>
  </si>
  <si>
    <t xml:space="preserve">VENDAS DE MERCADORIAS CONF NF 100363 DE J ROBERTO COMERCIO DE HORTIFRUTIGRANJEIROS LTDA (ROSARINHO) </t>
  </si>
  <si>
    <t xml:space="preserve">VENDAS DE MERCADORIAS CONF NF 100479 DE J ROBERTO COMERCIO DE HORTIFRUTIGRANJEIROS LTDA (ROSARINHO) </t>
  </si>
  <si>
    <t xml:space="preserve">VENDAS DE MERCADORIAS CONF NF 100592 DE J ROBERTO COMERCIO DE HORTIFRUTIGRANJEIROS LTDA (ROSARINHO) </t>
  </si>
  <si>
    <t xml:space="preserve">VENDAS DE MERCADORIAS CONF NF 100699 DE J ROBERTO COMERCIO DE HORTIFRUTIGRANJEIROS LTDA (ROSARINHO) </t>
  </si>
  <si>
    <t xml:space="preserve">VENDAS DE MERCADORIAS CONF NF 100836 DE J ROBERTO COMERCIO DE HORTIFRUTIGRANJEIROS LTDA (ROSARINHO) </t>
  </si>
  <si>
    <t xml:space="preserve">VENDAS DE MERCADORIAS CONF NF 100947 DE J ROBERTO COMERCIO DE HORTIFRUTIGRANJEIROS LTDA (ROSARINHO) </t>
  </si>
  <si>
    <t xml:space="preserve">VENDAS DE MERCADORIAS CONF NF 101057 DE J ROBERTO COMERCIO DE HORTIFRUTIGRANJEIROS LTDA (ROSARINHO) </t>
  </si>
  <si>
    <t xml:space="preserve">VENDAS DE MERCADORIAS CONF NF 101159 DE J ROBERTO COMERCIO DE HORTIFRUTIGRANJEIROS LTDA (ROSARINHO) </t>
  </si>
  <si>
    <t xml:space="preserve">VENDAS DE MERCADORIAS CONF NF 101275 DE J ROBERTO COMERCIO DE HORTIFRUTIGRANJEIROS LTDA (ROSARINHO) </t>
  </si>
  <si>
    <t xml:space="preserve">VENDAS DE MERCADORIAS CONF NF 101391 DE J ROBERTO COMERCIO DE HORTIFRUTIGRANJEIROS LTDA (ROSARINHO) </t>
  </si>
  <si>
    <t xml:space="preserve">VENDAS DE MERCADORIAS CONF NF 101504 DE J ROBERTO COMERCIO DE HORTIFRUTIGRANJEIROS LTDA (ROSARINHO) </t>
  </si>
  <si>
    <t xml:space="preserve">VENDAS DE MERCADORIAS CONF NF 101612 DE J ROBERTO COMERCIO DE HORTIFRUTIGRANJEIROS LTDA (ROSARINHO) </t>
  </si>
  <si>
    <t xml:space="preserve">VENDAS DE MERCADORIAS CONF NF  100213 DE (IF ESPINHEIRO) IF-BR  COMERCIO DE ALIMENTOS E BEBIDAS  LTDA </t>
  </si>
  <si>
    <t xml:space="preserve">VENDAS DE MERCADORIAS CONF NF  100323 DE (IF ESPINHEIRO) IF-BR  COMERCIO DE ALIMENTOS E BEBIDAS  LTDA </t>
  </si>
  <si>
    <t xml:space="preserve">VENDAS DE MERCADORIAS CONF NF  100324 DE (IF ESPINHEIRO) IF-BR  COMERCIO DE ALIMENTOS E BEBIDAS  LTDA </t>
  </si>
  <si>
    <t xml:space="preserve">VENDAS DE MERCADORIAS CONF NF  100435 DE (IF ESPINHEIRO) IF-BR  COMERCIO DE ALIMENTOS E BEBIDAS  LTDA </t>
  </si>
  <si>
    <t xml:space="preserve">VENDAS DE MERCADORIAS CONF NF  100552 DE (IF ESPINHEIRO) IF-BR  COMERCIO DE ALIMENTOS E BEBIDAS  LTDA </t>
  </si>
  <si>
    <t xml:space="preserve">VENDAS DE MERCADORIAS CONF NF 101587 DE ROBERTO CAVALCANTI DE ANDRADE LIMA SELECT FRUTAS </t>
  </si>
  <si>
    <t xml:space="preserve">VENDAS DE MERCADORIAS CONF NF 101163 DE COD COMERCIO DE ALIMENTOS E BEBIDAS LTDA (DOC) </t>
  </si>
  <si>
    <t xml:space="preserve">VENDAS DE MERCADORIAS CONF NF 101270 DE COD COMERCIO DE ALIMENTOS E BEBIDAS LTDA (DOC) </t>
  </si>
  <si>
    <t xml:space="preserve">VENDAS DE MERCADORIAS CONF NF 101388 DE COD COMERCIO DE ALIMENTOS E BEBIDAS LTDA (DOC) </t>
  </si>
  <si>
    <t xml:space="preserve">VENDAS DE MERCADORIAS CONF NF 101500 DE COD COMERCIO DE ALIMENTOS E BEBIDAS LTDA (DOC) </t>
  </si>
  <si>
    <t xml:space="preserve">VENDAS DE MERCADORIAS CONF NF 101588 DE COD COMERCIO DE ALIMENTOS E BEBIDAS LTDA (DOC) </t>
  </si>
  <si>
    <t>VALOR REF. A Desconto Comercial / Financeiro  sobre a venda - BOMPRECO   SUPERMERCADOS DO NORDESTE LTDA  (B- 009) -  DOCUMENTO: DF B-009 10.01.23</t>
  </si>
  <si>
    <t>VALOR REF. A Desconto Comercial / Financeiro  sobre a venda - BOMPREÇO  SUPERMERCADO DO NORDESTE LTDA (B- 17) -  DOCUMENTO: DF B-017 10.01.23</t>
  </si>
  <si>
    <t>VALOR REF. A Desconto Comercial / Financeiro  sobre a venda - BOMPRECO  SUPERMERCADOS DO NORDESTE LTDA  (B- 006) -  DOCUMENTO: DF B-006 10.01.23</t>
  </si>
  <si>
    <t>VALOR REF. A Desconto Comercial / Financeiro  sobre a venda - BOMPREÇO  SUPERMERCADOS DO NORDESTE LTDA  (B- 310) -  DOCUMENTO: DF B-310 10.01.23</t>
  </si>
  <si>
    <t>VALOR REF. A Desconto Comercial / Financeiro  sobre a venda - BOMPREÇO  SUPERMERCADOS DO NORDESTE LTDA   CD MURIBECA -  DOCUMENTO: DF CD BIG  10.01.23</t>
  </si>
  <si>
    <t>VALOR REF. A Desconto Comercial / Financeiro  sobre a venda - BOMPRECO  SUPERMERCADOS DO NORDESTE LTDA (B- 032) -  DOCUMENTO: DF B-032 10.01.23</t>
  </si>
  <si>
    <t>VALOR REF. A Desconto Comercial / Financeiro  sobre a venda - BOMPRECO  SUPERMERCADOS DO NORDESTE LTDA (B- 035) -  DOCUMENTO: DF B-035 10.01.23</t>
  </si>
  <si>
    <t>VALOR REF. A Desconto Comercial / Financeiro  sobre a venda - BOMPRECO  SUPERMERCADOS DO NORDESTE LTDA (B- 05) -  DOCUMENTO: DF B-05 10.01.23</t>
  </si>
  <si>
    <t>VALOR REF. A Desconto Comercial / Financeiro  sobre a venda - BOMPRECO  SUPERMERCADOS DO NORDESTE LTDA (B- 31) -  DOCUMENTO: DF B-31 10.01.23</t>
  </si>
  <si>
    <t>VALOR REF. A Desconto Comercial / Financeiro  sobre a venda - BOMPRECO  SUPERMERCADOS DO NORDESTE LTDA (B- 352) -  DOCUMENTO: DF B-352 10.01.23</t>
  </si>
  <si>
    <t>VALOR REF. A Desconto Comercial / Financeiro  sobre a venda - BOMPRECO  SUPERMERCADOS DO NORDESTE LTDA (B- 41) -  DOCUMENTO: DF B-41 10.01.23</t>
  </si>
  <si>
    <t>VALOR REF. A Desconto Comercial / Financeiro  sobre a venda - BOMPRECO  SUPERMERCADOS DO NORDESTE LTDA(B- 01) -  DOCUMENTO: DF B-01 10.01.23</t>
  </si>
  <si>
    <t>VALOR REF. A Desconto Comercial / Financeiro  sobre a venda - BOMPRECO  SUPERMERCADOS DO NORDESTE LTDA(- B337) -  DOCUMENTO: DF B-337 10.01.23</t>
  </si>
  <si>
    <t>VALOR REF. A Desconto Comercial / Financeiro  sobre a venda - BOMPRECO  SUPERMERCADOS DO NORDESTE  LTDA(B96) -  DOCUMENTO: DF B-96 10.01.23</t>
  </si>
  <si>
    <t>VALOR REF. A Desconto Comercial / Financeiro  sobre a venda - BOMPRECO  SUPERMERCADOS DO NORDESTE LTDA (B- 341) -  DOCUMENTO: DF B-341 10.01.23</t>
  </si>
  <si>
    <t>VALOR REF. A Desconto Comercial / Financeiro  sobre a venda - CARREFOUR COMERCIO E  INDUSTRIA LTDA ( TORRE) -   DOCUMENTO: DF CAR 10.01.23</t>
  </si>
  <si>
    <t>VALOR REF. A Desconto Comercial / Financeiro  sobre a venda - CARREFOUR COMERCIO E  INDUSTRIA LTDA ( BOA VIAGEM ) -   DOCUMENTO: DF CAR BV 10.01.23</t>
  </si>
  <si>
    <t>VALOR REF. A Desconto Comercial / Financeiro  sobre a venda - CARREFOUR COMERCIO E  INDUSTRIA LTDA ( BOA VIAGEM ) -   DOCUMENTO: DF CAR.BV.ANT 01.23</t>
  </si>
  <si>
    <t>VALOR REF. A Desconto Comercial / Financeiro  sobre a venda - CARREFOUR COMERCIO E  INDUSTRIA LTDA ( TORRE) -   DOCUMENTO: DF CAR.TO.ANT 01.23</t>
  </si>
  <si>
    <t>VALOR REF. A Desconto Comercial / Financeiro  sobre a venda - CARREFOUR COMERCIO E  INDUSTRIA LTDA ( TORRE) -   DOCUMENTO: DF Car To 30.01.23</t>
  </si>
  <si>
    <t>VALOR REF. A Desconto Comercial / Financeiro  sobre a venda - CARREFOUR COMERCIO E  INDUSTRIA LTDA ( BOA VIAGEM ) -   DOCUMENTO: DF Car BV 30.01.23</t>
  </si>
  <si>
    <t>VALOR REF. A Desconto Comercial / Financeiro  sobre a venda - COMPANHIA BRASILEIRA  DE DISTRIBUICAO CD - PE -   DOCUMENTO: AC 6905739 GPA</t>
  </si>
  <si>
    <t>VALOR REF. A Desconto Comercial / Financeiro  sobre a venda - COMPANHIA BRASILEIRA  DE DISTRIBUICAO CD - PE -   DOCUMENTO: Desc.Quebra 10.01.23</t>
  </si>
  <si>
    <t>VALOR REF. A Desconto Comercial / Financeiro  sobre a venda - SUPERMERCADO  NORDESTAO LTDA (L.03) -  DOCUMENTO:  DF Nord L3 16.01.23</t>
  </si>
  <si>
    <t>VALOR REF. A Desconto Comercial / Financeiro  sobre a venda - SUPERMERCADO  NORDESTAO LTDA (L.04) -  DOCUMENTO:  DF Nord L4 16.01.23</t>
  </si>
  <si>
    <t>VALOR REF. A Desconto Comercial / Financeiro  sobre a venda - SUPERMERCADO  NORDESTAO LTDA (L.05) -  DOCUMENTO:  DF Nord L5 16.01.23</t>
  </si>
  <si>
    <t>VALOR REF. A Desconto Comercial / Financeiro  sobre a venda - SUPERMERCADO  NORDESTAO LTDA (L.07) -  DOCUMENTO:  DF Nord L7 16.01.23</t>
  </si>
  <si>
    <t>VALOR REF. A Desconto Comercial / Financeiro  sobre a venda - SUPERMERCADO  NORDESTAO LTDA (L.08) -  DOCUMENTO:  DF Nord L8 16.01.23</t>
  </si>
  <si>
    <t>VALOR REF. A Desconto Comercial / Financeiro  sobre a venda - SUPERMERCADO  NORDESTÃO LTDA (L.09) -  DOCUMENTO:  DF Nord L9 16.01.23</t>
  </si>
  <si>
    <t>VALOR REF. A Restituição de Desconto  Comercial / Financeiro sobre as Devoluções -  SUPERMERCADO NORDESTAO LTDA (L.03) -   DOCUMENTO: Reem.Nord 16.01.23</t>
  </si>
  <si>
    <t>VALOR REF. A Restituição de Desconto  Comercial / Financeiro sobre as Devoluções -  SUPERMERCADO NORDESTAO LTDA (L.05) -   DOCUMENTO: Reem.L5Nord 16.01.23</t>
  </si>
  <si>
    <t>VALOR REF. A Restituição de Desconto  Comercial / Financeiro sobre as Devoluções -  SUPERMERCADO NORDESTAO LTDA (L.04) -   DOCUMENTO: Reem.L4Nord 16.01.23</t>
  </si>
  <si>
    <t>VALOR REF. A Restituição de Desconto  Comercial / Financeiro sobre as Devoluções -  SUPERMERCADO NORDESTAO LTDA (L.07) -   DOCUMENTO: Reem.L7Nord 16.01.23</t>
  </si>
  <si>
    <t>VALOR REF. A Restituição de Desconto  Comercial / Financeiro sobre as Devoluções -  SUPERMERCADO NORDESTÃO LTDA (L.09) -   DOCUMENTO: Reem.L9Nord 16.01.23</t>
  </si>
  <si>
    <t>VALOR REF. A Desconto Comercial / Financeiro  sobre a venda - SUPERMERCADO  NORDESTAO LTDA (L.07) -  DOCUMENTO:  DF L7 25.01.23</t>
  </si>
  <si>
    <t>VALOR REF. A Desconto Comercial / Financeiro  sobre a venda - SUPERMERCADO  NORDESTÃO LTDA (L.09) -  DOCUMENTO:  DF L9 25.01.23</t>
  </si>
  <si>
    <t>VALOR REF. A Desconto Comercial / Financeiro  sobre a venda - SUPERMERCADO  NORDESTAO LTDA (L.03) -  DOCUMENTO:  DF L3 25.01.23</t>
  </si>
  <si>
    <t>VALOR REF. A Desconto Comercial / Financeiro  sobre a venda - SUPERMERCADO  NORDESTAO LTDA (L.04) -  DOCUMENTO:  DF L4 25.01.23</t>
  </si>
  <si>
    <t>VALOR REF. A Desconto Comercial / Financeiro  sobre a venda - SUPERMERCADO  NORDESTAO LTDA (L.05) -  DOCUMENTO:  DF L5 25.01.23</t>
  </si>
  <si>
    <t>VALOR REF. A Restituição de Desconto  Comercial / Financeiro sobre as Devoluções -  SUPERMERCADO NORDESTAO LTDA (L.03) -   DOCUMENTO: DF Dev L3 25.01.23</t>
  </si>
  <si>
    <t>VALOR REF. A Restituição de Desconto  Comercial / Financeiro sobre as Devoluções -  SUPERMERCADO NORDESTAO LTDA (L.04) -   DOCUMENTO: DF Dev L4 25.01.23</t>
  </si>
  <si>
    <t>VALOR REF. A Restituição de Desconto  Comercial / Financeiro sobre as Devoluções -  SUPERMERCADO NORDESTAO LTDA (L.05) -   DOCUMENTO: DF Dev L5 25.01.23</t>
  </si>
  <si>
    <t>VALOR REF. A Restituição de Desconto  Comercial / Financeiro sobre as Devoluções -  SUPERMERCADO NORDESTAO LTDA (L.07) -   DOCUMENTO: DF Dev L7 25.01.23</t>
  </si>
  <si>
    <t>VALOR REF. A Restituição de Desconto  Comercial / Financeiro sobre as Devoluções -  SUPERMERCADO NORDESTÃO LTDA (L.09) -   DOCUMENTO: DF Dev L9 25.01.23</t>
  </si>
  <si>
    <t>VALOR REF. A Desconto Comercial / Financeiro  sobre a venda - SUPERMERCADO  NORDESTÃO LTDA (L.09) -  DOCUMENTO:  DF LJ 09 27.02.23</t>
  </si>
  <si>
    <t>VALOR REF. A Desconto Comercial / Financeiro  sobre a venda - WAL MART BRASIL LTDA -   DOCUMENTO: DF Sam´s 10.01.23</t>
  </si>
  <si>
    <t>VALOR REF. A Restituição de Desconto  Comercial / Financeiro sobre as Devoluções -  WAL MART BRASIL LTDA -  DOCUMENTO:  Ree.DevSams 10.01.23</t>
  </si>
  <si>
    <t>VALOR REF. A Desconto Comercial / Financeiro  sobre a venda - WAL MART BRASIL LTDA -   DOCUMENTO: DF Sam´s 30.01.23</t>
  </si>
  <si>
    <t>VALOR REF. A Desconto Comercial / Financeiro  sobre a venda - HIPER TODO DIA  GARANHUNS -  DOCUMENTO: DF HT GA 10. 01.23</t>
  </si>
  <si>
    <t>VALOR REF. A Desconto Comercial / Financeiro  sobre a venda - HIPER TODO DIA PAULISTA  -  DOCUMENTO: DF HT PA 10.01.23</t>
  </si>
  <si>
    <t>VALOR REF. A Desconto Comercial / Financeiro  sobre a venda - HIPER TODO DIA SÃO  LOURENÇO DA MATA -  DOCUMENTO: DF  HT SL 10.01.23</t>
  </si>
  <si>
    <t>VALOR REF. A Desconto Comercial / Financeiro  sobre a venda - HIPER TODO DIA VITORIA  SANTO ANTÃO -  DOCUMENTO: DF HT  VIT 10.01.23</t>
  </si>
  <si>
    <t>VALOR REF. A Desconto Comercial / Financeiro  sobre a venda - NOVO ATACAREJO LJ07 -   DOCUMENTO: DF_AC Ataca 04.01.23</t>
  </si>
  <si>
    <t>VALOR REF. A Desconto Comercial / Financeiro  sobre a venda - NOVO ATACAREJO LJ 20 -   DOCUMENTO: AC Ataca 04.01.23</t>
  </si>
  <si>
    <t>VALOR REF. A Restituição de Desconto  Comercial / Financeiro sobre as Devoluções -  NOVO ATACAREJO LJ07 -  DOCUMENTO: R. Dev.Ataca 04.01.23</t>
  </si>
  <si>
    <t>VALOR REF. A Desconto Comercial / Financeiro  sobre a venda - NOVO ATACAREJO LJ07 -   DOCUMENTO: DF.Novo 11.01.23</t>
  </si>
  <si>
    <t>VALOR REF. A Restituição de Desconto  Comercial / Financeiro sobre as Devoluções -  NOVO ATACAREJO LJ07 -  DOCUMENTO:  Reem.Novo 11.01.23</t>
  </si>
  <si>
    <t>VALOR REF. A Desconto Comercial / Financeiro  sobre a venda - NOVO ATACAREJO LJ07 -   DOCUMENTO: DF Novo 18.01.23</t>
  </si>
  <si>
    <t>VALOR REF. A Restituição de Desconto  Comercial / Financeiro sobre as Devoluções -  NOVO ATACAREJO LJ07 -  DOCUMENTO:  Re.Dev Novo 18.01.23</t>
  </si>
  <si>
    <t>VALOR REF. A Desconto Comercial / Financeiro  sobre a venda - NOVO ATACAREJO LJ07 -   DOCUMENTO: DF Novo 25.01.23</t>
  </si>
  <si>
    <t>VALOR REF. A Desconto Comercial / Financeiro  sobre a venda - NOVO ATACAREJO LJ 20 -   DOCUMENTO: DF Novo 25.01.23</t>
  </si>
  <si>
    <t>VALOR REF. A Restituição de Desconto  Comercial / Financeiro sobre as Devoluções -  NOVO ATACAREJO LJ07 -  DOCUMENTO:  Re.Dev Novo 25.01.23</t>
  </si>
  <si>
    <t>VALOR REF. A Restituição de Desconto  Comercial / Financeiro sobre as Devoluções -  NOVO ATACAREJO LJ 20 -  DOCUMENTO:  Re.Dev Novo 25.01.23</t>
  </si>
  <si>
    <t xml:space="preserve">DEVOLUÇÃO DE MERCADORIAS CONF NF 1381 DE BOMPRECO SUPERMERCADOS DO NORDESTE </t>
  </si>
  <si>
    <t xml:space="preserve">DEVOLUÇÃO DE MERCADORIAS CONF NF 1885 DE BOMPRECO SUPERMERCADOS DO NORDESTE </t>
  </si>
  <si>
    <t xml:space="preserve">DEVOLUÇÃO DE MERCADORIAS CONF NF  3384 DE BOMPRECO SUPERMERCADOS DO  NORDESTE LTDA (B-035) </t>
  </si>
  <si>
    <t xml:space="preserve">DEVOLUÇÃO DE MERCADORIAS CONF NF  1836 DE BOMPRECO SUPERMERCADOS DO  NORDESTE LTDA (B-31) </t>
  </si>
  <si>
    <t xml:space="preserve">DEVOLUÇÃO DE MERCADORIAS CONF NF 1909 DE BOMPRECO SUPERMERCADOS DO NORDESTE </t>
  </si>
  <si>
    <t xml:space="preserve">DEVOLUÇÃO DE MERCADORIAS CONF NF  3406 DE BOMPRECO SUPERMERCADOS DO  NORDESTE LTDA (B-035) </t>
  </si>
  <si>
    <t xml:space="preserve">DEVOLUÇÃO DE MERCADORIAS CONF NF 1931 DE BOMPRECO SUPERMERCADOS DO NORDESTE </t>
  </si>
  <si>
    <t xml:space="preserve">DEVOLUÇÃO DE MERCADORIAS CONF NF  3435 DE BOMPRECO SUPERMERCADOS DO  NORDESTE LTDA (B-035) </t>
  </si>
  <si>
    <t xml:space="preserve">DEVOLUÇÃO DE MERCADORIAS CONF NF  3468 DE BOMPRECO SUPERMERCADOS DO  NORDESTE LTDA (B-035) </t>
  </si>
  <si>
    <t xml:space="preserve">DEVOLUÇÃO DE MERCADORIAS CONF NF  3479 DE BOMPRECO SUPERMERCADOS DO  NORDESTE LTDA (B-035) </t>
  </si>
  <si>
    <t xml:space="preserve">DEVOLUÇÃO DE MERCADORIAS CONF NF  3502 DE BOMPRECO SUPERMERCADOS DO  NORDESTE LTDA (B-035) </t>
  </si>
  <si>
    <t>VALOR REF. A Devoluções de Vendas de  Mercadoria - CARREFOUR COMERCIO E  INDUSTRIA LTDA ( TORRE) -   DOCUMENTO: 000082236/1</t>
  </si>
  <si>
    <t>VALOR REF. A Devoluções de Vendas de  Mercadoria - CARREFOUR COMERCIO E  INDUSTRIA LTDA ( BOA VIAGEM ) -   DOCUMENTO: 000054017/1</t>
  </si>
  <si>
    <t>VALOR REF. A Devoluções de Vendas de  Mercadoria - CARREFOUR COMERCIO E  INDUSTRIA LTDA ( BOA VIAGEM ) -   DOCUMENTO: 000054960/1</t>
  </si>
  <si>
    <t xml:space="preserve">DEVOLUÇÃO DE MERCADORIAS CONF NF 56335 DE CARREFOUR COMERCIO E INDUSTRIA LTDA </t>
  </si>
  <si>
    <t xml:space="preserve">DEVOLUÇÃO DE MERCADORIAS CONF NF 56821 DE CARREFOUR COMERCIO E INDUSTRIA LTDA </t>
  </si>
  <si>
    <t xml:space="preserve">DEVOLUÇÃO DE MERCADORIAS CONF NF 57077 DE CARREFOUR COMERCIO E INDUSTRIA LTDA </t>
  </si>
  <si>
    <t xml:space="preserve">DEVOLUÇÃO DE MERCADORIAS CONF NF 57458 DE CARREFOUR COMERCIO E INDUSTRIA LTDA </t>
  </si>
  <si>
    <t>VALOR REF. A Devoluções de Vendas de  Mercadoria - CARREFOUR COMERCIO E  INDUSTRIA LTDA ( BOA VIAGEM ) -   DOCUMENTO: 000056335/1</t>
  </si>
  <si>
    <t>VALOR REF. A Devoluções de Vendas de  Mercadoria - CARREFOUR COMERCIO E  INDUSTRIA LTDA ( BOA VIAGEM ) -   DOCUMENTO: 000056821/1</t>
  </si>
  <si>
    <t>VALOR REF. A Devoluções de Vendas de  Mercadoria - CARREFOUR COMERCIO E  INDUSTRIA LTDA ( BOA VIAGEM ) -   DOCUMENTO: 000057077/1</t>
  </si>
  <si>
    <t>VALOR REF. A Devoluções de Vendas de  Mercadoria - CARREFOUR COMERCIO E  INDUSTRIA LTDA ( BOA VIAGEM ) -   DOCUMENTO: 000057458/1</t>
  </si>
  <si>
    <t xml:space="preserve">DEVOLUÇÃO DE MERCADORIAS CONF NF 57682 DE CARREFOUR COMERCIO E INDUSTRIA LTDA </t>
  </si>
  <si>
    <t>VALOR REF. A Devoluções de Vendas de  Mercadoria - COMPANHIA BRASILEIRA DE  DISTRIBUICAO (PIEDADE) -   DOCUMENTO: 000036093/1</t>
  </si>
  <si>
    <t>VALOR REF. A Devoluções de Vendas de  Mercadoria - COMPANHIA BRASILEIRA DE  DISTRIBUICAO (PIEDADE) -   DOCUMENTO: 000036094/1</t>
  </si>
  <si>
    <t>VALOR REF. A Devoluções de Vendas de  Mercadoria - COMPANHIA BRASILEIRA DE  DISTRIBUICAO (PIEDADE) -   DOCUMENTO: 000036095/1</t>
  </si>
  <si>
    <t>VALOR REF. A Devoluções de Vendas de  Mercadoria - COMPANHIA BRASILEIRA DE  DISTRIBUICAO (PIEDADE) -   DOCUMENTO: 000036111/1</t>
  </si>
  <si>
    <t>VALOR REF. A Devoluções de Vendas de  Mercadoria - COMPANHIA BRASILEIRA DE  DISTRIBUICAO (PIEDADE) -   DOCUMENTO: 000036112/1</t>
  </si>
  <si>
    <t>VALOR REF. A Devoluções de Vendas de  Mercadoria - COMPANHIA BRASILEIRA DE  DISTRIBUICAO (PIEDADE) -   DOCUMENTO: 000036113/1</t>
  </si>
  <si>
    <t>VALOR REF. A Devoluções de Vendas de  Mercadoria - COMPANHIA BRASILEIRA DE  DISTRIBUICAO (PIEDADE) -   DOCUMENTO: 000036140/1</t>
  </si>
  <si>
    <t>VALOR REF. A Devoluções de Vendas de  Mercadoria - COMPANHIA BRASILEIRA DE  DISTRIBUICAO (PIEDADE) -   DOCUMENTO: 000036144/1</t>
  </si>
  <si>
    <t>VALOR REF. A Devoluções de Vendas de  Mercadoria - COMPANHIA BRASILEIRA DE  DISTRIBUICAO (PIEDADE) -   DOCUMENTO: 000036145/1</t>
  </si>
  <si>
    <t>VALOR REF. A Devoluções de Vendas de  Mercadoria - COMPANHIA BRASILEIRA DE  DISTRIBUICAO (PIEDADE) -   DOCUMENTO: 000036146/1</t>
  </si>
  <si>
    <t>VALOR REF. A Devoluções de Vendas de  Mercadoria - COMPANHIA BRASILEIRA DE  DISTRIBUICAO (PIEDADE) -   DOCUMENTO: 000036147/1</t>
  </si>
  <si>
    <t>VALOR REF. A Devoluções de Vendas de  Mercadoria - COMPANHIA BRASILEIRA DE  DISTRIBUICAO (PIEDADE) -   DOCUMENTO: 000036148/1</t>
  </si>
  <si>
    <t>VALOR REF. A Devoluções de Vendas de  Mercadoria - COMPANHIA BRASILEIRA DE  DISTRIBUICAO - (PARNAMIRIM) -   DOCUMENTO: 000053680/1</t>
  </si>
  <si>
    <t>VALOR REF. A Devoluções de Vendas de  Mercadoria - COMPANHIA BRASILEIRA DE  DISTRIBUICAO - (PARNAMIRIM) -   DOCUMENTO: 000053687/1</t>
  </si>
  <si>
    <t>VALOR REF. A Devoluções de Vendas de  Mercadoria - COMPANHIA BRASILEIRA DE  DISTRIBUICAO - (PARNAMIRIM) -   DOCUMENTO: 000053699/1</t>
  </si>
  <si>
    <t>VALOR REF. A Devoluções de Vendas de  Mercadoria - COMPANHIA BRASILEIRA DE  DISTRIBUICAO - (PARNAMIRIM) -   DOCUMENTO: 000053711/1</t>
  </si>
  <si>
    <t>VALOR REF. A Devoluções de Vendas de  Mercadoria - COMPANHIA BRASILEIRA DE  DISTRIBUICAO - (PARNAMIRIM) -   DOCUMENTO: 000053722/1</t>
  </si>
  <si>
    <t>VALOR REF. A Devoluções de Vendas de  Mercadoria - COMPANHIA BRASILEIRA DE  DISTRIBUICAO - (PARNAMIRIM) -   DOCUMENTO: 000053734/1</t>
  </si>
  <si>
    <t>VALOR REF. A Devoluções de Vendas de  Mercadoria - COMPANHIA BRASILEIRA DE  DISTRIBUICAO - (PARNAMIRIM) -   DOCUMENTO: 000053757/1</t>
  </si>
  <si>
    <t>VALOR REF. A Devoluções de Vendas de  Mercadoria - COMPANHIA BRASILEIRA DE  DISTRIBUICAO - (PARNAMIRIM) -   DOCUMENTO: 000053758/1</t>
  </si>
  <si>
    <t>VALOR REF. A Devoluções de Vendas de  Mercadoria - COMPANHIA BRASILEIRA DE  DISTRIBUICAO - (PARNAMIRIM) -   DOCUMENTO: 000053772/1</t>
  </si>
  <si>
    <t>VALOR REF. A Devoluções de Vendas de  Mercadoria - COMPANHIA BRASILEIRA DE  DISTRIBUICAO - (PARNAMIRIM) -   DOCUMENTO: 000053791/1</t>
  </si>
  <si>
    <t>VALOR REF. A Devoluções de Vendas de  Mercadoria - COMPANHIA BRASILEIRA DE  DISTRIBUICAO - (PARNAMIRIM) -   DOCUMENTO: 000053792/1</t>
  </si>
  <si>
    <t>VALOR REF. A Devoluções de Vendas de  Mercadoria - COMPANHIA BRASILEIRA DE  DISTRIBUICAO ( ROSA E SILVA) -   DOCUMENTO: 000057086/1</t>
  </si>
  <si>
    <t>VALOR REF. A Devoluções de Vendas de  Mercadoria - COMPANHIA BRASILEIRA DE  DISTRIBUICAO ( ROSA E SILVA) -   DOCUMENTO: 000057087/1</t>
  </si>
  <si>
    <t>VALOR REF. A Devoluções de Vendas de  Mercadoria - COMPANHIA BRASILEIRA DE  DISTRIBUICAO ( ROSA E SILVA) -   DOCUMENTO: 000057088/1</t>
  </si>
  <si>
    <t>VALOR REF. A Devoluções de Vendas de  Mercadoria - COMPANHIA BRASILEIRA DE  DISTRIBUICAO ( ROSA E SILVA) -   DOCUMENTO: 000057089/1</t>
  </si>
  <si>
    <t>VALOR REF. A Devoluções de Vendas de  Mercadoria - COMPANHIA BRASILEIRA DE  DISTRIBUICAO ( ROSA E SILVA) -   DOCUMENTO: 000057145/1</t>
  </si>
  <si>
    <t>VALOR REF. A Devoluções de Vendas de  Mercadoria - COMPANHIA BRASILEIRA DE  DISTRIBUICAO ( ROSA E SILVA) -   DOCUMENTO: 000057146/1</t>
  </si>
  <si>
    <t>VALOR REF. A Devoluções de Vendas de  Mercadoria - COMPANHIA BRASILEIRA DE  DISTRIBUICAO ( ROSA E SILVA) -   DOCUMENTO: 000057147/1</t>
  </si>
  <si>
    <t>VALOR REF. A Devoluções de Vendas de  Mercadoria - COMPANHIA BRASILEIRA DE  DISTRIBUICAO ( ROSA E SILVA) -   DOCUMENTO: 000057157/1</t>
  </si>
  <si>
    <t>VALOR REF. A Devoluções de Vendas de  Mercadoria - COMPANHIA BRASILEIRA DE  DISTRIBUICAO ( ROSA E SILVA) -   DOCUMENTO: 000057180/1</t>
  </si>
  <si>
    <t>VALOR REF. A Devoluções de Vendas de  Mercadoria - COMPANHIA BRASILEIRA DE  DISTRIBUICAO ( ROSA E SILVA) -   DOCUMENTO: 000057181/1</t>
  </si>
  <si>
    <t>VALOR REF. A Devoluções de Vendas de  Mercadoria - COMPANHIA BRASILEIRA DE  DISTRIBUICAO ( ROSA E SILVA) -   DOCUMENTO: 000057193/1</t>
  </si>
  <si>
    <t>VALOR REF. A Devoluções de Vendas de  Mercadoria - COMPANHIA BRASILEIRA DE  DISTRIBUICAO ( ROSA E SILVA) -   DOCUMENTO: 000057197/1</t>
  </si>
  <si>
    <t>VALOR REF. A Devoluções de Vendas de  Mercadoria - COMPANHIA BRASILEIRA DE  DISTRIBUICAO CD - PE -  DOCUMENTO:  000092216/1</t>
  </si>
  <si>
    <t>VALOR REF. A Devoluções de Vendas de  Mercadoria - COMPANHIA BRASILEIRA DE  DISTRIBUICAO CD - PE -  DOCUMENTO:  000092729/1</t>
  </si>
  <si>
    <t>VALOR REF. A Devoluções de Vendas de  Mercadoria - COMPANHIA BRASILEIRA DE  DISTRIBUICAO CD - PE -  DOCUMENTO:  000093941/1</t>
  </si>
  <si>
    <t>VALOR REF. A Devoluções de Vendas de  Mercadoria - COMPANHIA BRASILEIRA DE  DISTRIBUICAO CD - PE -  DOCUMENTO:  000093944/1</t>
  </si>
  <si>
    <t>VALOR REF. A Devoluções de Vendas de  Mercadoria - COMPANHIA BRASILEIRA DE  DISTRIBUICAO CD - PE -  DOCUMENTO:  000093945/1</t>
  </si>
  <si>
    <t xml:space="preserve">DEVOLUÇÃO DE MERCADORIAS CONF NF 54018 DE CIA BRASILEIRA DE DISTRIBUICAO </t>
  </si>
  <si>
    <t xml:space="preserve">DEVOLUÇÃO DE MERCADORIAS CONF NF 36345 DE CIA BRASILEIRA DE DISTRIBUICAO </t>
  </si>
  <si>
    <t xml:space="preserve">DEVOLUÇÃO DE MERCADORIAS CONF NF 36346 DE CIA BRASILEIRA DE DISTRIBUICAO </t>
  </si>
  <si>
    <t xml:space="preserve">DEVOLUÇÃO DE MERCADORIAS CONF NF 36347 DE CIA BRASILEIRA DE DISTRIBUICAO </t>
  </si>
  <si>
    <t xml:space="preserve">DEVOLUÇÃO DE MERCADORIAS CONF NF 57631 DE CIA BRASILEIRA DE DISTRIBUICAO </t>
  </si>
  <si>
    <t xml:space="preserve">DEVOLUÇÃO DE MERCADORIAS CONF NF 57632 DE CIA BRASILEIRA DE DISTRIBUICAO </t>
  </si>
  <si>
    <t xml:space="preserve">DEVOLUÇÃO DE MERCADORIAS CONF NF 54030 DE CIA BRASILEIRA DE DISTRIBUICAO </t>
  </si>
  <si>
    <t xml:space="preserve">DEVOLUÇÃO DE MERCADORIAS CONF NF 37885 DE CIA BRASILEIRA DE DISTRIBUICAO </t>
  </si>
  <si>
    <t xml:space="preserve">DEVOLUÇÃO DE MERCADORIAS CONF NF 95957 DE CIA BRASILEIRA DE DISTRIBUICAO </t>
  </si>
  <si>
    <t xml:space="preserve">DEVOLUÇÃO DE MERCADORIAS CONF NF 54038 DE CIA BRASILEIRA DE DISTRIBUICAO </t>
  </si>
  <si>
    <t xml:space="preserve">DEVOLUÇÃO DE MERCADORIAS CONF NF 100372 DE CIA BRASILEIRA DE DISTRIBUICAO </t>
  </si>
  <si>
    <t xml:space="preserve">DEVOLUÇÃO DE MERCADORIAS CONF NF 57645 DE CIA BRASILEIRA DE DISTRIBUICAO </t>
  </si>
  <si>
    <t xml:space="preserve">DEVOLUÇÃO DE MERCADORIAS CONF NF 57646 DE CIA BRASILEIRA DE DISTRIBUICAO </t>
  </si>
  <si>
    <t xml:space="preserve">DEVOLUÇÃO DE MERCADORIAS CONF NF 54041 DE CIA BRASILEIRA DE DISTRIBUICAO </t>
  </si>
  <si>
    <t xml:space="preserve">DEVOLUÇÃO DE MERCADORIAS CONF NF 57657 DE CIA BRASILEIRA DE DISTRIBUICAO </t>
  </si>
  <si>
    <t xml:space="preserve">DEVOLUÇÃO DE MERCADORIAS CONF NF 96474 DE CIA BRASILEIRA DE DISTRIBUICAO </t>
  </si>
  <si>
    <t xml:space="preserve">DEVOLUÇÃO DE MERCADORIAS CONF NF 54055 DE CIA BRASILEIRA DE DISTRIBUICAO </t>
  </si>
  <si>
    <t xml:space="preserve">DEVOLUÇÃO DE MERCADORIAS CONF NF 54068 DE CIA BRASILEIRA DE DISTRIBUICAO </t>
  </si>
  <si>
    <t xml:space="preserve">DEVOLUÇÃO DE MERCADORIAS CONF NF 36398 DE CIA BRASILEIRA DE DISTRIBUICAO </t>
  </si>
  <si>
    <t xml:space="preserve">DEVOLUÇÃO DE MERCADORIAS CONF NF 36399 DE CIA BRASILEIRA DE DISTRIBUICAO </t>
  </si>
  <si>
    <t xml:space="preserve">DEVOLUÇÃO DE MERCADORIAS CONF NF 36400 DE CIA BRASILEIRA DE DISTRIBUICAO </t>
  </si>
  <si>
    <t xml:space="preserve">DEVOLUÇÃO DE MERCADORIAS CONF NF 36401 DE CIA BRASILEIRA DE DISTRIBUICAO </t>
  </si>
  <si>
    <t xml:space="preserve">DEVOLUÇÃO DE MERCADORIAS CONF NF 36402 DE CIA BRASILEIRA DE DISTRIBUICAO </t>
  </si>
  <si>
    <t xml:space="preserve">DEVOLUÇÃO DE MERCADORIAS CONF NF 36404 DE CIA BRASILEIRA DE DISTRIBUICAO </t>
  </si>
  <si>
    <t>VALOR REF. A Devoluções de Vendas de  Mercadoria - COMPANHIA BRASILEIRA DE  DISTRIBUICAO (PIEDADE) -   DOCUMENTO: 000036160/1</t>
  </si>
  <si>
    <t>VALOR REF. A Devoluções de Vendas de  Mercadoria - COMPANHIA BRASILEIRA DE  DISTRIBUICAO (PIEDADE) -   DOCUMENTO: 000036161/1</t>
  </si>
  <si>
    <t>VALOR REF. A Devoluções de Vendas de  Mercadoria - COMPANHIA BRASILEIRA DE  DISTRIBUICAO (PIEDADE) -   DOCUMENTO: 000036199/1</t>
  </si>
  <si>
    <t>VALOR REF. A Devoluções de Vendas de  Mercadoria - COMPANHIA BRASILEIRA DE  DISTRIBUICAO (PIEDADE) -   DOCUMENTO: 000036200/1</t>
  </si>
  <si>
    <t>VALOR REF. A Devoluções de Vendas de  Mercadoria - COMPANHIA BRASILEIRA DE  DISTRIBUICAO (PIEDADE) -   DOCUMENTO: 000036201/1</t>
  </si>
  <si>
    <t>VALOR REF. A Devoluções de Vendas de  Mercadoria - COMPANHIA BRASILEIRA DE  DISTRIBUICAO (PIEDADE) -   DOCUMENTO: 000036202/1</t>
  </si>
  <si>
    <t>VALOR REF. A Devoluções de Vendas de  Mercadoria - COMPANHIA BRASILEIRA DE  DISTRIBUICAO (PIEDADE) -   DOCUMENTO: 000036203/1</t>
  </si>
  <si>
    <t>VALOR REF. A Devoluções de Vendas de  Mercadoria - COMPANHIA BRASILEIRA DE  DISTRIBUICAO - (PARNAMIRIM) -   DOCUMENTO: 000053800/1</t>
  </si>
  <si>
    <t>VALOR REF. A Devoluções de Vendas de  Mercadoria - COMPANHIA BRASILEIRA DE  DISTRIBUICAO - (PARNAMIRIM) -   DOCUMENTO: 000053813/1</t>
  </si>
  <si>
    <t>VALOR REF. A Devoluções de Vendas de  Mercadoria - COMPANHIA BRASILEIRA DE  DISTRIBUICAO - (PARNAMIRIM) -   DOCUMENTO: 000053820/1</t>
  </si>
  <si>
    <t>VALOR REF. A Devoluções de Vendas de  Mercadoria - COMPANHIA BRASILEIRA DE  DISTRIBUICAO - (PARNAMIRIM) -   DOCUMENTO: 000053836/1</t>
  </si>
  <si>
    <t>VALOR REF. A Devoluções de Vendas de  Mercadoria - COMPANHIA BRASILEIRA DE  DISTRIBUICAO - (PARNAMIRIM) -   DOCUMENTO: 000053845/1</t>
  </si>
  <si>
    <t>VALOR REF. A Devoluções de Vendas de  Mercadoria - COMPANHIA BRASILEIRA DE  DISTRIBUICAO - (PARNAMIRIM) -   DOCUMENTO: 000053853/1</t>
  </si>
  <si>
    <t>VALOR REF. A Devoluções de Vendas de  Mercadoria - COMPANHIA BRASILEIRA DE  DISTRIBUICAO ( ROSA E SILVA) -   DOCUMENTO: 000057237/1</t>
  </si>
  <si>
    <t>VALOR REF. A Devoluções de Vendas de  Mercadoria - COMPANHIA BRASILEIRA DE  DISTRIBUICAO ( ROSA E SILVA) -   DOCUMENTO: 000057330/1</t>
  </si>
  <si>
    <t>VALOR REF. A Devoluções de Vendas de  Mercadoria - COMPANHIA BRASILEIRA DE  DISTRIBUICAO ( ROSA E SILVA) -   DOCUMENTO: 000057331/1</t>
  </si>
  <si>
    <t>VALOR REF. A Devoluções de Vendas de  Mercadoria - COMPANHIA BRASILEIRA DE  DISTRIBUICAO ( ROSA E SILVA) -   DOCUMENTO: 000057338/1</t>
  </si>
  <si>
    <t>VALOR REF. A Devoluções de Vendas de  Mercadoria - COMPANHIA BRASILEIRA DE  DISTRIBUICAO ( ROSA E SILVA) -   DOCUMENTO: 000057345/1</t>
  </si>
  <si>
    <t>VALOR REF. A Devoluções de Vendas de  Mercadoria - COMPANHIA BRASILEIRA DE  DISTRIBUICAO CD - PE -  DOCUMENTO:  000093267/1</t>
  </si>
  <si>
    <t>VALOR REF. A Devoluções de Vendas de  Mercadoria - COMPANHIA BRASILEIRA DE  DISTRIBUICAO CD - PE -  DOCUMENTO:  000093305/1</t>
  </si>
  <si>
    <t>VALOR REF. A Devoluções de Vendas de  Mercadoria - COMPANHIA BRASILEIRA DE  DISTRIBUICAO CD - PE -  DOCUMENTO:  000095161/1</t>
  </si>
  <si>
    <t>VALOR REF. A Devoluções de Vendas de  Mercadoria - COMPANHIA BRASILEIRA DE  DISTRIBUICAO CD - PE -  DOCUMENTO:  000095957/1</t>
  </si>
  <si>
    <t xml:space="preserve">DEVOLUÇÃO DE MERCADORIAS CONF NF 54075 DE CIA BRASILEIRA DE DISTRIBUICAO </t>
  </si>
  <si>
    <t xml:space="preserve">DEVOLUÇÃO DE MERCADORIAS CONF NF 97322 DE CIA BRASILEIRA DE DISTRIBUICAO </t>
  </si>
  <si>
    <t xml:space="preserve">DEVOLUÇÃO DE MERCADORIAS CONF NF 54081 DE CIA BRASILEIRA DE DISTRIBUICAO </t>
  </si>
  <si>
    <t xml:space="preserve">DEVOLUÇÃO DE MERCADORIAS CONF NF 37917 DE CIA BRASILEIRA DE DISTRIBUICAO </t>
  </si>
  <si>
    <t xml:space="preserve">DEVOLUÇÃO DE MERCADORIAS CONF NF 100748 DE CIA BRASILEIRA DE DISTRIBUICAO </t>
  </si>
  <si>
    <t xml:space="preserve">DEVOLUÇÃO DE MERCADORIAS CONF NF 57733 DE CIA BRASILEIRA DE DISTRIBUICAO </t>
  </si>
  <si>
    <t xml:space="preserve">DEVOLUÇÃO DE MERCADORIAS CONF NF 57734 DE CIA BRASILEIRA DE DISTRIBUICAO </t>
  </si>
  <si>
    <t xml:space="preserve">DEVOLUÇÃO DE MERCADORIAS CONF NF 57735 DE CIA BRASILEIRA DE DISTRIBUICAO </t>
  </si>
  <si>
    <t xml:space="preserve">DEVOLUÇÃO DE MERCADORIAS CONF NF 54085 DE CIA BRASILEIRA DE DISTRIBUICAO </t>
  </si>
  <si>
    <t xml:space="preserve">DEVOLUÇÃO DE MERCADORIAS CONF NF 54087 DE CIA BRASILEIRA DE DISTRIBUICAO </t>
  </si>
  <si>
    <t xml:space="preserve">DEVOLUÇÃO DE MERCADORIAS CONF NF 97997 DE CIA BRASILEIRA DE DISTRIBUICAO </t>
  </si>
  <si>
    <t xml:space="preserve">DEVOLUÇÃO DE MERCADORIAS CONF NF 54098 DE CIA BRASILEIRA DE DISTRIBUICAO </t>
  </si>
  <si>
    <t xml:space="preserve">DEVOLUÇÃO DE MERCADORIAS CONF NF 98142 DE CIA BRASILEIRA DE DISTRIBUICAO </t>
  </si>
  <si>
    <t xml:space="preserve">DEVOLUÇÃO DE MERCADORIAS CONF NF 54113 DE CIA BRASILEIRA DE DISTRIBUICAO </t>
  </si>
  <si>
    <t xml:space="preserve">DEVOLUÇÃO DE MERCADORIAS CONF NF 54114 DE CIA BRASILEIRA DE DISTRIBUICAO </t>
  </si>
  <si>
    <t xml:space="preserve">DEVOLUÇÃO DE MERCADORIAS CONF NF 98585 DE CIA BRASILEIRA DE DISTRIBUICAO </t>
  </si>
  <si>
    <t xml:space="preserve">DEVOLUÇÃO DE MERCADORIAS CONF NF 54137 DE CIA BRASILEIRA DE DISTRIBUICAO </t>
  </si>
  <si>
    <t xml:space="preserve">DEVOLUÇÃO DE MERCADORIAS CONF NF 36435 DE CIA BRASILEIRA DE DISTRIBUICAO </t>
  </si>
  <si>
    <t xml:space="preserve">DEVOLUÇÃO DE MERCADORIAS CONF NF 36436 DE CIA BRASILEIRA DE DISTRIBUICAO </t>
  </si>
  <si>
    <t xml:space="preserve">DEVOLUÇÃO DE MERCADORIAS CONF NF 36437 DE CIA BRASILEIRA DE DISTRIBUICAO </t>
  </si>
  <si>
    <t xml:space="preserve">DEVOLUÇÃO DE MERCADORIAS CONF NF 36438 DE CIA BRASILEIRA DE DISTRIBUICAO </t>
  </si>
  <si>
    <t xml:space="preserve">DEVOLUÇÃO DE MERCADORIAS CONF NF 36439 DE CIA BRASILEIRA DE DISTRIBUICAO </t>
  </si>
  <si>
    <t xml:space="preserve">DEVOLUÇÃO DE MERCADORIAS CONF NF 36440 DE CIA BRASILEIRA DE DISTRIBUICAO </t>
  </si>
  <si>
    <t xml:space="preserve">DEVOLUÇÃO DE MERCADORIAS CONF NF 57790 DE CIA BRASILEIRA DE DISTRIBUICAO </t>
  </si>
  <si>
    <t xml:space="preserve">DEVOLUÇÃO DE MERCADORIAS CONF NF 54144 DE CIA BRASILEIRA DE DISTRIBUICAO </t>
  </si>
  <si>
    <t xml:space="preserve">DEVOLUÇÃO DE MERCADORIAS CONF NF 101035 DE CIA BRASILEIRA DE DISTRIBUICAO </t>
  </si>
  <si>
    <t xml:space="preserve">DEVOLUÇÃO DE MERCADORIAS CONF NF 57800 DE CIA BRASILEIRA DE DISTRIBUICAO </t>
  </si>
  <si>
    <t xml:space="preserve">DEVOLUÇÃO DE MERCADORIAS CONF NF 99102 DE CIA BRASILEIRA DE DISTRIBUICAO </t>
  </si>
  <si>
    <t xml:space="preserve">DEVOLUÇÃO DE MERCADORIAS CONF NF 54154 DE CIA BRASILEIRA DE DISTRIBUICAO </t>
  </si>
  <si>
    <t xml:space="preserve">DEVOLUÇÃO DE MERCADORIAS CONF NF 37947 DE CIA BRASILEIRA DE DISTRIBUICAO </t>
  </si>
  <si>
    <t xml:space="preserve">DEVOLUÇÃO DE MERCADORIAS CONF NF 36450 DE CIA BRASILEIRA DE DISTRIBUICAO </t>
  </si>
  <si>
    <t xml:space="preserve">DEVOLUÇÃO DE MERCADORIAS CONF NF 99482 DE CIA BRASILEIRA DE DISTRIBUICAO </t>
  </si>
  <si>
    <t xml:space="preserve">DEVOLUÇÃO DE MERCADORIAS CONF NF 99483 DE CIA BRASILEIRA DE DISTRIBUICAO </t>
  </si>
  <si>
    <t xml:space="preserve">DEVOLUÇÃO DE MERCADORIAS CONF NF 99484 DE CIA BRASILEIRA DE DISTRIBUICAO </t>
  </si>
  <si>
    <t xml:space="preserve">DEVOLUÇÃO DE MERCADORIAS CONF NF 54162 DE CIA BRASILEIRA DE DISTRIBUICAO </t>
  </si>
  <si>
    <t>VALOR REF. A Devoluções de Vendas de  Mercadoria - COMPANHIA BRASILEIRA DE  DISTRIBUICAO (PIEDADE) -   DOCUMENTO: 000036213/1</t>
  </si>
  <si>
    <t>VALOR REF. A Devoluções de Vendas de  Mercadoria - COMPANHIA BRASILEIRA DE  DISTRIBUICAO (PIEDADE) -   DOCUMENTO: 000036312/1</t>
  </si>
  <si>
    <t>VALOR REF. A Devoluções de Vendas de  Mercadoria - COMPANHIA BRASILEIRA DE  DISTRIBUICAO (PIEDADE) -   DOCUMENTO: 000036313/1</t>
  </si>
  <si>
    <t>VALOR REF. A Devoluções de Vendas de  Mercadoria - COMPANHIA BRASILEIRA DE  DISTRIBUICAO (PIEDADE) -   DOCUMENTO: 000036314/1</t>
  </si>
  <si>
    <t>VALOR REF. A Devoluções de Vendas de  Mercadoria - COMPANHIA BRASILEIRA DE  DISTRIBUICAO (PIEDADE) -   DOCUMENTO: 000036315/1</t>
  </si>
  <si>
    <t>VALOR REF. A Devoluções de Vendas de  Mercadoria - COMPANHIA BRASILEIRA DE  DISTRIBUICAO (PIEDADE) -   DOCUMENTO: 000036327/1</t>
  </si>
  <si>
    <t>VALOR REF. A Devoluções de Vendas de  Mercadoria - COMPANHIA BRASILEIRA DE  DISTRIBUICAO (PIEDADE) -   DOCUMENTO: 000036345/1</t>
  </si>
  <si>
    <t>VALOR REF. A Devoluções de Vendas de  Mercadoria - COMPANHIA BRASILEIRA DE  DISTRIBUICAO (PIEDADE) -   DOCUMENTO: 000036346/1</t>
  </si>
  <si>
    <t>VALOR REF. A Devoluções de Vendas de  Mercadoria - COMPANHIA BRASILEIRA DE  DISTRIBUICAO (PIEDADE) -   DOCUMENTO: 000036347/1</t>
  </si>
  <si>
    <t>VALOR REF. A Devoluções de Vendas de  Mercadoria - COMPANHIA BRASILEIRA DE  DISTRIBUICAO (EXTRAAO (EXTRA OLINDA)  -  DOCUMENTO: 000037843/1</t>
  </si>
  <si>
    <t>VALOR REF. A Devoluções de Vendas de  Mercadoria - COMPANHIA BRASILEIRA DE  DISTRIBUICAO (EXTRAAO (EXTRA OLINDA)  -  DOCUMENTO: 000037848/1</t>
  </si>
  <si>
    <t>VALOR REF. A Devoluções de Vendas de  Mercadoria - COMPANHIA BRASILEIRA DE  DISTRIBUICAO (EXTRAAO (EXTRA OLINDA)  -  DOCUMENTO: 000037857/1</t>
  </si>
  <si>
    <t>VALOR REF. A Devoluções de Vendas de  Mercadoria - COMPANHIA BRASILEIRA DE  DISTRIBUICAO (EXTRAAO (EXTRA OLINDA)  -  DOCUMENTO: 000037885/1</t>
  </si>
  <si>
    <t>VALOR REF. A Devoluções de Vendas de  Mercadoria - COMPANHIA BRASILEIRA DE  DISTRIBUICAO - (PARNAMIRIM) -   DOCUMENTO: 000053864/1</t>
  </si>
  <si>
    <t>VALOR REF. A Devoluções de Vendas de  Mercadoria - COMPANHIA BRASILEIRA DE  DISTRIBUICAO - (PARNAMIRIM) -   DOCUMENTO: 000053883/1</t>
  </si>
  <si>
    <t>VALOR REF. A Devoluções de Vendas de  Mercadoria - COMPANHIA BRASILEIRA DE  DISTRIBUICAO - (PARNAMIRIM) -   DOCUMENTO: 000053950/1</t>
  </si>
  <si>
    <t>VALOR REF. A Devoluções de Vendas de  Mercadoria - COMPANHIA BRASILEIRA DE  DISTRIBUICAO - (PARNAMIRIM) -   DOCUMENTO: 000053965/1</t>
  </si>
  <si>
    <t>VALOR REF. A Devoluções de Vendas de  Mercadoria - COMPANHIA BRASILEIRA DE  DISTRIBUICAO - (PARNAMIRIM) -   DOCUMENTO: 000053974/1</t>
  </si>
  <si>
    <t>VALOR REF. A Devoluções de Vendas de  Mercadoria - COMPANHIA BRASILEIRA DE  DISTRIBUICAO - (PARNAMIRIM) -   DOCUMENTO: 000053975/1</t>
  </si>
  <si>
    <t>VALOR REF. A Devoluções de Vendas de  Mercadoria - COMPANHIA BRASILEIRA DE  DISTRIBUICAO - (PARNAMIRIM) -   DOCUMENTO: 000053986/1</t>
  </si>
  <si>
    <t>VALOR REF. A Devoluções de Vendas de  Mercadoria - COMPANHIA BRASILEIRA DE  DISTRIBUICAO - (PARNAMIRIM) -   DOCUMENTO: 000053989/1</t>
  </si>
  <si>
    <t>VALOR REF. A Devoluções de Vendas de  Mercadoria - COMPANHIA BRASILEIRA DE  DISTRIBUICAO - (PARNAMIRIM) -   DOCUMENTO: 000054011/1</t>
  </si>
  <si>
    <t>VALOR REF. A Devoluções de Vendas de  Mercadoria - COMPANHIA BRASILEIRA DE  DISTRIBUICAO - (PARNAMIRIM) -   DOCUMENTO: 000054018/1</t>
  </si>
  <si>
    <t>VALOR REF. A Devoluções de Vendas de  Mercadoria - COMPANHIA BRASILEIRA DE  DISTRIBUICAO - (PARNAMIRIM) -   DOCUMENTO: 000054030/1</t>
  </si>
  <si>
    <t>VALOR REF. A Devoluções de Vendas de  Mercadoria - COMPANHIA BRASILEIRA DE  DISTRIBUICAO - (PARNAMIRIM) -   DOCUMENTO: 000054038/1</t>
  </si>
  <si>
    <t>VALOR REF. A Devoluções de Vendas de  Mercadoria - COMPANHIA BRASILEIRA DE  DISTRIBUICAO ( ROSA E SILVA) -   DOCUMENTO: 000057431/1</t>
  </si>
  <si>
    <t>VALOR REF. A Devoluções de Vendas de  Mercadoria - COMPANHIA BRASILEIRA DE  DISTRIBUICAO ( ROSA E SILVA) -   DOCUMENTO: 000057515/1</t>
  </si>
  <si>
    <t>VALOR REF. A Devoluções de Vendas de  Mercadoria - COMPANHIA BRASILEIRA DE  DISTRIBUICAO ( ROSA E SILVA) -   DOCUMENTO: 000057516/1</t>
  </si>
  <si>
    <t>VALOR REF. A Devoluções de Vendas de  Mercadoria - COMPANHIA BRASILEIRA DE  DISTRIBUICAO ( ROSA E SILVA) -   DOCUMENTO: 000057559/1</t>
  </si>
  <si>
    <t>VALOR REF. A Devoluções de Vendas de  Mercadoria - COMPANHIA BRASILEIRA DE  DISTRIBUICAO ( ROSA E SILVA) -   DOCUMENTO: 000057560/1</t>
  </si>
  <si>
    <t>VALOR REF. A Devoluções de Vendas de  Mercadoria - COMPANHIA BRASILEIRA DE  DISTRIBUICAO ( ROSA E SILVA) -   DOCUMENTO: 000057578/1</t>
  </si>
  <si>
    <t>VALOR REF. A Devoluções de Vendas de  Mercadoria - COMPANHIA BRASILEIRA DE  DISTRIBUICAO ( ROSA E SILVA) -   DOCUMENTO: 000057586/1</t>
  </si>
  <si>
    <t>VALOR REF. A Devoluções de Vendas de  Mercadoria - COMPANHIA BRASILEIRA DE  DISTRIBUICAO ( ROSA E SILVA) -   DOCUMENTO: 000057631/1</t>
  </si>
  <si>
    <t>VALOR REF. A Devoluções de Vendas de  Mercadoria - COMPANHIA BRASILEIRA DE  DISTRIBUICAO ( ROSA E SILVA) -   DOCUMENTO: 000057632/1</t>
  </si>
  <si>
    <t>VALOR REF. A Devoluções de Vendas de  Mercadoria - COMPANHIA BRASILEIRA DE  DISTRIBUICAO CD - PE -  DOCUMENTO:  000096474/1</t>
  </si>
  <si>
    <t>VALOR REF. A Devoluções de Vendas de  Mercadoria - COMPANHIA BRASILEIRA DE  DISTRIBUICAO CD - PE -  DOCUMENTO:  000097322/1</t>
  </si>
  <si>
    <t>VALOR REF. A Devoluções de Vendas de  Mercadoria - COMPANHIA BRASILEIRA DE  DISTRIBUICAO CD - PE -  DOCUMENTO:  000097997/1</t>
  </si>
  <si>
    <t>VALOR REF. A Devoluções de Vendas de  Mercadoria - COMPANHIA BRASILEIRA DE  DISTRIBUICAO CD - PE -  DOCUMENTO:  000098142/1</t>
  </si>
  <si>
    <t>VALOR REF. A Devoluções de Vendas de  Mercadoria - COMPANHIA BRASILEIRA DE  DISTRIBUICAO CD - PE -  DOCUMENTO:  000098585/1</t>
  </si>
  <si>
    <t xml:space="preserve">DEVOLUÇÃO DE MERCADORIAS CONF NF 101158 DE CIA BRASILEIRA DE DISTRIBUICAO </t>
  </si>
  <si>
    <t xml:space="preserve">DEVOLUÇÃO DE MERCADORIAS CONF NF 57842 DE CIA BRASILEIRA DE DISTRIBUICAO </t>
  </si>
  <si>
    <t xml:space="preserve">DEVOLUÇÃO DE MERCADORIAS CONF NF 57843 DE CIA BRASILEIRA DE DISTRIBUICAO </t>
  </si>
  <si>
    <t xml:space="preserve">DEVOLUÇÃO DE MERCADORIAS CONF NF 54168 DE CIA BRASILEIRA DE DISTRIBUICAO </t>
  </si>
  <si>
    <t xml:space="preserve">DEVOLUÇÃO DE MERCADORIAS CONF NF 54174 DE CIA BRASILEIRA DE DISTRIBUICAO </t>
  </si>
  <si>
    <t xml:space="preserve">DEVOLUÇÃO DE MERCADORIAS CONF NF 100403 DE CIA BRASILEIRA DE DISTRIBUICAO </t>
  </si>
  <si>
    <t xml:space="preserve">DEVOLUÇÃO DE MERCADORIAS CONF NF 54179 DE CIA BRASILEIRA DE DISTRIBUICAO </t>
  </si>
  <si>
    <t xml:space="preserve">DEVOLUÇÃO DE MERCADORIAS CONF NF 36466 DE CIA BRASILEIRA DE DISTRIBUICAO </t>
  </si>
  <si>
    <t xml:space="preserve">DEVOLUÇÃO DE MERCADORIAS CONF NF 36467 DE CIA BRASILEIRA DE DISTRIBUICAO </t>
  </si>
  <si>
    <t xml:space="preserve">DEVOLUÇÃO DE MERCADORIAS CONF NF 36468 DE CIA BRASILEIRA DE DISTRIBUICAO </t>
  </si>
  <si>
    <t xml:space="preserve">DEVOLUÇÃO DE MERCADORIAS CONF NF 36469 DE CIA BRASILEIRA DE DISTRIBUICAO </t>
  </si>
  <si>
    <t xml:space="preserve">DEVOLUÇÃO DE MERCADORIAS CONF NF 100709 DE CIA BRASILEIRA DE DISTRIBUICAO </t>
  </si>
  <si>
    <t xml:space="preserve">DEVOLUÇÃO DE MERCADORIAS CONF NF 54246 DE CIA BRASILEIRA DE DISTRIBUICAO </t>
  </si>
  <si>
    <t xml:space="preserve">DEVOLUÇÃO DE MERCADORIAS CONF NF 57933 DE CIA BRASILEIRA DE DISTRIBUICAO </t>
  </si>
  <si>
    <t xml:space="preserve">DEVOLUÇÃO DE MERCADORIAS CONF NF 57934 DE CIA BRASILEIRA DE DISTRIBUICAO </t>
  </si>
  <si>
    <t xml:space="preserve">DEVOLUÇÃO DE MERCADORIAS CONF NF 57935 DE CIA BRASILEIRA DE DISTRIBUICAO </t>
  </si>
  <si>
    <t xml:space="preserve">DEVOLUÇÃO DE MERCADORIAS CONF NF 54249 DE CIA BRASILEIRA DE DISTRIBUICAO </t>
  </si>
  <si>
    <t xml:space="preserve">DEVOLUÇÃO DE MERCADORIAS CONF NF 38011 DE CIA BRASILEIRA DE DISTRIBUICAO </t>
  </si>
  <si>
    <t xml:space="preserve">DEVOLUÇÃO DE MERCADORIAS CONF NF 101024 DE CIA BRASILEIRA DE DISTRIBUICAO </t>
  </si>
  <si>
    <t xml:space="preserve">DEVOLUÇÃO DE MERCADORIAS CONF NF 101025 DE CIA BRASILEIRA DE DISTRIBUICAO </t>
  </si>
  <si>
    <t xml:space="preserve">DEVOLUÇÃO DE MERCADORIAS CONF NF 54256 DE CIA BRASILEIRA DE DISTRIBUICAO </t>
  </si>
  <si>
    <t xml:space="preserve">DEVOLUÇÃO DE MERCADORIAS CONF NF 36547 DE CIA BRASILEIRA DE DISTRIBUICAO </t>
  </si>
  <si>
    <t xml:space="preserve">DEVOLUÇÃO DE MERCADORIAS CONF NF 36548 DE CIA BRASILEIRA DE DISTRIBUICAO </t>
  </si>
  <si>
    <t xml:space="preserve">DEVOLUÇÃO DE MERCADORIAS CONF NF 101171 DE CIA BRASILEIRA DE DISTRIBUICAO </t>
  </si>
  <si>
    <t xml:space="preserve">DEVOLUÇÃO DE MERCADORIAS CONF NF 54258 DE CIA BRASILEIRA DE DISTRIBUICAO </t>
  </si>
  <si>
    <t xml:space="preserve">DEVOLUÇÃO DE MERCADORIAS CONF NF 101406 DE CIA BRASILEIRA DE DISTRIBUICAO </t>
  </si>
  <si>
    <t xml:space="preserve">DEVOLUÇÃO DE MERCADORIAS CONF NF 54260 DE CIA BRASILEIRA DE DISTRIBUICAO </t>
  </si>
  <si>
    <t xml:space="preserve">DEVOLUÇÃO DE MERCADORIAS CONF NF 36565 DE CIA BRASILEIRA DE DISTRIBUICAO </t>
  </si>
  <si>
    <t xml:space="preserve">DEVOLUÇÃO DE MERCADORIAS CONF NF 36566 DE CIA BRASILEIRA DE DISTRIBUICAO </t>
  </si>
  <si>
    <t xml:space="preserve">DEVOLUÇÃO DE MERCADORIAS CONF NF 101602 DE CIA BRASILEIRA DE DISTRIBUICAO </t>
  </si>
  <si>
    <t xml:space="preserve">DEVOLUÇÃO DE MERCADORIAS CONF NF 54273 DE CIA BRASILEIRA DE DISTRIBUICAO </t>
  </si>
  <si>
    <t xml:space="preserve">DEVOLUÇÃO DE MERCADORIAS CONF NF 57977 DE CIA BRASILEIRA DE DISTRIBUICAO </t>
  </si>
  <si>
    <t xml:space="preserve">DEVOLUÇÃO DE MERCADORIAS CONF NF 101798 DE CIA BRASILEIRA DE DISTRIBUICAO </t>
  </si>
  <si>
    <t xml:space="preserve">DEVOLUÇÃO DE MERCADORIAS CONF NF 101799 DE CIA BRASILEIRA DE DISTRIBUICAO </t>
  </si>
  <si>
    <t xml:space="preserve">DEVOLUÇÃO DE MERCADORIAS CONF NF 54280 DE CIA BRASILEIRA DE DISTRIBUICAO </t>
  </si>
  <si>
    <t xml:space="preserve">DEVOLUÇÃO DE MERCADORIAS CONF NF 10854 DE NOVO ATACADO COMERCIO DE ALIMENTOS LTDA </t>
  </si>
  <si>
    <t xml:space="preserve">DEVOLUÇÃO DE MERCADORIAS CONF NF 1814 DE NOVO ATACADO COMERCIO DE ALIMENTOS LTDA </t>
  </si>
  <si>
    <t xml:space="preserve">DEVOLUÇÃO DE MERCADORIAS CONF NF 1815 DE NOVO ATACADO COMERCIO DE ALIMENTOS LTDA </t>
  </si>
  <si>
    <t xml:space="preserve">DEVOLUÇÃO DE MERCADORIAS CONF NF 1818 DE NOVO ATACADO COMERCIO DE ALIMENTOS LTDA </t>
  </si>
  <si>
    <t xml:space="preserve">DEVOLUÇÃO DE MERCADORIAS CONF NF 1819 DE NOVO ATACADO COMERCIO DE ALIMENTOS LTDA </t>
  </si>
  <si>
    <t xml:space="preserve">DEVOLUÇÃO DE MERCADORIAS CONF NF 1820 DE NOVO ATACADO COMERCIO DE ALIMENTOS LTDA </t>
  </si>
  <si>
    <t xml:space="preserve">DEVOLUÇÃO DE MERCADORIAS CONF NF 1821 DE NOVO ATACADO COMERCIO DE ALIMENTOS LTDA </t>
  </si>
  <si>
    <t xml:space="preserve">DEVOLUÇÃO DE MERCADORIAS CONF NF 10873 DE NOVO ATACADO COMERCIO DE ALIMENTOS LTDA </t>
  </si>
  <si>
    <t xml:space="preserve">DEVOLUÇÃO DE MERCADORIAS CONF NF 10874 DE NOVO ATACADO COMERCIO DE ALIMENTOS LTDA </t>
  </si>
  <si>
    <t xml:space="preserve">DEVOLUÇÃO DE MERCADORIAS CONF NF 1867 DE NOVO ATACADO COMERCIO DE ALIMENTOS LTDA </t>
  </si>
  <si>
    <t xml:space="preserve">DEVOLUÇÃO DE MERCADORIAS CONF NF 1868 DE NOVO ATACADO COMERCIO DE ALIMENTOS LTDA </t>
  </si>
  <si>
    <t xml:space="preserve">DEVOLUÇÃO DE MERCADORIAS CONF NF 1869 DE NOVO ATACADO COMERCIO DE ALIMENTOS LTDA </t>
  </si>
  <si>
    <t>VALOR REF. A Devoluções de Vendas de  Mercadoria - NOVO ATACAREJO LJ07 -   DOCUMENTO: 000010429/1</t>
  </si>
  <si>
    <t>VALOR REF. A Devoluções de Vendas de  Mercadoria - NOVO ATACAREJO LJ07 -   DOCUMENTO: 000009861/1</t>
  </si>
  <si>
    <t>VALOR REF. A Devoluções de Vendas de  Mercadoria - NOVO ATACAREJO LJ07 -   DOCUMENTO: 000009864/1</t>
  </si>
  <si>
    <t>VALOR REF. A Devoluções de Vendas de  Mercadoria - NOVO ATACAREJO LJ07 -   DOCUMENTO: 000009863/1</t>
  </si>
  <si>
    <t>VALOR REF. A Devoluções de Vendas de  Mercadoria - NOVO ATACAREJO LJ07 -   DOCUMENTO: 000009918/1</t>
  </si>
  <si>
    <t>VALOR REF. A Devoluções de Vendas de  Mercadoria - NOVO ATACAREJO LJ07 -   DOCUMENTO: 000010038/1</t>
  </si>
  <si>
    <t>VALOR REF. A Devoluções de Vendas de  Mercadoria - NOVO ATACAREJO LJ07 -   DOCUMENTO: 000009919/1</t>
  </si>
  <si>
    <t>VALOR REF. A Devoluções de Vendas de  Mercadoria - NOVO ATACAREJO LJ07 -   DOCUMENTO: 000010430/1</t>
  </si>
  <si>
    <t>VALOR REF. A Devoluções de Vendas de  Mercadoria - NOVO ATACAREJO LJ07 -   DOCUMENTO: 000010426/1</t>
  </si>
  <si>
    <t>VALOR REF. A Devoluções de Vendas de  Mercadoria - NOVO ATACAREJO LJ07 -   DOCUMENTO: 000010276/1</t>
  </si>
  <si>
    <t>VALOR REF. A Devoluções de Vendas de  Mercadoria - NOVO ATACAREJO LJ07 -   DOCUMENTO: 000010273/1</t>
  </si>
  <si>
    <t>VALOR REF. A Devoluções de Vendas de  Mercadoria - NOVO ATACAREJO LJ07 -   DOCUMENTO: 000009974/1</t>
  </si>
  <si>
    <t>VALOR REF. A Devoluções de Vendas de  Mercadoria - NOVO ATACAREJO LJ07 -   DOCUMENTO: 000010425/1</t>
  </si>
  <si>
    <t>VALOR REF. A Devoluções de Vendas de  Mercadoria - NOVO ATACAREJO LJ07 -   DOCUMENTO: 000010431/1</t>
  </si>
  <si>
    <t>VALOR REF. A Devoluções de Vendas de  Mercadoria - NOVO ATACAREJO LJ07 -   DOCUMENTO: 000010428/1</t>
  </si>
  <si>
    <t>VALOR REF. A Devoluções de Vendas de  Mercadoria - NOVO ATACAREJO LJ07 -   DOCUMENTO: 000010380/1</t>
  </si>
  <si>
    <t>VALOR REF. A Devoluções de Vendas de  Mercadoria - NOVO ATACAREJO LJ07 -   DOCUMENTO: 000010313/1</t>
  </si>
  <si>
    <t>VALOR REF. A Devoluções de Vendas de  Mercadoria - NOVO ATACAREJO LJ07 -   DOCUMENTO: 000010278/1</t>
  </si>
  <si>
    <t>VALOR REF. A Devoluções de Vendas de  Mercadoria - NOVO ATACAREJO LJ07 -   DOCUMENTO: 000010274/1</t>
  </si>
  <si>
    <t>VALOR REF. A Devoluções de Vendas de  Mercadoria - NOVO ATACAREJO LJ07 -   DOCUMENTO: 000010037/1</t>
  </si>
  <si>
    <t>VALOR REF. A Devoluções de Vendas de  Mercadoria - NOVO ATACAREJO LJ07 -   DOCUMENTO: 000010036/1</t>
  </si>
  <si>
    <t>VALOR REF. A Devoluções de Vendas de  Mercadoria - NOVO ATACAREJO LJ 20 -   DOCUMENTO: Dev.Ataca 04.01.23</t>
  </si>
  <si>
    <t xml:space="preserve">DEVOLUÇÃO DE MERCADORIAS CONF NF 10899 DE NOVO ATACADO COMERCIO DE ALIMENTOS LTDA </t>
  </si>
  <si>
    <t xml:space="preserve">DEVOLUÇÃO DE MERCADORIAS CONF NF 10969 DE NOVO ATACADO COMERCIO DE ALIMENTOS LTDA </t>
  </si>
  <si>
    <t xml:space="preserve">DEVOLUÇÃO DE MERCADORIAS CONF NF 1935 DE NOVO ATACADO COMERCIO DE ALIMENTOS LTDA </t>
  </si>
  <si>
    <t xml:space="preserve">DEVOLUÇÃO DE MERCADORIAS CONF NF 1936 DE NOVO ATACADO COMERCIO DE ALIMENTOS LTDA </t>
  </si>
  <si>
    <t xml:space="preserve">DEVOLUÇÃO DE MERCADORIAS CONF NF 1937 DE NOVO ATACADO COMERCIO DE ALIMENTOS LTDA </t>
  </si>
  <si>
    <t xml:space="preserve">DEVOLUÇÃO DE MERCADORIAS CONF NF 1938 DE NOVO ATACADO COMERCIO DE ALIMENTOS LTDA </t>
  </si>
  <si>
    <t xml:space="preserve">DEVOLUÇÃO DE MERCADORIAS CONF NF 1939 DE NOVO ATACADO COMERCIO DE ALIMENTOS LTDA </t>
  </si>
  <si>
    <t xml:space="preserve">DEVOLUÇÃO DE MERCADORIAS CONF NF 11011 DE NOVO ATACADO COMERCIO DE ALIMENTOS LTDA </t>
  </si>
  <si>
    <t xml:space="preserve">DEVOLUÇÃO DE MERCADORIAS CONF NF 1995 DE NOVO ATACADO COMERCIO DE ALIMENTOS LTDA </t>
  </si>
  <si>
    <t xml:space="preserve">DEVOLUÇÃO DE MERCADORIAS CONF NF 1997 DE NOVO ATACADO COMERCIO DE ALIMENTOS LTDA </t>
  </si>
  <si>
    <t xml:space="preserve">DEVOLUÇÃO DE MERCADORIAS CONF NF 1999 DE NOVO ATACADO COMERCIO DE ALIMENTOS LTDA </t>
  </si>
  <si>
    <t xml:space="preserve">DEVOLUÇÃO DE MERCADORIAS CONF NF 2021 DE NOVO ATACADO COMERCIO DE ALIMENTOS LTDA </t>
  </si>
  <si>
    <t xml:space="preserve">DEVOLUÇÃO DE MERCADORIAS CONF NF 2022 DE NOVO ATACADO COMERCIO DE ALIMENTOS LTDA </t>
  </si>
  <si>
    <t xml:space="preserve">DEVOLUÇÃO DE MERCADORIAS CONF NF 11054 DE NOVO ATACADO COMERCIO DE ALIMENTOS LTDA </t>
  </si>
  <si>
    <t xml:space="preserve">DEVOLUÇÃO DE MERCADORIAS CONF NF 2042 DE NOVO ATACADO COMERCIO DE ALIMENTOS LTDA </t>
  </si>
  <si>
    <t xml:space="preserve">DEVOLUÇÃO DE MERCADORIAS CONF NF 2043 DE NOVO ATACADO COMERCIO DE ALIMENTOS LTDA </t>
  </si>
  <si>
    <t xml:space="preserve">DEVOLUÇÃO DE MERCADORIAS CONF NF 2044 DE NOVO ATACADO COMERCIO DE ALIMENTOS LTDA </t>
  </si>
  <si>
    <t>VALOR REF. A Devoluções de Vendas de  Mercadoria - NOVO ATACAREJO LJ07 -   DOCUMENTO: 000010066/1</t>
  </si>
  <si>
    <t>VALOR REF. A Devoluções de Vendas de  Mercadoria - NOVO ATACAREJO LJ07 -   DOCUMENTO: 000010275/1</t>
  </si>
  <si>
    <t>VALOR REF. A Devoluções de Vendas de  Mercadoria - NOVO ATACAREJO LJ07 -   DOCUMENTO: 000010435/1</t>
  </si>
  <si>
    <t>VALOR REF. A Devoluções de Vendas de  Mercadoria - NOVO ATACAREJO LJ07 -   DOCUMENTO: 000010434/1</t>
  </si>
  <si>
    <t>VALOR REF. A Devoluções de Vendas de  Mercadoria - NOVO ATACAREJO LJ07 -   DOCUMENTO: 000010114/1</t>
  </si>
  <si>
    <t>VALOR REF. A Devoluções de Vendas de  Mercadoria - NOVO ATACAREJO LJ07 -   DOCUMENTO: 000010279/1</t>
  </si>
  <si>
    <t>VALOR REF. A Devoluções de Vendas de  Mercadoria - NOVO ATACAREJO LJ07 -   DOCUMENTO: 000010277/1</t>
  </si>
  <si>
    <t>VALOR REF. A Devoluções de Vendas de  Mercadoria - NOVO ATACAREJO LJ07 -   DOCUMENTO: 000010181/1</t>
  </si>
  <si>
    <t>VALOR REF. A Devoluções de Vendas de  Mercadoria - NOVO ATACAREJO LJ07 -   DOCUMENTO: 000010270/1</t>
  </si>
  <si>
    <t>VALOR REF. A Devoluções de Vendas de  Mercadoria - NOVO ATACAREJO LJ07 -   DOCUMENTO: 000010272/1</t>
  </si>
  <si>
    <t>VALOR REF. A Devoluções de Vendas de  Mercadoria - NOVO ATACAREJO LJ07 -   DOCUMENTO: 000010280/1</t>
  </si>
  <si>
    <t>VALOR REF. A Devoluções de Vendas de  Mercadoria - NOVO ATACAREJO LJ07 -   DOCUMENTO: 000010271/1</t>
  </si>
  <si>
    <t>VALOR REF. A Devoluções de Vendas de  Mercadoria - NOVO ATACAREJO LJ07 -   DOCUMENTO: 000010314/1</t>
  </si>
  <si>
    <t>VALOR REF. A Devoluções de Vendas de  Mercadoria - NOVO ATACAREJO LJ07 -   DOCUMENTO: 000010246/1</t>
  </si>
  <si>
    <t>VALOR REF. A Devoluções de Vendas de  Mercadoria - NOVO ATACAREJO LJ07 -   DOCUMENTO: 000010281/1</t>
  </si>
  <si>
    <t>VALOR REF. A Devoluções de Vendas de  Mercadoria - NOVO ATACAREJO LJ07 -   DOCUMENTO: 000010381/1</t>
  </si>
  <si>
    <t>VALOR REF. A Devoluções de Vendas de  Mercadoria - NOVO ATACAREJO LJ 20 -   DOCUMENTO: Dev.Novo 11.01.23</t>
  </si>
  <si>
    <t xml:space="preserve">DEVOLUÇÃO DE MERCADORIAS CONF NF 11088 DE NOVO ATACADO COMERCIO DE ALIMENTOS LTDA </t>
  </si>
  <si>
    <t xml:space="preserve">DEVOLUÇÃO DE MERCADORIAS CONF NF 2066 DE NOVO ATACADO COMERCIO DE ALIMENTOS LTDA </t>
  </si>
  <si>
    <t xml:space="preserve">DEVOLUÇÃO DE MERCADORIAS CONF NF 11119 DE NOVO ATACADO COMERCIO DE ALIMENTOS LTDA </t>
  </si>
  <si>
    <t xml:space="preserve">DEVOLUÇÃO DE MERCADORIAS CONF NF 11120 DE NOVO ATACADO COMERCIO DE ALIMENTOS LTDA </t>
  </si>
  <si>
    <t xml:space="preserve">DEVOLUÇÃO DE MERCADORIAS CONF NF 11121 DE NOVO ATACADO COMERCIO DE ALIMENTOS LTDA </t>
  </si>
  <si>
    <t xml:space="preserve">DEVOLUÇÃO DE MERCADORIAS CONF NF 11122 DE NOVO ATACADO COMERCIO DE ALIMENTOS LTDA </t>
  </si>
  <si>
    <t xml:space="preserve">DEVOLUÇÃO DE MERCADORIAS CONF NF 11123 DE NOVO ATACADO COMERCIO DE ALIMENTOS LTDA </t>
  </si>
  <si>
    <t xml:space="preserve">DEVOLUÇÃO DE MERCADORIAS CONF NF 11124 DE NOVO ATACADO COMERCIO DE ALIMENTOS LTDA </t>
  </si>
  <si>
    <t xml:space="preserve">DEVOLUÇÃO DE MERCADORIAS CONF NF 2091 DE NOVO ATACADO COMERCIO DE ALIMENTOS LTDA </t>
  </si>
  <si>
    <t xml:space="preserve">DEVOLUÇÃO DE MERCADORIAS CONF NF 11151 DE NOVO ATACADO COMERCIO DE ALIMENTOS LTDA </t>
  </si>
  <si>
    <t xml:space="preserve">DEVOLUÇÃO DE MERCADORIAS CONF NF 11152 DE NOVO ATACADO COMERCIO DE ALIMENTOS LTDA </t>
  </si>
  <si>
    <t xml:space="preserve">DEVOLUÇÃO DE MERCADORIAS CONF NF 11153 DE NOVO ATACADO COMERCIO DE ALIMENTOS LTDA </t>
  </si>
  <si>
    <t xml:space="preserve">DEVOLUÇÃO DE MERCADORIAS CONF NF 11154 DE NOVO ATACADO COMERCIO DE ALIMENTOS LTDA </t>
  </si>
  <si>
    <t xml:space="preserve">DEVOLUÇÃO DE MERCADORIAS CONF NF 11166 DE NOVO ATACADO COMERCIO DE ALIMENTOS LTDA </t>
  </si>
  <si>
    <t xml:space="preserve">DEVOLUÇÃO DE MERCADORIAS CONF NF 2110 DE NOVO ATACADO COMERCIO DE ALIMENTOS LTDA </t>
  </si>
  <si>
    <t xml:space="preserve">DEVOLUÇÃO DE MERCADORIAS CONF NF 2112 DE NOVO ATACADO COMERCIO DE ALIMENTOS LTDA </t>
  </si>
  <si>
    <t xml:space="preserve">DEVOLUÇÃO DE MERCADORIAS CONF NF 2113 DE NOVO ATACADO COMERCIO DE ALIMENTOS LTDA </t>
  </si>
  <si>
    <t xml:space="preserve">DEVOLUÇÃO DE MERCADORIAS CONF NF 2152 DE NOVO ATACADO COMERCIO DE ALIMENTOS LTDA </t>
  </si>
  <si>
    <t xml:space="preserve">DEVOLUÇÃO DE MERCADORIAS CONF NF 2153 DE NOVO ATACADO COMERCIO DE ALIMENTOS LTDA </t>
  </si>
  <si>
    <t xml:space="preserve">DEVOLUÇÃO DE MERCADORIAS CONF NF 2164 DE NOVO ATACADO COMERCIO DE ALIMENTOS LTDA </t>
  </si>
  <si>
    <t xml:space="preserve">DEVOLUÇÃO DE MERCADORIAS CONF NF 2168 DE NOVO ATACADO COMERCIO DE ALIMENTOS LTDA </t>
  </si>
  <si>
    <t xml:space="preserve">DEVOLUÇÃO DE MERCADORIAS CONF NF 2219 DE NOVO ATACADO COMERCIO DE ALIMENTOS LTDA </t>
  </si>
  <si>
    <t xml:space="preserve">DEVOLUÇÃO DE MERCADORIAS CONF NF 2220 DE NOVO ATACADO COMERCIO DE ALIMENTOS LTDA </t>
  </si>
  <si>
    <t>VALOR REF. A Devoluções de Vendas de  Mercadoria - NOVO ATACAREJO LJ07 -   DOCUMENTO: 000010315/1</t>
  </si>
  <si>
    <t>VALOR REF. A Devoluções de Vendas de  Mercadoria - NOVO ATACAREJO LJ07 -   DOCUMENTO: 000010287/1</t>
  </si>
  <si>
    <t>VALOR REF. A Devoluções de Vendas de  Mercadoria - NOVO ATACAREJO LJ07 -   DOCUMENTO: 000010464/1</t>
  </si>
  <si>
    <t>VALOR REF. A Devoluções de Vendas de  Mercadoria - NOVO ATACAREJO LJ07 -   DOCUMENTO: 000010436/1</t>
  </si>
  <si>
    <t>VALOR REF. A Devoluções de Vendas de  Mercadoria - NOVO ATACAREJO LJ07 -   DOCUMENTO: 000010333/1</t>
  </si>
  <si>
    <t>VALOR REF. A Devoluções de Vendas de  Mercadoria - NOVO ATACAREJO LJ07 -   DOCUMENTO: 000010415/1</t>
  </si>
  <si>
    <t>VALOR REF. A Devoluções de Vendas de  Mercadoria - NOVO ATACAREJO LJ07 -   DOCUMENTO: 000010417/1</t>
  </si>
  <si>
    <t>VALOR REF. A Devoluções de Vendas de  Mercadoria - NOVO ATACAREJO LJ07 -   DOCUMENTO: 000010421/1</t>
  </si>
  <si>
    <t>VALOR REF. A Devoluções de Vendas de  Mercadoria - NOVO ATACAREJO LJ07 -   DOCUMENTO: 000010437/1</t>
  </si>
  <si>
    <t>VALOR REF. A Devoluções de Vendas de  Mercadoria - NOVO ATACAREJO LJ07 -   DOCUMENTO: 000010465/1</t>
  </si>
  <si>
    <t>VALOR REF. A Devoluções de Vendas de  Mercadoria - NOVO ATACAREJO LJ07 -   DOCUMENTO: 000010427/1</t>
  </si>
  <si>
    <t>VALOR REF. A Devoluções de Vendas de  Mercadoria - NOVO ATACAREJO LJ07 -   DOCUMENTO: 000010416/1</t>
  </si>
  <si>
    <t>VALOR REF. A Devoluções de Vendas de  Mercadoria - NOVO ATACAREJO LJ07 -   DOCUMENTO: 000010418/1</t>
  </si>
  <si>
    <t>VALOR REF. A Devoluções de Vendas de  Mercadoria - NOVO ATACAREJO LJ07 -   DOCUMENTO: 000010422/1</t>
  </si>
  <si>
    <t>VALOR REF. A Devoluções de Vendas de  Mercadoria - NOVO ATACAREJO LJ07 -   DOCUMENTO: 000010424/1</t>
  </si>
  <si>
    <t>VALOR REF. A Devoluções de Vendas de  Mercadoria - NOVO ATACAREJO LJ07 -   DOCUMENTO: 000010438/1</t>
  </si>
  <si>
    <t>VALOR REF. A Devoluções de Vendas de  Mercadoria - NOVO ATACAREJO LJ07 -   DOCUMENTO: 000010466/1</t>
  </si>
  <si>
    <t>VALOR REF. A Devoluções de Vendas de  Mercadoria - NOVO ATACAREJO LJ07 -   DOCUMENTO: 000010391/1</t>
  </si>
  <si>
    <t>VALOR REF. A Devoluções de Vendas de  Mercadoria - NOVO ATACAREJO LJ07 -   DOCUMENTO: 000010517/1</t>
  </si>
  <si>
    <t xml:space="preserve">DEVOLUÇÃO DE MERCADORIAS CONF NF 11272 DE NOVO ATACADO COMERCIO DE ALIMENTOS LTDA </t>
  </si>
  <si>
    <t xml:space="preserve">DEVOLUÇÃO DE MERCADORIAS CONF NF 2233 DE NOVO ATACADO COMERCIO DE ALIMENTOS LTDA </t>
  </si>
  <si>
    <t xml:space="preserve">DEVOLUÇÃO DE MERCADORIAS CONF NF 2234 DE NOVO ATACADO COMERCIO DE ALIMENTOS LTDA </t>
  </si>
  <si>
    <t xml:space="preserve">DEVOLUÇÃO DE MERCADORIAS CONF NF 11287 DE NOVO ATACADO COMERCIO DE ALIMENTOS LTDA </t>
  </si>
  <si>
    <t xml:space="preserve">DEVOLUÇÃO DE MERCADORIAS CONF NF 11288 DE NOVO ATACADO COMERCIO DE ALIMENTOS LTDA </t>
  </si>
  <si>
    <t xml:space="preserve">DEVOLUÇÃO DE MERCADORIAS CONF NF 11289 DE NOVO ATACADO COMERCIO DE ALIMENTOS LTDA </t>
  </si>
  <si>
    <t xml:space="preserve">DEVOLUÇÃO DE MERCADORIAS CONF NF 2282 DE NOVO ATACADO COMERCIO DE ALIMENTOS LTDA </t>
  </si>
  <si>
    <t xml:space="preserve">DEVOLUÇÃO DE MERCADORIAS CONF NF 2283 DE NOVO ATACADO COMERCIO DE ALIMENTOS LTDA </t>
  </si>
  <si>
    <t xml:space="preserve">DEVOLUÇÃO DE MERCADORIAS CONF NF 11308 DE NOVO ATACADO COMERCIO DE ALIMENTOS LTDA </t>
  </si>
  <si>
    <t xml:space="preserve">DEVOLUÇÃO DE MERCADORIAS CONF NF 2294 DE NOVO ATACADO COMERCIO DE ALIMENTOS LTDA </t>
  </si>
  <si>
    <t xml:space="preserve">DEVOLUÇÃO DE MERCADORIAS CONF NF 11332 DE NOVO ATACADO COMERCIO DE ALIMENTOS LTDA </t>
  </si>
  <si>
    <t xml:space="preserve">DEVOLUÇÃO DE MERCADORIAS CONF NF 2343 DE NOVO ATACADO COMERCIO DE ALIMENTOS LTDA </t>
  </si>
  <si>
    <t xml:space="preserve">DEVOLUÇÃO DE MERCADORIAS CONF NF 2344 DE NOVO ATACADO COMERCIO DE ALIMENTOS LTDA </t>
  </si>
  <si>
    <t xml:space="preserve">DEVOLUÇÃO DE MERCADORIAS CONF NF 2345 DE NOVO ATACADO COMERCIO DE ALIMENTOS LTDA </t>
  </si>
  <si>
    <t xml:space="preserve">DEVOLUÇÃO DE MERCADORIAS CONF NF 2346 DE NOVO ATACADO COMERCIO DE ALIMENTOS LTDA </t>
  </si>
  <si>
    <t xml:space="preserve">DEVOLUÇÃO DE MERCADORIAS CONF NF 2347 DE NOVO ATACADO COMERCIO DE ALIMENTOS LTDA </t>
  </si>
  <si>
    <t xml:space="preserve">DEVOLUÇÃO DE MERCADORIAS CONF NF 11361 DE NOVO ATACADO COMERCIO DE ALIMENTOS LTDA </t>
  </si>
  <si>
    <t xml:space="preserve">DEVOLUÇÃO DE MERCADORIAS CONF NF 2362 DE NOVO ATACADO COMERCIO DE ALIMENTOS LTDA </t>
  </si>
  <si>
    <t>VALOR REF. A Devoluções de Vendas de  Mercadoria - NOVO ATACAREJO LJ07 -   DOCUMENTO: 000010508/1</t>
  </si>
  <si>
    <t>VALOR REF. A Devoluções de Vendas de  Mercadoria - NOVO ATACAREJO LJ07 -   DOCUMENTO: 000010518/1</t>
  </si>
  <si>
    <t>VALOR REF. A Devoluções de Vendas de  Mercadoria - NOVO ATACAREJO LJ07 -   DOCUMENTO: 000010577/1</t>
  </si>
  <si>
    <t>VALOR REF. A Devoluções de Vendas de  Mercadoria - NOVO ATACAREJO LJ07 -   DOCUMENTO: 000010524/1</t>
  </si>
  <si>
    <t>VALOR REF. A Devoluções de Vendas de  Mercadoria - NOVO ATACAREJO LJ07 -   DOCUMENTO: 000010726/1</t>
  </si>
  <si>
    <t>VALOR REF. A Devoluções de Vendas de  Mercadoria - NOVO ATACAREJO LJ07 -   DOCUMENTO: 000010687/1</t>
  </si>
  <si>
    <t>VALOR REF. A Devoluções de Vendas de  Mercadoria - NOVO ATACAREJO LJ07 -   DOCUMENTO: 000010727/1</t>
  </si>
  <si>
    <t>VALOR REF. A Devoluções de Vendas de  Mercadoria - NOVO ATACAREJO LJ07 -   DOCUMENTO: 000010643/1</t>
  </si>
  <si>
    <t>VALOR REF. A Devoluções de Vendas de  Mercadoria - NOVO ATACAREJO LJ 20 -   DOCUMENTO: 000001027/1</t>
  </si>
  <si>
    <t>VALOR REF. A Devoluções de Vendas de  Mercadoria - NOVO ATACAREJO LJ 20 -   DOCUMENTO: 000000883/1</t>
  </si>
  <si>
    <t>VALOR REF. A Devoluções de Vendas de  Mercadoria - NOVO ATACAREJO LJ 20 -   DOCUMENTO: 000001028/1</t>
  </si>
  <si>
    <t>VALOR REF. A Devoluções de Vendas de  Mercadoria - NOVO ATACAREJO LJ 20 -   DOCUMENTO: 000000884/1</t>
  </si>
  <si>
    <t>VALOR REF. A Devoluções de Vendas de  Mercadoria - NOVO ATACAREJO LJ 20 -   DOCUMENTO: 000000885/1</t>
  </si>
  <si>
    <t>VALOR REF. A Devoluções de Vendas de  Mercadoria - NOVO ATACAREJO LJ 20 -   DOCUMENTO: 000000882/1</t>
  </si>
  <si>
    <t>VALOR REF. A Devoluções de Vendas de  Mercadoria - NOVO ATACAREJO LJ 20 -   DOCUMENTO: 000000933/1</t>
  </si>
  <si>
    <t>VALOR REF. A Devoluções de Vendas de  Mercadoria - NOVO ATACAREJO LJ 20 -   DOCUMENTO: 000000998/1</t>
  </si>
  <si>
    <t xml:space="preserve">DEVOLUÇÃO DE MERCADORIAS CONF NF 11404 DE NOVO ATACADO COMERCIO DE ALIMENTOS LTDA </t>
  </si>
  <si>
    <t xml:space="preserve">DEVOLUÇÃO DE MERCADORIAS CONF NF 2395 DE NOVO ATACADO COMERCIO DE ALIMENTOS LTDA </t>
  </si>
  <si>
    <t xml:space="preserve">DEVOLUÇÃO DE MERCADORIAS CONF NF 2396 DE NOVO ATACADO COMERCIO DE ALIMENTOS LTDA </t>
  </si>
  <si>
    <t xml:space="preserve">DEVOLUÇÃO DE MERCADORIAS CONF NF 2397 DE NOVO ATACADO COMERCIO DE ALIMENTOS LTDA </t>
  </si>
  <si>
    <t xml:space="preserve">DEVOLUÇÃO DE MERCADORIAS CONF NF 2401 DE NOVO ATACADO COMERCIO DE ALIMENTOS LTDA </t>
  </si>
  <si>
    <t xml:space="preserve">DEVOLUÇÃO DE MERCADORIAS CONF NF 11443 DE NOVO ATACADO COMERCIO DE ALIMENTOS LTDA </t>
  </si>
  <si>
    <t xml:space="preserve">DEVOLUÇÃO DE MERCADORIAS CONF NF 11444 DE NOVO ATACADO COMERCIO DE ALIMENTOS LTDA </t>
  </si>
  <si>
    <t xml:space="preserve">DEVOLUÇÃO DE MERCADORIAS CONF NF 11445 DE NOVO ATACADO COMERCIO DE ALIMENTOS LTDA </t>
  </si>
  <si>
    <t xml:space="preserve">DEVOLUÇÃO DE MERCADORIAS CONF NF 11446 DE NOVO ATACADO COMERCIO DE ALIMENTOS LTDA </t>
  </si>
  <si>
    <t xml:space="preserve">DEVOLUÇÃO DE MERCADORIAS CONF NF 11447 DE NOVO ATACADO COMERCIO DE ALIMENTOS LTDA </t>
  </si>
  <si>
    <t xml:space="preserve">DEVOLUÇÃO DE MERCADORIAS CONF NF 11448 DE NOVO ATACADO COMERCIO DE ALIMENTOS LTDA </t>
  </si>
  <si>
    <t xml:space="preserve">DEVOLUÇÃO DE MERCADORIAS CONF NF 11449 DE NOVO ATACADO COMERCIO DE ALIMENTOS LTDA </t>
  </si>
  <si>
    <t xml:space="preserve">DEVOLUÇÃO DE MERCADORIAS CONF NF 2427 DE NOVO ATACADO COMERCIO DE ALIMENTOS LTDA </t>
  </si>
  <si>
    <t xml:space="preserve">DEVOLUÇÃO DE MERCADORIAS CONF NF 2428 DE NOVO ATACADO COMERCIO DE ALIMENTOS LTDA </t>
  </si>
  <si>
    <t xml:space="preserve">DEVOLUÇÃO DE MERCADORIAS CONF NF 2429 DE NOVO ATACADO COMERCIO DE ALIMENTOS LTDA </t>
  </si>
  <si>
    <t xml:space="preserve">DEVOLUÇÃO DE MERCADORIAS CONF NF 11488 DE NOVO ATACADO COMERCIO DE ALIMENTOS LTDA </t>
  </si>
  <si>
    <t xml:space="preserve">DEVOLUÇÃO DE MERCADORIAS CONF NF 11489 DE NOVO ATACADO COMERCIO DE ALIMENTOS LTDA </t>
  </si>
  <si>
    <t xml:space="preserve">DEVOLUÇÃO DE MERCADORIAS CONF NF 11490 DE NOVO ATACADO COMERCIO DE ALIMENTOS LTDA </t>
  </si>
  <si>
    <t xml:space="preserve">DEVOLUÇÃO DE MERCADORIAS CONF NF 11491 DE NOVO ATACADO COMERCIO DE ALIMENTOS LTDA </t>
  </si>
  <si>
    <t xml:space="preserve">DEVOLUÇÃO DE MERCADORIAS CONF NF 11492 DE NOVO ATACADO COMERCIO DE ALIMENTOS LTDA </t>
  </si>
  <si>
    <t xml:space="preserve">DEVOLUÇÃO DE MERCADORIAS CONF NF 2456 DE NOVO ATACADO COMERCIO DE ALIMENTOS LTDA </t>
  </si>
  <si>
    <t xml:space="preserve">DEVOLUÇÃO DE MERCADORIAS CONF NF 2457 DE NOVO ATACADO COMERCIO DE ALIMENTOS LTDA </t>
  </si>
  <si>
    <t xml:space="preserve">DEVOLUÇÃO DE MERCADORIAS CONF NF 11533 DE NOVO ATACADO COMERCIO DE ALIMENTOS LTDA </t>
  </si>
  <si>
    <t xml:space="preserve">DEVOLUÇÃO DE MERCADORIAS CONF NF 11534 DE NOVO ATACADO COMERCIO DE ALIMENTOS LTDA </t>
  </si>
  <si>
    <t xml:space="preserve">DEVOLUÇÃO DE MERCADORIAS CONF NF 11535 DE NOVO ATACADO COMERCIO DE ALIMENTOS LTDA </t>
  </si>
  <si>
    <t xml:space="preserve">DEVOLUÇÃO DE MERCADORIAS CONF NF 11536 DE NOVO ATACADO COMERCIO DE ALIMENTOS LTDA </t>
  </si>
  <si>
    <t xml:space="preserve">DEVOLUÇÃO DE MERCADORIAS CONF NF 11537 DE NOVO ATACADO COMERCIO DE ALIMENTOS LTDA </t>
  </si>
  <si>
    <t xml:space="preserve">DEVOLUÇÃO DE MERCADORIAS CONF NF 2494 DE NOVO ATACADO COMERCIO DE ALIMENTOS LTDA </t>
  </si>
  <si>
    <t xml:space="preserve">DEVOLUÇÃO DE MERCADORIAS CONF NF 2495 DE NOVO ATACADO COMERCIO DE ALIMENTOS LTDA </t>
  </si>
  <si>
    <t xml:space="preserve">DEVOLUÇÃO DE MERCADORIAS CONF NF 11564 DE NOVO ATACADO COMERCIO DE ALIMENTOS LTDA </t>
  </si>
  <si>
    <t xml:space="preserve">DEVOLUÇÃO DE MERCADORIAS CONF NF 11574 DE NOVO ATACADO COMERCIO DE ALIMENTOS LTDA </t>
  </si>
  <si>
    <t xml:space="preserve">DEVOLUÇÃO DE MERCADORIAS CONF NF 11575 DE NOVO ATACADO COMERCIO DE ALIMENTOS LTDA </t>
  </si>
  <si>
    <t xml:space="preserve">DEVOLUÇÃO DE MERCADORIAS CONF NF 11576 DE NOVO ATACADO COMERCIO DE ALIMENTOS LTDA </t>
  </si>
  <si>
    <t xml:space="preserve">DEVOLUÇÃO DE MERCADORIAS CONF NF 2514 DE NOVO ATACADO COMERCIO DE ALIMENTOS LTDA </t>
  </si>
  <si>
    <t xml:space="preserve">DEVOLUÇÃO DE MERCADORIAS CONF NF 2515 DE NOVO ATACADO COMERCIO DE ALIMENTOS LTDA </t>
  </si>
  <si>
    <t xml:space="preserve">DEVOLUÇÃO DE MERCADORIAS CONF NF 2516 DE NOVO ATACADO COMERCIO DE ALIMENTOS LTDA </t>
  </si>
  <si>
    <t xml:space="preserve">DEVOLUÇÃO DE MERCADORIAS CONF NF 11592 DE NOVO ATACADO COMERCIO DE ALIMENTOS LTDA </t>
  </si>
  <si>
    <t xml:space="preserve">DEVOLUÇÃO DE MERCADORIAS CONF NF 11593 DE NOVO ATACADO COMERCIO DE ALIMENTOS LTDA </t>
  </si>
  <si>
    <t xml:space="preserve">DEVOLUÇÃO DE MERCADORIAS CONF NF 11594 DE NOVO ATACADO COMERCIO DE ALIMENTOS LTDA </t>
  </si>
  <si>
    <t xml:space="preserve">DEVOLUÇÃO DE MERCADORIAS CONF NF 11595 DE NOVO ATACADO COMERCIO DE ALIMENTOS LTDA </t>
  </si>
  <si>
    <t xml:space="preserve">DEVOLUÇÃO DE MERCADORIAS CONF NF 11596 DE NOVO ATACADO COMERCIO DE ALIMENTOS LTDA </t>
  </si>
  <si>
    <t xml:space="preserve">DEVOLUÇÃO DE MERCADORIAS CONF NF 11597 DE NOVO ATACADO COMERCIO DE ALIMENTOS LTDA </t>
  </si>
  <si>
    <t xml:space="preserve">DEVOLUÇÃO DE MERCADORIAS CONF NF 11598 DE NOVO ATACADO COMERCIO DE ALIMENTOS LTDA </t>
  </si>
  <si>
    <t xml:space="preserve">DEVOLUÇÃO DE MERCADORIAS CONF NF 11599 DE NOVO ATACADO COMERCIO DE ALIMENTOS LTDA </t>
  </si>
  <si>
    <t xml:space="preserve">DEVOLUÇÃO DE MERCADORIAS CONF NF 11600 DE NOVO ATACADO COMERCIO DE ALIMENTOS LTDA </t>
  </si>
  <si>
    <t xml:space="preserve">DEVOLUÇÃO DE MERCADORIAS CONF NF 11601 DE NOVO ATACADO COMERCIO DE ALIMENTOS LTDA </t>
  </si>
  <si>
    <t xml:space="preserve">DEVOLUÇÃO DE MERCADORIAS CONF NF 11602 DE NOVO ATACADO COMERCIO DE ALIMENTOS LTDA </t>
  </si>
  <si>
    <t xml:space="preserve">DEVOLUÇÃO DE MERCADORIAS CONF NF 2544 DE NOVO ATACADO COMERCIO DE ALIMENTOS LTDA </t>
  </si>
  <si>
    <t xml:space="preserve">DEVOLUÇÃO DE MERCADORIAS CONF NF 32492 DE SUPERMERCADO NORDESTAO LTDA </t>
  </si>
  <si>
    <t xml:space="preserve">DEVOLUÇÃO DE MERCADORIAS CONF NF 13364 DE SUPERMERCADO NORDESTAO LTDA </t>
  </si>
  <si>
    <t xml:space="preserve">DEVOLUÇÃO DE MERCADORIAS CONF NF 15566 DE SUPERMERCADO NORDESTAO LTDA </t>
  </si>
  <si>
    <t>VALOR REF. A Devoluções de Vendas de  Mercadoria - SUPERMERCADO NORDESTAO  LTDA (L.03) -  DOCUMENTO: Dev.Nord.05.01. 23</t>
  </si>
  <si>
    <t xml:space="preserve">DEVOLUÇÃO DE MERCADORIAS CONF NF 32632 DE SUPERMERCADO NORDESTAO LTDA </t>
  </si>
  <si>
    <t xml:space="preserve">DEVOLUÇÃO DE MERCADORIAS CONF NF 32634 DE SUPERMERCADO NORDESTAO LTDA </t>
  </si>
  <si>
    <t xml:space="preserve">DEVOLUÇÃO DE MERCADORIAS CONF NF 32653 DE SUPERMERCADO NORDESTAO LTDA </t>
  </si>
  <si>
    <t xml:space="preserve">DEVOLUÇÃO DE MERCADORIAS CONF NF 12302 DE SUPERMERCADO NORDESTAO LTDA </t>
  </si>
  <si>
    <t xml:space="preserve">DEVOLUÇÃO DE MERCADORIAS CONF NF 15639 DE SUPERMERCADO NORDESTAO LTDA </t>
  </si>
  <si>
    <t xml:space="preserve">DEVOLUÇÃO DE MERCADORIAS CONF NF 32737 DE SUPERMERCADO NORDESTAO LTDA </t>
  </si>
  <si>
    <t xml:space="preserve">DEVOLUÇÃO DE MERCADORIAS CONF NF 12342 DE SUPERMERCADO NORDESTAO LTDA </t>
  </si>
  <si>
    <t xml:space="preserve">DEVOLUÇÃO DE MERCADORIAS CONF NF 12350 DE SUPERMERCADO NORDESTAO LTDA </t>
  </si>
  <si>
    <t xml:space="preserve">DEVOLUÇÃO DE MERCADORIAS CONF NF 13456 DE SUPERMERCADO NORDESTAO LTDA </t>
  </si>
  <si>
    <t xml:space="preserve">DEVOLUÇÃO DE MERCADORIAS CONF NF 15690 DE SUPERMERCADO NORDESTAO LTDA </t>
  </si>
  <si>
    <t xml:space="preserve">DEVOLUÇÃO DE MERCADORIAS CONF NF 13530 DE SUPERMERCADO NORDESTAO LTDA </t>
  </si>
  <si>
    <t xml:space="preserve">DEVOLUÇÃO DE MERCADORIAS CONF NF 15776 DE SUPERMERCADO NORDESTAO LTDA </t>
  </si>
  <si>
    <t xml:space="preserve">DEVOLUÇÃO DE MERCADORIAS CONF NF 33001 DE SUPERMERCADO NORDESTAO LTDA </t>
  </si>
  <si>
    <t xml:space="preserve">DEVOLUÇÃO DE MERCADORIAS CONF NF 33066 DE SUPERMERCADO NORDESTAO LTDA </t>
  </si>
  <si>
    <t xml:space="preserve">DEVOLUÇÃO DE MERCADORIAS CONF NF 12510 DE SUPERMERCADO NORDESTAO LTDA </t>
  </si>
  <si>
    <t xml:space="preserve">DEVOLUÇÃO DE MERCADORIAS CONF NF 13609 DE SUPERMERCADO NORDESTAO LTDA </t>
  </si>
  <si>
    <t xml:space="preserve">DEVOLUÇÃO DE MERCADORIAS CONF NF  11278 DE SUPERMERCADO NORDESTAO  LTDA (L.08) </t>
  </si>
  <si>
    <t xml:space="preserve">DEVOLUÇÃO DE MERCADORIAS CONF NF 13633 DE SUPERMERCADO NORDESTAO LTDA </t>
  </si>
  <si>
    <t xml:space="preserve">DEVOLUÇÃO DE MERCADORIAS CONF NF 33233 DE SUPERMERCADO NORDESTAO LTDA </t>
  </si>
  <si>
    <t xml:space="preserve">DEVOLUÇÃO DE MERCADORIAS CONF NF 33234 DE SUPERMERCADO NORDESTAO LTDA </t>
  </si>
  <si>
    <t xml:space="preserve">DEVOLUÇÃO DE MERCADORIAS CONF NF 15942 DE SUPERMERCADO NORDESTAO LTDA </t>
  </si>
  <si>
    <t>VALOR REF. A Devoluções de Vendas de  Mercadoria - SUPERMERCADO NORDESTÃO  LTDA (L.09) -  DOCUMENTO: 000014290/1</t>
  </si>
  <si>
    <t>VALOR REF. A Devoluções de Vendas de  Mercadoria - SUPERMERCADO NORDESTAO  LTDA (L.03) -  DOCUMENTO: 000029425/1</t>
  </si>
  <si>
    <t>VALOR REF. A Devoluções de Vendas de  Mercadoria - SUPERMERCADO NORDESTAO  LTDA (L.03) -  DOCUMENTO: 000029426/1</t>
  </si>
  <si>
    <t>VALOR REF. A Devoluções de Vendas de  Mercadoria - SUPERMERCADO NORDESTAO  LTDA (L.04) -  DOCUMENTO: 000011134/1</t>
  </si>
  <si>
    <t>VALOR REF. A Devoluções de Vendas de  Mercadoria - SUPERMERCADO NORDESTÃO  LTDA (L.09) -  DOCUMENTO: 000014307/1</t>
  </si>
  <si>
    <t>VALOR REF. A Devoluções de Vendas de  Mercadoria - SUPERMERCADO NORDESTAO  LTDA (L.03) -  DOCUMENTO: 000029586/1</t>
  </si>
  <si>
    <t>VALOR REF. A Devoluções de Vendas de  Mercadoria - SUPERMERCADO NORDESTAO  LTDA (L.03) -  DOCUMENTO: 000029585/1</t>
  </si>
  <si>
    <t>VALOR REF. A Devoluções de Vendas de  Mercadoria - SUPERMERCADO NORDESTÃO  LTDA (L.09) -  DOCUMENTO: 000014377/1</t>
  </si>
  <si>
    <t>VALOR REF. A Devoluções de Vendas de  Mercadoria - SUPERMERCADO NORDESTAO  LTDA (L.07) -  DOCUMENTO: 000012302/1</t>
  </si>
  <si>
    <t>VALOR REF. A Devoluções de Vendas de  Mercadoria - SUPERMERCADO NORDESTAO  LTDA (L.07) -  DOCUMENTO: 000012301/1</t>
  </si>
  <si>
    <t>VALOR REF. A Devoluções de Vendas de  Mercadoria - SUPERMERCADO NORDESTAO  LTDA (L.04) -  DOCUMENTO: 000011235/1</t>
  </si>
  <si>
    <t>VALOR REF. A Devoluções de Vendas de  Mercadoria - SUPERMERCADO NORDESTAO  LTDA (L.03) -  DOCUMENTO: 000029747/1</t>
  </si>
  <si>
    <t>VALOR REF. A Devoluções de Vendas de  Mercadoria - SUPERMERCADO NORDESTAO  LTDA (L.03) -  DOCUMENTO: 000029748/1</t>
  </si>
  <si>
    <t>VALOR REF. A Devoluções de Vendas de  Mercadoria - SUPERMERCADO NORDESTÃO  LTDA (L.09) -  DOCUMENTO: 000014448/1</t>
  </si>
  <si>
    <t>VALOR REF. A Devoluções de Vendas de  Mercadoria - SUPERMERCADO NORDESTAO  LTDA (L.07) -  DOCUMENTO: 000012366/1</t>
  </si>
  <si>
    <t>VALOR REF. A Devoluções de Vendas de  Mercadoria - SUPERMERCADO NORDESTAO  LTDA (L.05) -  DOCUMENTO: 000013830/1</t>
  </si>
  <si>
    <t>VALOR REF. A Devoluções de Vendas de  Mercadoria - SUPERMERCADO NORDESTAO  LTDA (L.07) -  DOCUMENTO: 000012442/1</t>
  </si>
  <si>
    <t>VALOR REF. A Devoluções de Vendas de  Mercadoria - SUPERMERCADO NORDESTAO  LTDA (L.03) -  DOCUMENTO: 000029929/1</t>
  </si>
  <si>
    <t>VALOR REF. A Devoluções de Vendas de  Mercadoria - SUPERMERCADO NORDESTAO  LTDA (L.05) -  DOCUMENTO: 000013858/1</t>
  </si>
  <si>
    <t>VALOR REF. A Devoluções de Vendas de  Mercadoria - SUPERMERCADO NORDESTÃO  LTDA (L.09) -  DOCUMENTO: 000014535/1</t>
  </si>
  <si>
    <t>VALOR REF. A Devoluções de Vendas de  Mercadoria - SUPERMERCADO NORDESTÃO  LTDA (L.09) -  DOCUMENTO: 000014529/1</t>
  </si>
  <si>
    <t>VALOR REF. A Devoluções de Vendas de  Mercadoria - SUPERMERCADO NORDESTÃO  LTDA (L.09) -  DOCUMENTO: 000014562/1</t>
  </si>
  <si>
    <t>VALOR REF. A Devoluções de Vendas de  Mercadoria - SUPERMERCADO NORDESTAO  LTDA (L.04) -  DOCUMENTO: 000011338/1</t>
  </si>
  <si>
    <t>VALOR REF. A Devoluções de Vendas de  Mercadoria - SUPERMERCADO NORDESTÃO  LTDA (L.09) -  DOCUMENTO: 000014587/1</t>
  </si>
  <si>
    <t>VALOR REF. A Devoluções de Vendas de  Mercadoria - SUPERMERCADO NORDESTAO  LTDA (L.04) -  DOCUMENTO: 000011360/1</t>
  </si>
  <si>
    <t>VALOR REF. A Devoluções de Vendas de  Mercadoria - SUPERMERCADO NORDESTAO  LTDA (L.03) -  DOCUMENTO: 000030113/1</t>
  </si>
  <si>
    <t>VALOR REF. A Devoluções de Vendas de  Mercadoria - SUPERMERCADO NORDESTAO  LTDA (L.03) -  DOCUMENTO: 000030112/1</t>
  </si>
  <si>
    <t xml:space="preserve">DEVOLUÇÃO DE MERCADORIAS CONF NF 33378 DE SUPERMERCADO NORDESTAO LTDA </t>
  </si>
  <si>
    <t xml:space="preserve">DEVOLUÇÃO DE MERCADORIAS CONF NF 12665 DE SUPERMERCADO NORDESTAO LTDA </t>
  </si>
  <si>
    <t xml:space="preserve">DEVOLUÇÃO DE MERCADORIAS CONF NF 16017 DE SUPERMERCADO NORDESTAO LTDA </t>
  </si>
  <si>
    <t xml:space="preserve">DEVOLUÇÃO DE MERCADORIAS CONF NF 16018 DE SUPERMERCADO NORDESTAO LTDA </t>
  </si>
  <si>
    <t xml:space="preserve">DEVOLUÇÃO DE MERCADORIAS CONF NF 33540 DE SUPERMERCADO NORDESTAO LTDA </t>
  </si>
  <si>
    <t xml:space="preserve">DEVOLUÇÃO DE MERCADORIAS CONF NF 33541 DE SUPERMERCADO NORDESTAO LTDA </t>
  </si>
  <si>
    <t xml:space="preserve">DEVOLUÇÃO DE MERCADORIAS CONF NF 16100 DE SUPERMERCADO NORDESTAO LTDA </t>
  </si>
  <si>
    <t xml:space="preserve">DEVOLUÇÃO DE MERCADORIAS CONF NF  11485 DE SUPERMERCADO NORDESTAO  LTDA (L.08) </t>
  </si>
  <si>
    <t xml:space="preserve">DEVOLUÇÃO DE MERCADORIAS CONF NF 16178 DE SUPERMERCADO NORDESTAO LTDA </t>
  </si>
  <si>
    <t xml:space="preserve">DEVOLUÇÃO DE MERCADORIAS CONF NF 16227 DE SUPERMERCADO NORDESTAO LTDA </t>
  </si>
  <si>
    <t xml:space="preserve">DEVOLUÇÃO DE MERCADORIAS CONF NF 33847 DE SUPERMERCADO NORDESTAO LTDA </t>
  </si>
  <si>
    <t xml:space="preserve">DEVOLUÇÃO DE MERCADORIAS CONF NF 15759 DE SUPERMERCADO NORDESTAO LTDA </t>
  </si>
  <si>
    <t xml:space="preserve">DEVOLUÇÃO DE MERCADORIAS CONF NF 13925 DE SUPERMERCADO NORDESTAO LTDA </t>
  </si>
  <si>
    <t xml:space="preserve">DEVOLUÇÃO DE MERCADORIAS CONF NF 16267 DE SUPERMERCADO NORDESTAO LTDA </t>
  </si>
  <si>
    <t>VALOR REF. A Devoluções de Vendas de  Mercadoria - SUPERMERCADO NORDESTAO  LTDA (L.07) -  DOCUMENTO: 000012530/1</t>
  </si>
  <si>
    <t>VALOR REF. A Devoluções de Vendas de  Mercadoria - SUPERMERCADO NORDESTAO  LTDA (L.04) -  DOCUMENTO: 000011412/1</t>
  </si>
  <si>
    <t>VALOR REF. A Devoluções de Vendas de  Mercadoria - SUPERMERCADO NORDESTÃO  LTDA (L.09) -  DOCUMENTO: 000014656/1</t>
  </si>
  <si>
    <t>VALOR REF. A Devoluções de Vendas de  Mercadoria - SUPERMERCADO NORDESTAO  LTDA (L.03) -  DOCUMENTO: 000030274/1</t>
  </si>
  <si>
    <t>VALOR REF. A Devoluções de Vendas de  Mercadoria - SUPERMERCADO NORDESTAO  LTDA (L.03) -  DOCUMENTO: 000030270/1</t>
  </si>
  <si>
    <t>VALOR REF. A Devoluções de Vendas de  Mercadoria - SUPERMERCADO NORDESTAO  LTDA (L.04) -  DOCUMENTO: 000011441/1</t>
  </si>
  <si>
    <t>VALOR REF. A Devoluções de Vendas de  Mercadoria - SUPERMERCADO NORDESTAO  LTDA (L.05) -  DOCUMENTO: 000014086/1</t>
  </si>
  <si>
    <t>VALOR REF. A Devoluções de Vendas de  Mercadoria - SUPERMERCADO NORDESTAO  LTDA (L.03) -  DOCUMENTO: 000030431/1</t>
  </si>
  <si>
    <t>VALOR REF. A Devoluções de Vendas de  Mercadoria - SUPERMERCADO NORDESTÃO  LTDA (L.09) -  DOCUMENTO: 000014723/1</t>
  </si>
  <si>
    <t>VALOR REF. A Devoluções de Vendas de  Mercadoria - SUPERMERCADO NORDESTÃO  LTDA (L.09) -  DOCUMENTO: 000014724/1</t>
  </si>
  <si>
    <t>VALOR REF. A Devoluções de Vendas de  Mercadoria - SUPERMERCADO NORDESTAO  LTDA (L.05) -  DOCUMENTO: 000014112/1</t>
  </si>
  <si>
    <t>VALOR REF. A Devoluções de Vendas de  Mercadoria - SUPERMERCADO NORDESTAO  LTDA (L.03) -  DOCUMENTO: 000030653/1</t>
  </si>
  <si>
    <t>VALOR REF. A Devoluções de Vendas de  Mercadoria - SUPERMERCADO NORDESTAO  LTDA (L.03) -  DOCUMENTO: 000030652/1</t>
  </si>
  <si>
    <t>VALOR REF. A Devoluções de Vendas de  Mercadoria - SUPERMERCADO NORDESTÃO  LTDA (L.09) -  DOCUMENTO: 000014810/1</t>
  </si>
  <si>
    <t>VALOR REF. A Devoluções de Vendas de  Mercadoria - SUPERMERCADO NORDESTÃO  LTDA (L.09) -  DOCUMENTO: 000014858/1</t>
  </si>
  <si>
    <t>VALOR REF. A Devoluções de Vendas de  Mercadoria - SUPERMERCADO NORDESTAO  LTDA (L.05) -  DOCUMENTO: 000014217/1</t>
  </si>
  <si>
    <t>VALOR REF. A Devoluções de Vendas de  Mercadoria - SUPERMERCADO NORDESTAO  LTDA (L.03) -  DOCUMENTO: 000030835/1</t>
  </si>
  <si>
    <t>VALOR REF. A Devoluções de Vendas de  Mercadoria - SUPERMERCADO NORDESTAO  LTDA (L.03) -  DOCUMENTO: 000030836/1</t>
  </si>
  <si>
    <t xml:space="preserve">DEVOLUÇÃO DE MERCADORIAS CONF NF 101370 DE SUPERMERCADO NORDESTAO LTDA </t>
  </si>
  <si>
    <t xml:space="preserve">DEVOLUÇÃO DE MERCADORIAS CONF NF 33917 DE SUPERMERCADO NORDESTAO LTDA </t>
  </si>
  <si>
    <t xml:space="preserve">DEVOLUÇÃO DE MERCADORIAS CONF NF 12948 DE SUPERMERCADO NORDESTAO LTDA </t>
  </si>
  <si>
    <t xml:space="preserve">DEVOLUÇÃO DE MERCADORIAS CONF NF 13995 DE SUPERMERCADO NORDESTAO LTDA </t>
  </si>
  <si>
    <t xml:space="preserve">DEVOLUÇÃO DE MERCADORIAS CONF NF 15898 DE SUPERMERCADO NORDESTAO LTDA </t>
  </si>
  <si>
    <t xml:space="preserve">DEVOLUÇÃO DE MERCADORIAS CONF NF 16353 DE SUPERMERCADO NORDESTAO LTDA </t>
  </si>
  <si>
    <t xml:space="preserve">DEVOLUÇÃO DE MERCADORIAS CONF NF 16408 DE SUPERMERCADO NORDESTAO LTDA </t>
  </si>
  <si>
    <t xml:space="preserve">DEVOLUÇÃO DE MERCADORIAS CONF NF 16409 DE SUPERMERCADO NORDESTAO LTDA </t>
  </si>
  <si>
    <t xml:space="preserve">DEVOLUÇÃO DE MERCADORIAS CONF NF 15971 DE SUPERMERCADO NORDESTAO LTDA </t>
  </si>
  <si>
    <t xml:space="preserve">DEVOLUÇÃO DE MERCADORIAS CONF NF 13076 DE SUPERMERCADO NORDESTAO LTDA </t>
  </si>
  <si>
    <t xml:space="preserve">DEVOLUÇÃO DE MERCADORIAS CONF NF  11688 DE SUPERMERCADO NORDESTAO  LTDA (L.08) </t>
  </si>
  <si>
    <t xml:space="preserve">DEVOLUÇÃO DE MERCADORIAS CONF NF 16478 DE SUPERMERCADO NORDESTAO LTDA </t>
  </si>
  <si>
    <t xml:space="preserve">DEVOLUÇÃO DE MERCADORIAS CONF NF 16479 DE SUPERMERCADO NORDESTAO LTDA </t>
  </si>
  <si>
    <t xml:space="preserve">DEVOLUÇÃO DE MERCADORIAS CONF NF 1580 DE WMB SUPERMERCADOS DO BRASIL LT </t>
  </si>
  <si>
    <t>VALOR REF. A Devoluções de Vendas de  Mercadoria - WAL MART BRASIL LTDA -   DOCUMENTO: 000001539/1</t>
  </si>
  <si>
    <t>VALOR REF. A Devoluções de Vendas de  Mercadoria - WAL MART BRASIL LTDA -   DOCUMENTO: 000001568/1</t>
  </si>
  <si>
    <t>VALOR REF. A Devoluções de Vendas de  Mercadoria - WAL MART BRASIL LTDA -   DOCUMENTO: 000001580/1</t>
  </si>
  <si>
    <t xml:space="preserve">DEVOLUÇÃO DE MERCADORIAS CONF NF 1605 DE WMB SUPERMERCADOS DO BRASIL LT </t>
  </si>
  <si>
    <t xml:space="preserve">DEVOLUÇÃO DE MERCADORIAS CONF NF 1615 DE WMB SUPERMERCADOS DO BRASIL LT </t>
  </si>
  <si>
    <t xml:space="preserve">DEVOLUÇÃO DE MERCADORIAS CONF NF 1620 DE WMB SUPERMERCADOS DO BRASIL LT </t>
  </si>
  <si>
    <t xml:space="preserve">DEVOLUÇÃO DE MERCADORIAS CONF NF 1621 DE WMB SUPERMERCADOS DO BRASIL LT </t>
  </si>
  <si>
    <t xml:space="preserve">DEVOLUÇÃO DE MERCADORIAS CONF NF 1637 DE WMB SUPERMERCADOS DO BRASIL LT </t>
  </si>
  <si>
    <t xml:space="preserve">DEVOLUÇÃO DE MERCADORIAS CONF NF 1638 DE WMB SUPERMERCADOS DO BRASIL LT </t>
  </si>
  <si>
    <t xml:space="preserve">DEVOLUÇÃO DE MERCADORIAS CONF NF 1645 DE WMB SUPERMERCADOS DO BRASIL LT </t>
  </si>
  <si>
    <t xml:space="preserve">DEVOLUÇÃO DE MERCADORIAS CONF NF 1648 DE WMB SUPERMERCADOS DO BRASIL LT </t>
  </si>
  <si>
    <t xml:space="preserve">DEVOLUÇÃO DE MERCADORIAS CONF NF 1649 DE WMB SUPERMERCADOS DO BRASIL LT </t>
  </si>
  <si>
    <t>VALOR REF. A PERBONI - NF 161051</t>
  </si>
  <si>
    <t>VALOR REF. A PERBONI - NF 161414</t>
  </si>
  <si>
    <t>BONIFICAÇOES- COMERCIAL 122022</t>
  </si>
  <si>
    <t xml:space="preserve">REFERENTE FOLHA DE PAGAMENTO DO  MÊS 01/2023 - DESC. ADIANTAMENTO  SALARIAL  </t>
  </si>
  <si>
    <t xml:space="preserve">REFERENTE FOLHA DE PAGAMENTO DO  MÊS DESCONTO DE ADIANTAMENTO  SALARIO  01/2023 </t>
  </si>
  <si>
    <t xml:space="preserve">REFERENTE FOLHA DE PAGAMENTO DO  MÊS 01/2023 - ADIANTAMENTO DE FERIAS  </t>
  </si>
  <si>
    <t xml:space="preserve">VLR REF COMPRA DE MERCADORIA CONF NF 1277939 DE HIDEO HARUTA </t>
  </si>
  <si>
    <t xml:space="preserve">VLR REF COMPRA DE MERCADORIA CONF NF 100216 DE JOSE PINTO DOS SANTOS </t>
  </si>
  <si>
    <t xml:space="preserve">VLR REF COMPRA DE MERCADORIA CONF NF 100217 DE MARCOS AURELIO DO NASCIMENTO </t>
  </si>
  <si>
    <t xml:space="preserve">VLR REF COMPRA DE MERCADORIA CONF NF 100218 DE MANOEL CORREIA DE OLIVEIRA </t>
  </si>
  <si>
    <t xml:space="preserve">VLR REF COMPRA DE MERCADORIA CONF NF 100219 DE VALDERLANDIO VALENTIM GOMES </t>
  </si>
  <si>
    <t xml:space="preserve">VLR REF COMPRA DE MERCADORIA CONF NF 100227 DE EZEQUIEL FELISBERTO DE CARVALHO </t>
  </si>
  <si>
    <t xml:space="preserve">VLR REF COMPRA DE MERCADORIA CONF NF 100228 DE ISRAEL AUGUSTO DE OLIVEIRA </t>
  </si>
  <si>
    <t xml:space="preserve">VLR REF COMPRA DE MERCADORIA CONF NF 100232 DE MIGUEL RAIMUNDO DE AGUIAR FILHO </t>
  </si>
  <si>
    <t xml:space="preserve">VLR REF COMPRA DE MERCADORIA CONF NF 100245 DE MARIA LUIZA DE MORAIS </t>
  </si>
  <si>
    <t xml:space="preserve">VLR REF COMPRA DE MERCADORIA CONF NF 100246 DE MARIA LUIZA DE MORAIS </t>
  </si>
  <si>
    <t xml:space="preserve">VLR REF COMPRA DE MERCADORIA CONF NF 30430 DE MARCONIEL FONTE DE OLIVEIRA ME </t>
  </si>
  <si>
    <t xml:space="preserve">COMPRAS DE MERCADORIAS CONF NF 30671 DE Etiquetas Guararapes Industria Grafica Ltda </t>
  </si>
  <si>
    <t xml:space="preserve">VLR REF COMPRA DE MERCADORIA CONF  NF 167938 DE PERBONI S/A - RECIFE </t>
  </si>
  <si>
    <t xml:space="preserve">VLR REF COMPRA DE MERCADORIA CONF NF 308671 DE WASHINGTON FRUTAS COMERCIO LTDA </t>
  </si>
  <si>
    <t xml:space="preserve">VLR REF COMPRA DE MERCADORIA CONF  NF 35776 DE RONI PASCHOAL BRUNO -  EIRELI </t>
  </si>
  <si>
    <t xml:space="preserve">VLR REF COMPRA DE MERCADORIA CONF NF 1853 DE MAIS VERDE LTDA ME </t>
  </si>
  <si>
    <t xml:space="preserve">VLR REF COMPRA DE MERCADORIA CONF NF 1854 DE MAIS VERDE LTDA ME </t>
  </si>
  <si>
    <t xml:space="preserve">VLR REF COMPRA DE MERCADORIA CONF NF 552 DE A S DE OLIVEIRA FRUTAS </t>
  </si>
  <si>
    <t xml:space="preserve">VLR REF COMPRA DE MERCADORIA CONF NF 1396 DE KIVERDE HORTIFRUTI LTDA </t>
  </si>
  <si>
    <t xml:space="preserve">VLR REF COMPRA DE MERCADORIA CONF NF 509 DE R M SIQUEIRA HORTIFRUTIGRANJEIRO LTDA </t>
  </si>
  <si>
    <t xml:space="preserve">VLR REF COMPRA DE MERCADORIA CONF NF 153024 DE PETERFRUT COMERCIAL LTDA </t>
  </si>
  <si>
    <t xml:space="preserve">DEVOLUÇÃO DE COMPRAS CONF NF 100211 DE KIVERDE HORTIFRUTI LTDA </t>
  </si>
  <si>
    <t xml:space="preserve">DEVOLUÇÃO DE COMPRAS CONF NF  100212 DE RONI PASCHOAL BRUNO -  EIRELI </t>
  </si>
  <si>
    <t xml:space="preserve">VALOR REF. A BAIXA DE ESTOQUE 100214  DE COMERCIAL HORTI-FRIOS LTDA </t>
  </si>
  <si>
    <t xml:space="preserve">DEVOLUÇÃO DE COMPRAS CONF NF 100215 DE PETERFRUT COMERCIAL LTDA </t>
  </si>
  <si>
    <t xml:space="preserve">VALOR REF. A BAIXA DE ESTOQUE 100226  DE COMERCIAL HORTI-FRIOS LTDA </t>
  </si>
  <si>
    <t xml:space="preserve">VALOR REF. A BAIXA DE ESTOQUE 100229  DE COMERCIAL HORTI-FRIOS LTDA </t>
  </si>
  <si>
    <t xml:space="preserve">VALOR REF. A BAIXA DE ESTOQUE 100231  DE COMERCIAL HORTI-FRIOS LTDA </t>
  </si>
  <si>
    <t xml:space="preserve">VALOR REF. A BAIXA DE ESTOQUE 100244  DE COMERCIAL HORTI-FRIOS LTDA </t>
  </si>
  <si>
    <t xml:space="preserve">VLR REF COMPRA DE MERCADORIA CONF NF 100282 DE VALDEMIR SEVERINO DA SILVA </t>
  </si>
  <si>
    <t xml:space="preserve">VLR REF COMPRA DE MERCADORIA CONF NF 100283 DE MARCOS AURELIO DO NASCIMENTO </t>
  </si>
  <si>
    <t xml:space="preserve">VLR REF COMPRA DE MERCADORIA CONF NF 100284 DE MARIA LUIZA DE MORAIS </t>
  </si>
  <si>
    <t xml:space="preserve">VLR REF COMPRA DE MERCADORIA CONF NF 100285 DE MANOEL CORREIA DE OLIVEIRA </t>
  </si>
  <si>
    <t xml:space="preserve">VLR REF COMPRA DE MERCADORIA CONF NF 100286 DE ISRAEL AUGUSTO DE OLIVEIRA </t>
  </si>
  <si>
    <t xml:space="preserve">VLR REF COMPRA DE MERCADORIA CONF NF 100290 DE SEVERINO LUIZ DOS SANTOS </t>
  </si>
  <si>
    <t xml:space="preserve">VLR REF COMPRA DE MERCADORIA CONF NF 100291 DE JOSENILDO GUSTAVO DE ALMEIDA </t>
  </si>
  <si>
    <t xml:space="preserve">VLR REF COMPRA DE MERCADORIA CONF NF 100292 DE JOSE DENILSON SANTOS </t>
  </si>
  <si>
    <t xml:space="preserve">VLR REF COMPRA DE MERCADORIA CONF NF 100293 DE SEBASTIAO LUIZ PEREIRA </t>
  </si>
  <si>
    <t xml:space="preserve">VLR REF COMPRA DE MERCADORIA CONF NF 100307 DE JOSE PINTO DOS SANTOS </t>
  </si>
  <si>
    <t xml:space="preserve">VLR REF COMPRA DE MERCADORIA CONF NF 100308 DE EDSON JOSE DA SILVA </t>
  </si>
  <si>
    <t xml:space="preserve">VLR REF COMPRA DE MERCADORIA CONF NF 100309 DE EZEQUIEL FELISBERTO DE CARVALHO </t>
  </si>
  <si>
    <t xml:space="preserve">VLR REF COMPRA DE MERCADORIA CONF NF 100310 DE LUCIANO ALVES RODRIGUES </t>
  </si>
  <si>
    <t xml:space="preserve">VLR REF COMPRA DE MERCADORIA CONF NF 100311 DE SEVERINO MARCELINO DE LIMA </t>
  </si>
  <si>
    <t xml:space="preserve">VLR REF COMPRA DE MERCADORIA CONF NF 30453 DE MARCONIEL FONTE DE OLIVEIRA ME </t>
  </si>
  <si>
    <t xml:space="preserve">VLR REF COMPRA DE MERCADORIA CONF  NF 52770 DE A.F.V DA FONSECA - EPP </t>
  </si>
  <si>
    <t xml:space="preserve">VLR REF COMPRA DE MERCADORIA CONF  NF 52801 DE A.F.V DA FONSECA - EPP </t>
  </si>
  <si>
    <t xml:space="preserve">VLR REF COMPRA DE MERCADORIA CONF  NF 168024 DE PERBONI S/A - RECIFE </t>
  </si>
  <si>
    <t xml:space="preserve">VLR REF COMPRA DE MERCADORIA CONF NF 88758 DE PETERFRUT COMERCIAL LTDA </t>
  </si>
  <si>
    <t xml:space="preserve">VLR REF COMPRA DE MERCADORIA CONF NF 32876 DE COMERCIAL SAFRA COMERCIO ATACADISTA DE ALIMENTO </t>
  </si>
  <si>
    <t xml:space="preserve">VLR REF COMPRA DE MERCADORIA CONF NF 308704 DE WASHINGTON FRUTAS COMERCIO LTDA </t>
  </si>
  <si>
    <t xml:space="preserve">VLR REF COMPRA DE MERCADORIA CONF  NF 35787 DE RONI PASCHOAL BRUNO -  EIRELI </t>
  </si>
  <si>
    <t xml:space="preserve">VLR REF COMPRA DE MERCADORIA CONF NF 11323 DE R &amp; R INDUSTRIA ALIMENTICIA EIRELI </t>
  </si>
  <si>
    <t xml:space="preserve">VLR REF COMPRA DE MERCADORIA CONF NF 3623 DE LOJAO DA CENOURA </t>
  </si>
  <si>
    <t xml:space="preserve">VLR REF COMPRA DE MERCADORIA CONF NF 3624 DE LOJAO DA CENOURA </t>
  </si>
  <si>
    <t xml:space="preserve">VLR REF COMPRA DE MERCADORIA CONF NF 3625 DE LOJAO DA CENOURA </t>
  </si>
  <si>
    <t xml:space="preserve">VLR REF COMPRA DE MERCADORIA CONF NF 553 DE A S DE OLIVEIRA FRUTAS </t>
  </si>
  <si>
    <t xml:space="preserve">VLR REF COMPRA DE MERCADORIA CONF NF 1398 DE KIVERDE HORTIFRUTI LTDA </t>
  </si>
  <si>
    <t xml:space="preserve">VLR REF COMPRA DE MERCADORIA CONF NF 510 DE R M SIQUEIRA HORTIFRUTIGRANJEIRO LTDA </t>
  </si>
  <si>
    <t xml:space="preserve">VALOR REF. A BAIXA DE ESTOQUE 100301  DE COMERCIAL HORTI-FRIOS LTDA </t>
  </si>
  <si>
    <t xml:space="preserve">VALOR REF. A BAIXA DE ESTOQUE 100304  DE COMERCIAL HORTI-FRIOS LTDA </t>
  </si>
  <si>
    <t xml:space="preserve">VALOR REF. A BAIXA DE ESTOQUE 100306  DE COMERCIAL HORTI-FRIOS LTDA </t>
  </si>
  <si>
    <t xml:space="preserve">VLR REF COMPRA DE MERCADORIA CONF NF 100326 DE EDSON JOSE DA SILVA </t>
  </si>
  <si>
    <t xml:space="preserve">VLR REF COMPRA DE MERCADORIA CONF NF 100327 DE MARIA LUIZA DE MORAIS </t>
  </si>
  <si>
    <t xml:space="preserve">VLR REF COMPRA DE MERCADORIA CONF NF 100328 DE EZEQUIEL FELISBERTO DE CARVALHO </t>
  </si>
  <si>
    <t xml:space="preserve">VLR REF COMPRA DE MERCADORIA CONF NF 100329 DE ISRAEL AUGUSTO DE OLIVEIRA </t>
  </si>
  <si>
    <t xml:space="preserve">VLR REF COMPRA DE MERCADORIA CONF NF 100330 DE BRAZ JOSE LOPES DA SILVA </t>
  </si>
  <si>
    <t xml:space="preserve">VLR REF COMPRA DE MERCADORIA CONF NF 100331 DE VALDERLANDIO VALENTIM GOMES </t>
  </si>
  <si>
    <t xml:space="preserve">VLR REF COMPRA DE MERCADORIA CONF NF 100334 DE SEVERINO MARCELINO DE LIMA </t>
  </si>
  <si>
    <t xml:space="preserve">VLR REF COMPRA DE MERCADORIA CONF NF 100335 DE SEVERINO LUIZ DOS SANTOS </t>
  </si>
  <si>
    <t xml:space="preserve">VLR REF COMPRA DE MERCADORIA CONF NF 100336 DE JOSENILDO GUSTAVO DE ALMEIDA </t>
  </si>
  <si>
    <t xml:space="preserve">VLR REF COMPRA DE MERCADORIA CONF NF 100337 DE SEBASTIAO LUIZ PEREIRA </t>
  </si>
  <si>
    <t xml:space="preserve">VLR REF COMPRA DE MERCADORIA CONF NF 100338 DE JOSE DENILSON SANTOS </t>
  </si>
  <si>
    <t xml:space="preserve">VLR REF COMPRA DE MERCADORIA CONF NF 100339 DE VALDEMIR SEVERINO DA SILVA </t>
  </si>
  <si>
    <t xml:space="preserve">VLR REF COMPRA DE MERCADORIA CONF NF 100353 DE MIGUEL RAIMUNDO DE AGUIAR FILHO </t>
  </si>
  <si>
    <t xml:space="preserve">VLR REF COMPRA DE MERCADORIA CONF NF 30476 DE MARCONIEL FONTE DE OLIVEIRA ME </t>
  </si>
  <si>
    <t xml:space="preserve">VLR REF COMPRA DE MERCADORIA CONF NF 26009 DE COMERCIAL NOVO ISRAEL LTDA </t>
  </si>
  <si>
    <t xml:space="preserve">VLR REF COMPRA DE MERCADORIA CONF NF 1278842 DE HIDEO HARUTA </t>
  </si>
  <si>
    <t xml:space="preserve">VLR REF COMPRA DE MERCADORIA CONF NF 10139 DE RAIMUNDO DENILSON DA SILVA COSTA </t>
  </si>
  <si>
    <t xml:space="preserve">VLR REF COMPRA DE MERCADORIA CONF NF 10140 DE RAIMUNDO DENILSON DA SILVA COSTA </t>
  </si>
  <si>
    <t xml:space="preserve">VLR REF COMPRA DE MERCADORIA CONF NF 10141 DE RAIMUNDO DENILSON DA SILVA COSTA </t>
  </si>
  <si>
    <t xml:space="preserve">VLR REF COMPRA DE MERCADORIA CONF  NF 35803 DE RONI PASCHOAL BRUNO -  EIRELI </t>
  </si>
  <si>
    <t xml:space="preserve">VLR REF COMPRA DE MERCADORIA CONF NF 1856 DE MAIS VERDE LTDA ME </t>
  </si>
  <si>
    <t xml:space="preserve">VLR REF COMPRA DE MERCADORIA CONF NF 1857 DE MAIS VERDE LTDA ME </t>
  </si>
  <si>
    <t xml:space="preserve">VLR REF COMPRA DE MERCADORIA CONF NF 554 DE A S DE OLIVEIRA FRUTAS </t>
  </si>
  <si>
    <t xml:space="preserve">DEVOLUÇÃO DE COMPRAS CONF NF 100322 DE HIDEO HARUTA </t>
  </si>
  <si>
    <t xml:space="preserve">VALOR REF. A BAIXA DE ESTOQUE 100340  DE COMERCIAL HORTI-FRIOS LTDA </t>
  </si>
  <si>
    <t xml:space="preserve">VALOR REF. A BAIXA DE ESTOQUE 100341  DE COMERCIAL HORTI-FRIOS LTDA </t>
  </si>
  <si>
    <t xml:space="preserve">VALOR REF. A BAIXA DE ESTOQUE 100342  DE COMERCIAL HORTI-FRIOS LTDA </t>
  </si>
  <si>
    <t xml:space="preserve">VALOR REF. A BAIXA DE ESTOQUE 100354  DE COMERCIAL HORTI-FRIOS LTDA </t>
  </si>
  <si>
    <t xml:space="preserve">VLR REF COMPRA DE MERCADORIA CONF NF 100375 DE SEVERINO LUIZ DOS SANTOS </t>
  </si>
  <si>
    <t xml:space="preserve">VLR REF COMPRA DE MERCADORIA CONF NF 100377 DE SEVERINO MARCELINO DE LIMA </t>
  </si>
  <si>
    <t xml:space="preserve">VLR REF COMPRA DE MERCADORIA CONF NF 100378 DE JOSENILDO GUSTAVO DE ALMEIDA </t>
  </si>
  <si>
    <t xml:space="preserve">VLR REF COMPRA DE MERCADORIA CONF NF 100379 DE JOSE DENILSON SANTOS </t>
  </si>
  <si>
    <t xml:space="preserve">VLR REF COMPRA DE MERCADORIA CONF NF 100381 DE SEBASTIAO LUIZ PEREIRA </t>
  </si>
  <si>
    <t xml:space="preserve">VLR REF COMPRA DE MERCADORIA CONF NF 100382 DE MARCOS AURELIO DO NASCIMENTO </t>
  </si>
  <si>
    <t xml:space="preserve">VLR REF COMPRA DE MERCADORIA CONF NF 100383 DE MARCOS AURELIO DO NASCIMENTO </t>
  </si>
  <si>
    <t xml:space="preserve">VLR REF COMPRA DE MERCADORIA CONF NF 100384 DE EDSON JOSE DA SILVA </t>
  </si>
  <si>
    <t xml:space="preserve">VLR REF COMPRA DE MERCADORIA CONF NF 100385 DE MARIA LUIZA DE MORAIS </t>
  </si>
  <si>
    <t xml:space="preserve">VLR REF COMPRA DE MERCADORIA CONF NF 100386 DE MANOEL CORREIA DE OLIVEIRA </t>
  </si>
  <si>
    <t xml:space="preserve">VLR REF COMPRA DE MERCADORIA CONF NF 100391 DE ISRAEL AUGUSTO DE OLIVEIRA </t>
  </si>
  <si>
    <t xml:space="preserve">VLR REF COMPRA DE MERCADORIA CONF NF 100392 DE BRAZ JOSE LOPES DA SILVA </t>
  </si>
  <si>
    <t xml:space="preserve">VLR REF COMPRA DE MERCADORIA CONF NF 100396 DE LUCIANO ALVES RODRIGUES </t>
  </si>
  <si>
    <t xml:space="preserve">VLR REF COMPRA DE MERCADORIA CONF NF 100413 DE JOSE PINTO DOS SANTOS </t>
  </si>
  <si>
    <t xml:space="preserve">VLR REF COMPRA DE MERCADORIA CONF NF 100414 DE EZEQUIEL FELISBERTO DE CARVALHO </t>
  </si>
  <si>
    <t xml:space="preserve">VLR REF COMPRA DE MERCADORIA CONF NF 30494 DE MARCONIEL FONTE DE OLIVEIRA ME </t>
  </si>
  <si>
    <t xml:space="preserve">VLR REF COMPRA DE MERCADORIA CONF  NF 52828 DE A.F.V DA FONSECA - EPP </t>
  </si>
  <si>
    <t xml:space="preserve">VLR REF COMPRA DE MERCADORIA CONF  NF 52835 DE A.F.V DA FONSECA - EPP </t>
  </si>
  <si>
    <t xml:space="preserve">VLR REF COMPRA DE MERCADORIA CONF  NF 168174 DE PERBONI S/A - RECIFE </t>
  </si>
  <si>
    <t xml:space="preserve">VLR REF COMPRA DE MERCADORIA CONF NF 1483 DE PETERFRUT AGRICOLA LTDA </t>
  </si>
  <si>
    <t xml:space="preserve">VLR REF COMPRA DE MERCADORIA CONF  NF 35810 DE RONI PASCHOAL BRUNO -  EIRELI </t>
  </si>
  <si>
    <t xml:space="preserve">VLR REF COMPRA DE MERCADORIA CONF NF 18176 DE VINI COMERCIO DE ALHOS LTDA </t>
  </si>
  <si>
    <t xml:space="preserve">VLR REF COMPRA DE MERCADORIA CONF NF 555 DE A S DE OLIVEIRA FRUTAS </t>
  </si>
  <si>
    <t xml:space="preserve">VLR REF COMPRA DE MERCADORIA CONF NF 1409 DE KIVERDE HORTIFRUTI LTDA </t>
  </si>
  <si>
    <t xml:space="preserve">VALOR REF. A BAIXA DE ESTOQUE 100412  DE COMERCIAL HORTI-FRIOS LTDA </t>
  </si>
  <si>
    <t xml:space="preserve">VLR REF COMPRA DE MERCADORIA CONF NF 100436 DE SEVERINO MARCELINO DE LIMA </t>
  </si>
  <si>
    <t xml:space="preserve">VLR REF COMPRA DE MERCADORIA CONF NF 100437 DE SEVERINO LUIZ DOS SANTOS </t>
  </si>
  <si>
    <t xml:space="preserve">VLR REF COMPRA DE MERCADORIA CONF NF 100438 DE JOSENILDO GUSTAVO DE ALMEIDA </t>
  </si>
  <si>
    <t xml:space="preserve">VLR REF COMPRA DE MERCADORIA CONF NF 100439 DE JOSE DENILSON SANTOS </t>
  </si>
  <si>
    <t xml:space="preserve">VLR REF COMPRA DE MERCADORIA CONF NF 100440 DE SEBASTIAO LUIZ PEREIRA </t>
  </si>
  <si>
    <t xml:space="preserve">VLR REF COMPRA DE MERCADORIA CONF NF 100441 DE MARCOS AURELIO DO NASCIMENTO </t>
  </si>
  <si>
    <t xml:space="preserve">VLR REF COMPRA DE MERCADORIA CONF NF 100442 DE MARIA LUIZA DE MORAIS </t>
  </si>
  <si>
    <t xml:space="preserve">VLR REF COMPRA DE MERCADORIA CONF NF 100443 DE MANOEL CORREIA DE OLIVEIRA </t>
  </si>
  <si>
    <t xml:space="preserve">VLR REF COMPRA DE MERCADORIA CONF NF 100444 DE BRAZ JOSE LOPES DA SILVA </t>
  </si>
  <si>
    <t xml:space="preserve">VLR REF COMPRA DE MERCADORIA CONF NF 100447 DE VALDEMIR SEVERINO DA SILVA </t>
  </si>
  <si>
    <t xml:space="preserve">VLR REF COMPRA DE MERCADORIA CONF NF 100448 DE EDSON JOSE DA SILVA </t>
  </si>
  <si>
    <t xml:space="preserve">VLR REF COMPRA DE MERCADORIA CONF NF 100449 DE VALDERLANDIO VALENTIM GOMES </t>
  </si>
  <si>
    <t xml:space="preserve">VLR REF COMPRA DE MERCADORIA CONF NF 100450 DE EZEQUIEL FELISBERTO DE CARVALHO </t>
  </si>
  <si>
    <t xml:space="preserve">VLR REF COMPRA DE MERCADORIA CONF NF 100451 DE ISRAEL AUGUSTO DE OLIVEIRA </t>
  </si>
  <si>
    <t xml:space="preserve">VLR REF COMPRA DE MERCADORIA CONF NF 100452 DE LUCIANO ALVES RODRIGUES </t>
  </si>
  <si>
    <t xml:space="preserve">VLR REF COMPRA DE MERCADORIA CONF NF 100453 DE MIGUEL RAIMUNDO DE AGUIAR FILHO </t>
  </si>
  <si>
    <t xml:space="preserve">VLR REF COMPRA DE MERCADORIA CONF NF 30521 DE MARCONIEL FONTE DE OLIVEIRA ME </t>
  </si>
  <si>
    <t xml:space="preserve">VLR REF COMPRA DE MERCADORIA CONF  NF 52891 DE A.F.V DA FONSECA - EPP </t>
  </si>
  <si>
    <t xml:space="preserve">VLR REF COMPRA DE MERCADORIA CONF NF 26043 DE COMERCIAL NOVO ISRAEL LTDA </t>
  </si>
  <si>
    <t xml:space="preserve">VLR REF COMPRA DE MERCADORIA CONF  NF 168225 DE PERBONI S/A - RECIFE </t>
  </si>
  <si>
    <t xml:space="preserve">VLR REF COMPRA DE MERCADORIA CONF NF 1280649 DE HIDEO HARUTA </t>
  </si>
  <si>
    <t xml:space="preserve">VLR REF COMPRA DE MERCADORIA CONF  NF 9 DE C. M. AZEVEDO PESCADOS LTDA </t>
  </si>
  <si>
    <t xml:space="preserve">VLR REF COMPRA DE MERCADORIA CONF NF 88910 DE PETERFRUT COMERCIAL LTDA </t>
  </si>
  <si>
    <t xml:space="preserve">VLR REF COMPRA DE MERCADORIA CONF NF 1776 DE A PEREIRA DE AMORIM LTDA </t>
  </si>
  <si>
    <t xml:space="preserve">VLR REF COMPRA DE MERCADORIA CONF NF 308858 DE WASHINGTON FRUTAS COMERCIO LTDA </t>
  </si>
  <si>
    <t xml:space="preserve">VLR REF COMPRA DE MERCADORIA CONF  NF 35824 DE RONI PASCHOAL BRUNO -  EIRELI </t>
  </si>
  <si>
    <t xml:space="preserve">VLR REF COMPRA DE MERCADORIA CONF NF 1861 DE MAIS VERDE LTDA ME </t>
  </si>
  <si>
    <t xml:space="preserve">VLR REF COMPRA DE MERCADORIA CONF NF 1862 DE MAIS VERDE LTDA ME </t>
  </si>
  <si>
    <t xml:space="preserve">VLR REF COMPRA DE MERCADORIA CONF NF 3635 DE LOJAO DA CENOURA </t>
  </si>
  <si>
    <t xml:space="preserve">VLR REF COMPRA DE MERCADORIA CONF NF 3636 DE LOJAO DA CENOURA </t>
  </si>
  <si>
    <t xml:space="preserve">VLR REF COMPRA DE MERCADORIA CONF NF 3637 DE LOJAO DA CENOURA </t>
  </si>
  <si>
    <t xml:space="preserve">VLR REF COMPRA DE MERCADORIA CONF NF 556 DE A S DE OLIVEIRA FRUTAS </t>
  </si>
  <si>
    <t xml:space="preserve">VLR REF COMPRA DE MERCADORIA CONF NF 1414 DE KIVERDE HORTIFRUTI LTDA </t>
  </si>
  <si>
    <t xml:space="preserve">VLR REF COMPRA DE MERCADORIA CONF NF 153130 DE PETERFRUT COMERCIAL LTDA </t>
  </si>
  <si>
    <t xml:space="preserve">DEVOLUÇÃO DE COMPRAS CONF NF 100434 DE PETERFRUT COMERCIAL LTDA </t>
  </si>
  <si>
    <t xml:space="preserve">VALOR REF. A BAIXA DE ESTOQUE 100445  DE COMERCIAL HORTI-FRIOS LTDA </t>
  </si>
  <si>
    <t xml:space="preserve">VALOR REF. A BAIXA DE ESTOQUE 100446  DE COMERCIAL HORTI-FRIOS LTDA </t>
  </si>
  <si>
    <t xml:space="preserve">VALOR REF. A BAIXA DE ESTOQUE 100465  DE COMERCIAL HORTI-FRIOS LTDA </t>
  </si>
  <si>
    <t xml:space="preserve">DEVOLUÇÃO DE COMPRAS CONF NF 100466 DE PETERFRUT COMERCIAL LTDA </t>
  </si>
  <si>
    <t xml:space="preserve">BONIFICACAO SAIDA CONF NF  100467 DE SUZANA LUCICLEIA BEZERRA DOS SANTOS </t>
  </si>
  <si>
    <t xml:space="preserve">VLR REF COMPRA DE MERCADORIA CONF NF 100498 DE MARCOS AURELIO DO NASCIMENTO </t>
  </si>
  <si>
    <t xml:space="preserve">VLR REF COMPRA DE MERCADORIA CONF NF 100499 DE EDSON JOSE DA SILVA </t>
  </si>
  <si>
    <t xml:space="preserve">VLR REF COMPRA DE MERCADORIA CONF NF 100500 DE MARIA LUIZA DE MORAIS </t>
  </si>
  <si>
    <t xml:space="preserve">VLR REF COMPRA DE MERCADORIA CONF NF 100501 DE MANOEL CORREIA DE OLIVEIRA </t>
  </si>
  <si>
    <t xml:space="preserve">VLR REF COMPRA DE MERCADORIA CONF NF 100502 DE BRAZ JOSE LOPES DA SILVA </t>
  </si>
  <si>
    <t xml:space="preserve">VLR REF COMPRA DE MERCADORIA CONF NF 100503 DE SEVERINO MARCELINO DE LIMA </t>
  </si>
  <si>
    <t xml:space="preserve">VLR REF COMPRA DE MERCADORIA CONF NF 100504 DE SEVERINO LUIZ DOS SANTOS </t>
  </si>
  <si>
    <t xml:space="preserve">VLR REF COMPRA DE MERCADORIA CONF NF 100505 DE JOSENILDO GUSTAVO DE ALMEIDA </t>
  </si>
  <si>
    <t xml:space="preserve">VLR REF COMPRA DE MERCADORIA CONF NF 100506 DE JOSE DENILSON SANTOS </t>
  </si>
  <si>
    <t xml:space="preserve">VLR REF COMPRA DE MERCADORIA CONF NF 100507 DE SEBASTIAO LUIZ PEREIRA </t>
  </si>
  <si>
    <t xml:space="preserve">VLR REF COMPRA DE MERCADORIA CONF NF 100508 DE VALDEMIR SEVERINO DA SILVA </t>
  </si>
  <si>
    <t xml:space="preserve">VLR REF COMPRA DE MERCADORIA CONF NF 100509 DE JOSE PINTO DOS SANTOS </t>
  </si>
  <si>
    <t xml:space="preserve">VLR REF COMPRA DE MERCADORIA CONF NF 100518 DE BRAZ JOSE LOPES DA SILVA </t>
  </si>
  <si>
    <t xml:space="preserve">VLR REF COMPRA DE MERCADORIA CONF NF 100524 DE SEVERINO LUIZ DOS SANTOS </t>
  </si>
  <si>
    <t xml:space="preserve">VLR REF COMPRA DE MERCADORIA CONF NF 100525 DE JOSENILDO GUSTAVO DE ALMEIDA </t>
  </si>
  <si>
    <t xml:space="preserve">VLR REF COMPRA DE MERCADORIA CONF NF 100526 DE JOSE DENILSON SANTOS </t>
  </si>
  <si>
    <t xml:space="preserve">VLR REF COMPRA DE MERCADORIA CONF NF 100527 DE SEBASTIAO LUIZ PEREIRA </t>
  </si>
  <si>
    <t xml:space="preserve">VLR REF COMPRA DE MERCADORIA CONF NF 100530 DE JOSENILDO GUSTAVO DE ALMEIDA </t>
  </si>
  <si>
    <t xml:space="preserve">VLR REF COMPRA DE MERCADORIA CONF NF 30537 DE MARCONIEL FONTE DE OLIVEIRA ME </t>
  </si>
  <si>
    <t xml:space="preserve">VLR REF COMPRA DE MERCADORIA CONF  NF 168263 DE PERBONI S/A - RECIFE </t>
  </si>
  <si>
    <t xml:space="preserve">VLR REF COMPRA DE MERCADORIA CONF NF 308876 DE WASHINGTON FRUTAS COMERCIO LTDA </t>
  </si>
  <si>
    <t xml:space="preserve">VLR REF COMPRA DE MERCADORIA CONF NF 10163 DE RAIMUNDO DENILSON DA SILVA COSTA </t>
  </si>
  <si>
    <t xml:space="preserve">VLR REF COMPRA DE MERCADORIA CONF NF 10164 DE RAIMUNDO DENILSON DA SILVA COSTA </t>
  </si>
  <si>
    <t xml:space="preserve">VLR REF COMPRA DE MERCADORIA CONF NF 10165 DE RAIMUNDO DENILSON DA SILVA COSTA </t>
  </si>
  <si>
    <t xml:space="preserve">VLR REF COMPRA DE MERCADORIA CONF  NF 35857 DE RONI PASCHOAL BRUNO -  EIRELI </t>
  </si>
  <si>
    <t xml:space="preserve">VLR REF COMPRA DE MERCADORIA CONF NF 1863 DE MAIS VERDE LTDA ME </t>
  </si>
  <si>
    <t xml:space="preserve">VLR REF COMPRA DE MERCADORIA CONF NF 3642 DE LOJAO DA CENOURA </t>
  </si>
  <si>
    <t xml:space="preserve">VLR REF COMPRA DE MERCADORIA CONF NF 557 DE A S DE OLIVEIRA FRUTAS </t>
  </si>
  <si>
    <t xml:space="preserve">VLR REF COMPRA DE MERCADORIA CONF NF 1418 DE KIVERDE HORTIFRUTI LTDA </t>
  </si>
  <si>
    <t xml:space="preserve">VLR REF COMPRA DE MERCADORIA CONF NF 50 DE LUIZ FRANCISCO DA SILVA FILHO 03545434400 </t>
  </si>
  <si>
    <t xml:space="preserve">VLR REF COMPRA DE MERCADORIA CONF NF 529 DE R M SIQUEIRA HORTIFRUTIGRANJEIRO LTDA </t>
  </si>
  <si>
    <t xml:space="preserve">VLR REF COMPRA DE MERCADORIA CONF NF 153213 DE PETERFRUT COMERCIAL LTDA </t>
  </si>
  <si>
    <t xml:space="preserve">VLR REF COMPRA DE MERCADORIA CONF NF 153214 DE PETERFRUT COMERCIAL LTDA </t>
  </si>
  <si>
    <t xml:space="preserve">DEVOLUÇÃO DE COMPRAS CONF NF 100489 DE LOJAO DA CENOURA </t>
  </si>
  <si>
    <t xml:space="preserve">VALOR REF. A BAIXA DE ESTOQUE 100510  DE COMERCIAL HORTI-FRIOS LTDA </t>
  </si>
  <si>
    <t xml:space="preserve">VALOR REF. A BAIXA DE ESTOQUE 100511  DE COMERCIAL HORTI-FRIOS LTDA </t>
  </si>
  <si>
    <t xml:space="preserve">VALOR REF. A BAIXA DE ESTOQUE 100516  DE COMERCIAL HORTI-FRIOS LTDA </t>
  </si>
  <si>
    <t xml:space="preserve">VALOR REF. A BAIXA DE ESTOQUE 100517  DE COMERCIAL HORTI-FRIOS LTDA </t>
  </si>
  <si>
    <t xml:space="preserve">VALOR REF. A BAIXA DE ESTOQUE 100528  DE COMERCIAL HORTI-FRIOS LTDA </t>
  </si>
  <si>
    <t xml:space="preserve">VALOR REF. A BAIXA DE ESTOQUE 100529  DE COMERCIAL HORTI-FRIOS LTDA </t>
  </si>
  <si>
    <t xml:space="preserve">VALOR REF. A BAIXA DE ESTOQUE 100532  DE COMERCIAL HORTI-FRIOS LTDA </t>
  </si>
  <si>
    <t xml:space="preserve">VLR REF COMPRA DE MERCADORIA CONF NF 100553 DE MARIA LUIZA DE MORAIS </t>
  </si>
  <si>
    <t xml:space="preserve">VLR REF COMPRA DE MERCADORIA CONF NF 100554 DE JOSE PINTO DOS SANTOS </t>
  </si>
  <si>
    <t xml:space="preserve">VLR REF COMPRA DE MERCADORIA CONF NF 100555 DE MARCOS AURELIO DO NASCIMENTO </t>
  </si>
  <si>
    <t xml:space="preserve">VLR REF COMPRA DE MERCADORIA CONF NF 100557 DE MANOEL CORREIA DE OLIVEIRA </t>
  </si>
  <si>
    <t xml:space="preserve">VLR REF COMPRA DE MERCADORIA CONF NF 100558 DE VALDERLANDIO VALENTIM GOMES </t>
  </si>
  <si>
    <t xml:space="preserve">VLR REF COMPRA DE MERCADORIA CONF NF 100559 DE ISRAEL AUGUSTO DE OLIVEIRA </t>
  </si>
  <si>
    <t xml:space="preserve">VLR REF COMPRA DE MERCADORIA CONF NF 100568 DE EZEQUIEL FELISBERTO DE CARVALHO </t>
  </si>
  <si>
    <t xml:space="preserve">VLR REF COMPRA DE MERCADORIA CONF NF 100575 DE MIGUEL RAIMUNDO DE AGUIAR FILHO </t>
  </si>
  <si>
    <t xml:space="preserve">VLR REF COMPRA DE MERCADORIA CONF NF 100576 DE BRAZ JOSE LOPES DA SILVA </t>
  </si>
  <si>
    <t xml:space="preserve">VLR REF COMPRA DE MERCADORIA CONF NF 100589 DE MARIA LUIZA DE MORAIS </t>
  </si>
  <si>
    <t xml:space="preserve">VLR REF COMPRA DE MERCADORIA CONF NF 317 DE ISMAEL DE MENDONCA BANDEIRA ME </t>
  </si>
  <si>
    <t xml:space="preserve">VLR REF COMPRA DE MERCADORIA CONF NF 318 DE ISMAEL DE MENDONCA BANDEIRA ME </t>
  </si>
  <si>
    <t xml:space="preserve">VLR REF COMPRA DE MERCADORIA CONF NF 30563 DE MARCONIEL FONTE DE OLIVEIRA ME </t>
  </si>
  <si>
    <t xml:space="preserve">VLR REF COMPRA DE MERCADORIA CONF  NF 52910 DE A.F.V DA FONSECA - EPP </t>
  </si>
  <si>
    <t xml:space="preserve">VLR REF COMPRA DE MERCADORIA CONF  NF 52938 DE A.F.V DA FONSECA - EPP </t>
  </si>
  <si>
    <t xml:space="preserve">VLR REF COMPRA DE MERCADORIA CONF NF 26082 DE COMERCIAL NOVO ISRAEL LTDA </t>
  </si>
  <si>
    <t xml:space="preserve">VLR REF COMPRA DE MERCADORIA CONF NF 1282871 DE HIDEO HARUTA </t>
  </si>
  <si>
    <t xml:space="preserve">VLR REF COMPRA DE MERCADORIA CONF NF 308940 DE WASHINGTON FRUTAS COMERCIO LTDA </t>
  </si>
  <si>
    <t xml:space="preserve">VLR REF COMPRA DE MERCADORIA CONF  NF 35867 DE RONI PASCHOAL BRUNO -  EIRELI </t>
  </si>
  <si>
    <t xml:space="preserve">VLR REF COMPRA DE MERCADORIA CONF NF 1865 DE MAIS VERDE LTDA ME </t>
  </si>
  <si>
    <t xml:space="preserve">VLR REF COMPRA DE MERCADORIA CONF NF 1866 DE MAIS VERDE LTDA ME </t>
  </si>
  <si>
    <t xml:space="preserve">VLR REF COMPRA DE MERCADORIA CONF NF 558 DE A S DE OLIVEIRA FRUTAS </t>
  </si>
  <si>
    <t xml:space="preserve">VLR REF COMPRA DE MERCADORIA CONF NF 1424 DE KIVERDE HORTIFRUTI LTDA </t>
  </si>
  <si>
    <t xml:space="preserve">VLR REF COMPRA DE MERCADORIA CONF NF 1427 DE KIVERDE HORTIFRUTI LTDA </t>
  </si>
  <si>
    <t xml:space="preserve">VLR REF COMPRA DE MERCADORIA CONF NF 534 DE R M SIQUEIRA HORTIFRUTIGRANJEIRO LTDA </t>
  </si>
  <si>
    <t xml:space="preserve">VLR REF COMPRA DE MERCADORIA CONF NF 153269 DE PETERFRUT COMERCIAL LTDA </t>
  </si>
  <si>
    <t xml:space="preserve">VALOR REF. A BAIXA DE ESTOQUE 100531  DE COMERCIAL HORTI-FRIOS LTDA </t>
  </si>
  <si>
    <t xml:space="preserve">VALOR REF. A BAIXA DE ESTOQUE 100560  DE COMERCIAL HORTI-FRIOS LTDA </t>
  </si>
  <si>
    <t xml:space="preserve">VALOR REF. A BAIXA DE ESTOQUE 100561  DE COMERCIAL HORTI-FRIOS LTDA </t>
  </si>
  <si>
    <t xml:space="preserve">VALOR REF. A BAIXA DE ESTOQUE 100562  DE COMERCIAL HORTI-FRIOS LTDA </t>
  </si>
  <si>
    <t xml:space="preserve">DEVOLUÇÃO DE COMPRAS CONF NF 100563 DE PETERFRUT COMERCIAL LTDA </t>
  </si>
  <si>
    <t xml:space="preserve">BONIFICACAO SAIDA CONF NF  100600 DE EMILIA ELIZABETH BEZERRA DOS SANTOS </t>
  </si>
  <si>
    <t xml:space="preserve">VLR REF COMPRA DE MERCADORIA CONF NF 100607 DE SEVERINO LUIZ DOS SANTOS </t>
  </si>
  <si>
    <t xml:space="preserve">VLR REF COMPRA DE MERCADORIA CONF NF 100609 DE JOSENILDO GUSTAVO DE ALMEIDA </t>
  </si>
  <si>
    <t xml:space="preserve">VLR REF COMPRA DE MERCADORIA CONF NF 100611 DE JOSE DENILSON SANTOS </t>
  </si>
  <si>
    <t xml:space="preserve">VLR REF COMPRA DE MERCADORIA CONF NF 100617 DE SEBASTIAO LUIZ PEREIRA </t>
  </si>
  <si>
    <t xml:space="preserve">VLR REF COMPRA DE MERCADORIA CONF NF 100618 DE VALDEMIR SEVERINO DA SILVA </t>
  </si>
  <si>
    <t xml:space="preserve">VLR REF COMPRA DE MERCADORIA CONF NF 100619 DE MARCOS AURELIO DO NASCIMENTO </t>
  </si>
  <si>
    <t xml:space="preserve">VLR REF COMPRA DE MERCADORIA CONF NF 100620 DE MARIA LUIZA DE MORAIS </t>
  </si>
  <si>
    <t xml:space="preserve">VLR REF COMPRA DE MERCADORIA CONF NF 100621 DE MANOEL CORREIA DE OLIVEIRA </t>
  </si>
  <si>
    <t xml:space="preserve">VLR REF COMPRA DE MERCADORIA CONF NF 100622 DE ISRAEL AUGUSTO DE OLIVEIRA </t>
  </si>
  <si>
    <t xml:space="preserve">VLR REF COMPRA DE MERCADORIA CONF NF 100623 DE BRAZ JOSE LOPES DA SILVA </t>
  </si>
  <si>
    <t xml:space="preserve">VLR REF COMPRA DE MERCADORIA CONF NF 100624 DE LUCIANO ALVES RODRIGUES </t>
  </si>
  <si>
    <t xml:space="preserve">VLR REF COMPRA DE MERCADORIA CONF NF 100632 DE SEVERINO MARCELINO DE LIMA </t>
  </si>
  <si>
    <t xml:space="preserve">VLR REF COMPRA DE MERCADORIA CONF NF 100634 DE JOSE PINTO DOS SANTOS </t>
  </si>
  <si>
    <t xml:space="preserve">VLR REF COMPRA DE MERCADORIA CONF NF 100636 DE EDSON JOSE DA SILVA </t>
  </si>
  <si>
    <t xml:space="preserve">VLR REF COMPRA DE MERCADORIA CONF NF 100641 DE EZEQUIEL FELISBERTO DE CARVALHO </t>
  </si>
  <si>
    <t xml:space="preserve">VLR REF COMPRA DE MERCADORIA CONF NF 30581 DE MARCONIEL FONTE DE OLIVEIRA ME </t>
  </si>
  <si>
    <t xml:space="preserve">VLR REF COMPRA DE MERCADORIA CONF  NF 52955 DE A.F.V DA FONSECA - EPP </t>
  </si>
  <si>
    <t xml:space="preserve">VLR REF COMPRA DE MERCADORIA CONF  NF 168376 DE PERBONI S/A - RECIFE </t>
  </si>
  <si>
    <t xml:space="preserve">VLR REF COMPRA DE MERCADORIA CONF  NF 168410 DE PERBONI S/A - RECIFE </t>
  </si>
  <si>
    <t xml:space="preserve">VLR REF COMPRA DE MERCADORIA CONF NF 89083 DE PETERFRUT COMERCIAL LTDA </t>
  </si>
  <si>
    <t xml:space="preserve">VLR REF COMPRA DE MERCADORIA CONF NF 32955 DE COMERCIAL SAFRA COMERCIO ATACADISTA DE ALIMENTO </t>
  </si>
  <si>
    <t xml:space="preserve">VLR REF COMPRA DE MERCADORIA CONF NF 308981 DE WASHINGTON FRUTAS COMERCIO LTDA </t>
  </si>
  <si>
    <t xml:space="preserve">VLR REF COMPRA DE MERCADORIA CONF NF 10187 DE RAIMUNDO DENILSON DA SILVA COSTA </t>
  </si>
  <si>
    <t xml:space="preserve">VLR REF COMPRA DE MERCADORIA CONF NF 10188 DE RAIMUNDO DENILSON DA SILVA COSTA </t>
  </si>
  <si>
    <t xml:space="preserve">VLR REF COMPRA DE MERCADORIA CONF  NF 35892 DE RONI PASCHOAL BRUNO -  EIRELI </t>
  </si>
  <si>
    <t xml:space="preserve">VLR REF COMPRA DE MERCADORIA CONF NF 3645 DE LOJAO DA CENOURA </t>
  </si>
  <si>
    <t xml:space="preserve">VLR REF COMPRA DE MERCADORIA CONF NF 3646 DE LOJAO DA CENOURA </t>
  </si>
  <si>
    <t xml:space="preserve">VLR REF COMPRA DE MERCADORIA CONF NF 559 DE A S DE OLIVEIRA FRUTAS </t>
  </si>
  <si>
    <t xml:space="preserve">VLR REF COMPRA DE MERCADORIA CONF NF 1434 DE KIVERDE HORTIFRUTI LTDA </t>
  </si>
  <si>
    <t xml:space="preserve">VLR REF COMPRA DE MERCADORIA CONF NF 539 DE R M SIQUEIRA HORTIFRUTIGRANJEIRO LTDA </t>
  </si>
  <si>
    <t xml:space="preserve">VALOR REF. A BAIXA DE ESTOQUE 100642  DE COMERCIAL HORTI-FRIOS LTDA </t>
  </si>
  <si>
    <t xml:space="preserve">VALOR REF. A BAIXA DE ESTOQUE 100643  DE COMERCIAL HORTI-FRIOS LTDA </t>
  </si>
  <si>
    <t xml:space="preserve">VALOR REF. A BAIXA DE ESTOQUE 100644  DE COMERCIAL HORTI-FRIOS LTDA </t>
  </si>
  <si>
    <t xml:space="preserve">VALOR REF. A BAIXA DE ESTOQUE 100647  DE COMERCIAL HORTI-FRIOS LTDA </t>
  </si>
  <si>
    <t xml:space="preserve">BONIFICACAO SAIDA CONF NF  100653 DE SUZANA LUCICLEIA BEZERRA DOS SANTOS </t>
  </si>
  <si>
    <t xml:space="preserve">BONIFICACAO SAIDA CONF NF  100654 DE EMILIA ELIZABETH BEZERRA DOS SANTOS </t>
  </si>
  <si>
    <t xml:space="preserve">VLR REF COMPRA DE MERCADORIA CONF NF 100668 DE VALDERLANDIO VALENTIM GOMES </t>
  </si>
  <si>
    <t xml:space="preserve">VLR REF COMPRA DE MERCADORIA CONF NF 100669 DE ISRAEL AUGUSTO DE OLIVEIRA </t>
  </si>
  <si>
    <t xml:space="preserve">VLR REF COMPRA DE MERCADORIA CONF NF 100670 DE BRAZ JOSE LOPES DA SILVA </t>
  </si>
  <si>
    <t xml:space="preserve">VLR REF COMPRA DE MERCADORIA CONF NF 100671 DE SEVERINO MARCELINO DE LIMA </t>
  </si>
  <si>
    <t xml:space="preserve">VLR REF COMPRA DE MERCADORIA CONF NF 100672 DE SEVERINO LUIZ DOS SANTOS </t>
  </si>
  <si>
    <t xml:space="preserve">VLR REF COMPRA DE MERCADORIA CONF NF 100674 DE JOSENILDO GUSTAVO DE ALMEIDA </t>
  </si>
  <si>
    <t xml:space="preserve">VLR REF COMPRA DE MERCADORIA CONF NF 100675 DE JOSE DENILSON SANTOS </t>
  </si>
  <si>
    <t xml:space="preserve">VLR REF COMPRA DE MERCADORIA CONF NF 100676 DE SEBASTIAO LUIZ PEREIRA </t>
  </si>
  <si>
    <t xml:space="preserve">VLR REF COMPRA DE MERCADORIA CONF NF 100679 DE MARIA LUIZA DE MORAIS </t>
  </si>
  <si>
    <t xml:space="preserve">VLR REF COMPRA DE MERCADORIA CONF NF 100680 DE EZEQUIEL FELISBERTO DE CARVALHO </t>
  </si>
  <si>
    <t xml:space="preserve">VLR REF COMPRA DE MERCADORIA CONF NF 100681 DE LUCIANO ALVES RODRIGUES </t>
  </si>
  <si>
    <t xml:space="preserve">VLR REF COMPRA DE MERCADORIA CONF NF 100682 DE MIGUEL RAIMUNDO DE AGUIAR FILHO </t>
  </si>
  <si>
    <t xml:space="preserve">VLR REF COMPRA DE MERCADORIA CONF NF 100683 DE VALDEMIR SEVERINO DA SILVA </t>
  </si>
  <si>
    <t xml:space="preserve">VLR REF COMPRA DE MERCADORIA CONF NF 30608 DE MARCONIEL FONTE DE OLIVEIRA ME </t>
  </si>
  <si>
    <t xml:space="preserve">VLR REF COMPRA DE MERCADORIA CONF NF 26114 DE COMERCIAL NOVO ISRAEL LTDA </t>
  </si>
  <si>
    <t xml:space="preserve">VLR REF COMPRA DE MERCADORIA CONF NF 1284676 DE HIDEO HARUTA </t>
  </si>
  <si>
    <t xml:space="preserve">VLR REF COMPRA DE MERCADORIA CONF NF 1284844 DE HIDEO HARUTA </t>
  </si>
  <si>
    <t xml:space="preserve">VLR REF COMPRA DE MERCADORIA CONF NF 10202 DE RAIMUNDO DENILSON DA SILVA COSTA </t>
  </si>
  <si>
    <t xml:space="preserve">VLR REF COMPRA DE MERCADORIA CONF  NF 35914 DE RONI PASCHOAL BRUNO -  EIRELI </t>
  </si>
  <si>
    <t xml:space="preserve">VLR REF COMPRA DE MERCADORIA CONF NF 1495 DE PIERRE COSTA DE LIMA EIRELI EPP </t>
  </si>
  <si>
    <t xml:space="preserve">VLR REF COMPRA DE MERCADORIA CONF NF 1868 DE MAIS VERDE LTDA ME </t>
  </si>
  <si>
    <t xml:space="preserve">VLR REF COMPRA DE MERCADORIA CONF NF 1869 DE MAIS VERDE LTDA ME </t>
  </si>
  <si>
    <t xml:space="preserve">VLR REF COMPRA DE MERCADORIA CONF NF 30042 DE EDYPO C DA SILVA HORTIFRUTIGRANJEIROS </t>
  </si>
  <si>
    <t xml:space="preserve">VLR REF COMPRA DE MERCADORIA CONF NF 1447 DE KIVERDE HORTIFRUTI LTDA </t>
  </si>
  <si>
    <t xml:space="preserve">DEVOLUÇÃO DE COMPRAS CONF NF 100677 DE HIDEO HARUTA </t>
  </si>
  <si>
    <t xml:space="preserve">DEVOLUÇÃO DE COMPRAS CONF NF 100678 DE KIVERDE HORTIFRUTI LTDA </t>
  </si>
  <si>
    <t xml:space="preserve">VALOR REF. A BAIXA DE ESTOQUE 100701  DE COMERCIAL HORTI-FRIOS LTDA </t>
  </si>
  <si>
    <t xml:space="preserve">SERVIÇO TOMADO CONF 32 DE HORTA FACIL LTDA </t>
  </si>
  <si>
    <t xml:space="preserve">VLR REF COMPRA DE MERCADORIA CONF NF 100727 DE SEVERINO MARCELINO DE LIMA </t>
  </si>
  <si>
    <t xml:space="preserve">VLR REF COMPRA DE MERCADORIA CONF NF 100728 DE JOSENILDO GUSTAVO DE ALMEIDA </t>
  </si>
  <si>
    <t xml:space="preserve">VLR REF COMPRA DE MERCADORIA CONF NF 100732 DE SEVERINO LUIZ DOS SANTOS </t>
  </si>
  <si>
    <t xml:space="preserve">VLR REF COMPRA DE MERCADORIA CONF NF 100733 DE JOSE DENILSON SANTOS </t>
  </si>
  <si>
    <t xml:space="preserve">VLR REF COMPRA DE MERCADORIA CONF NF 100734 DE SEBASTIAO LUIZ PEREIRA </t>
  </si>
  <si>
    <t xml:space="preserve">VLR REF COMPRA DE MERCADORIA CONF NF 100735 DE MARCOS AURELIO DO NASCIMENTO </t>
  </si>
  <si>
    <t xml:space="preserve">VLR REF COMPRA DE MERCADORIA CONF NF 100736 DE EDSON JOSE DA SILVA </t>
  </si>
  <si>
    <t xml:space="preserve">VLR REF COMPRA DE MERCADORIA CONF NF 100737 DE MARIA LUIZA DE MORAIS </t>
  </si>
  <si>
    <t xml:space="preserve">VLR REF COMPRA DE MERCADORIA CONF NF 100738 DE MANOEL CORREIA DE OLIVEIRA </t>
  </si>
  <si>
    <t xml:space="preserve">VLR REF COMPRA DE MERCADORIA CONF NF 100739 DE ISRAEL AUGUSTO DE OLIVEIRA </t>
  </si>
  <si>
    <t xml:space="preserve">VLR REF COMPRA DE MERCADORIA CONF NF 100740 DE LUCIANO ALVES RODRIGUES </t>
  </si>
  <si>
    <t xml:space="preserve">VLR REF COMPRA DE MERCADORIA CONF NF 100750 DE EZEQUIEL FELISBERTO DE CARVALHO </t>
  </si>
  <si>
    <t xml:space="preserve">VLR REF COMPRA DE MERCADORIA CONF NF 100751 DE JOSE PINTO DOS SANTOS </t>
  </si>
  <si>
    <t xml:space="preserve">VLR REF COMPRA DE MERCADORIA CONF NF 30623 DE MARCONIEL FONTE DE OLIVEIRA ME </t>
  </si>
  <si>
    <t xml:space="preserve">VLR REF COMPRA DE MERCADORIA CONF  NF 35938 DE RONI PASCHOAL BRUNO -  EIRELI </t>
  </si>
  <si>
    <t xml:space="preserve">VLR REF COMPRA DE MERCADORIA CONF NF 3654 DE LOJAO DA CENOURA </t>
  </si>
  <si>
    <t xml:space="preserve">VLR REF COMPRA DE MERCADORIA CONF NF 3655 DE LOJAO DA CENOURA </t>
  </si>
  <si>
    <t xml:space="preserve">VLR REF COMPRA DE MERCADORIA CONF NF 560 DE A S DE OLIVEIRA FRUTAS </t>
  </si>
  <si>
    <t xml:space="preserve">VLR REF COMPRA DE MERCADORIA CONF NF 1449 DE KIVERDE HORTIFRUTI LTDA </t>
  </si>
  <si>
    <t xml:space="preserve">VLR REF COMPRA DE MERCADORIA CONF NF 548 DE R M SIQUEIRA HORTIFRUTIGRANJEIRO LTDA </t>
  </si>
  <si>
    <t xml:space="preserve">DEVOLUÇÃO DE COMPRAS CONF NF  100722 DE RONI PASCHOAL BRUNO -  EIRELI </t>
  </si>
  <si>
    <t xml:space="preserve">DEVOLUÇÃO DE COMPRAS CONF NF 100723 DE PETERFRUT COMERCIAL LTDA </t>
  </si>
  <si>
    <t xml:space="preserve">VALOR REF. A BAIXA DE ESTOQUE 100749  DE COMERCIAL HORTI-FRIOS LTDA </t>
  </si>
  <si>
    <t xml:space="preserve">VALOR REF. A BAIXA DE ESTOQUE 100762  DE COMERCIAL HORTI-FRIOS LTDA </t>
  </si>
  <si>
    <t xml:space="preserve">VALOR REF. A BAIXA DE ESTOQUE 100764  DE COMERCIAL HORTI-FRIOS LTDA </t>
  </si>
  <si>
    <t xml:space="preserve">VLR REF COMPRA DE MERCADORIA CONF NF 100785 DE SEVERINO MARCELINO DE LIMA </t>
  </si>
  <si>
    <t xml:space="preserve">VLR REF COMPRA DE MERCADORIA CONF NF 100786 DE SEVERINO LUIZ DOS SANTOS </t>
  </si>
  <si>
    <t xml:space="preserve">VLR REF COMPRA DE MERCADORIA CONF NF 100787 DE JOSENILDO GUSTAVO DE ALMEIDA </t>
  </si>
  <si>
    <t xml:space="preserve">VLR REF COMPRA DE MERCADORIA CONF NF 100788 DE JOSE DENILSON SANTOS </t>
  </si>
  <si>
    <t xml:space="preserve">VLR REF COMPRA DE MERCADORIA CONF NF 100789 DE SEBASTIAO LUIZ PEREIRA </t>
  </si>
  <si>
    <t xml:space="preserve">VLR REF COMPRA DE MERCADORIA CONF NF 100791 DE MANOEL CORREIA DE OLIVEIRA </t>
  </si>
  <si>
    <t xml:space="preserve">VLR REF COMPRA DE MERCADORIA CONF NF 100792 DE ISRAEL AUGUSTO DE OLIVEIRA </t>
  </si>
  <si>
    <t xml:space="preserve">VLR REF COMPRA DE MERCADORIA CONF NF 100793 DE BRAZ JOSE LOPES DA SILVA </t>
  </si>
  <si>
    <t xml:space="preserve">VLR REF COMPRA DE MERCADORIA CONF NF 100794 DE LUCIANO ALVES RODRIGUES </t>
  </si>
  <si>
    <t xml:space="preserve">VLR REF COMPRA DE MERCADORIA CONF NF 100806 DE VALDEMIR SEVERINO DA SILVA </t>
  </si>
  <si>
    <t xml:space="preserve">VLR REF COMPRA DE MERCADORIA CONF NF 100807 DE EDSON JOSE DA SILVA </t>
  </si>
  <si>
    <t xml:space="preserve">VLR REF COMPRA DE MERCADORIA CONF NF 100808 DE VALDERLANDIO VALENTIM GOMES </t>
  </si>
  <si>
    <t xml:space="preserve">VLR REF COMPRA DE MERCADORIA CONF NF 100809 DE MARIA LUIZA DE MORAIS </t>
  </si>
  <si>
    <t xml:space="preserve">VLR REF COMPRA DE MERCADORIA CONF NF 100810 DE EDSON JOSE DA SILVA </t>
  </si>
  <si>
    <t xml:space="preserve">VLR REF COMPRA DE MERCADORIA CONF NF 100811 DE EZEQUIEL FELISBERTO DE CARVALHO </t>
  </si>
  <si>
    <t xml:space="preserve">VLR REF COMPRA DE MERCADORIA CONF NF 100812 DE MIGUEL RAIMUNDO DE AGUIAR FILHO </t>
  </si>
  <si>
    <t xml:space="preserve">VLR REF COMPRA DE MERCADORIA CONF NF 30649 DE MARCONIEL FONTE DE OLIVEIRA ME </t>
  </si>
  <si>
    <t xml:space="preserve">VLR REF COMPRA DE MERCADORIA CONF NF 1286163 DE HIDEO HARUTA </t>
  </si>
  <si>
    <t xml:space="preserve">VLR REF COMPRA DE MERCADORIA CONF NF 89230 DE PETERFRUT COMERCIAL LTDA </t>
  </si>
  <si>
    <t xml:space="preserve">VLR REF COMPRA DE MERCADORIA CONF NF 32988 DE COMERCIAL SAFRA COMERCIO ATACADISTA DE ALIMENTO </t>
  </si>
  <si>
    <t xml:space="preserve">VLR REF COMPRA DE MERCADORIA CONF NF 309135 DE WASHINGTON FRUTAS COMERCIO LTDA </t>
  </si>
  <si>
    <t xml:space="preserve">VLR REF COMPRA DE MERCADORIA CONF  NF 35958 DE RONI PASCHOAL BRUNO -  EIRELI </t>
  </si>
  <si>
    <t xml:space="preserve">VLR REF COMPRA DE MERCADORIA CONF NF 1871 DE MAIS VERDE LTDA ME </t>
  </si>
  <si>
    <t xml:space="preserve">VLR REF COMPRA DE MERCADORIA CONF NF 1872 DE MAIS VERDE LTDA ME </t>
  </si>
  <si>
    <t xml:space="preserve">VLR REF COMPRA DE MERCADORIA CONF NF 561 DE A S DE OLIVEIRA FRUTAS </t>
  </si>
  <si>
    <t xml:space="preserve">VLR REF COMPRA DE MERCADORIA CONF NF 1459 DE KIVERDE HORTIFRUTI LTDA </t>
  </si>
  <si>
    <t xml:space="preserve">VLR REF COMPRA DE MERCADORIA CONF NF 57 DE LUIZ FRANCISCO DA SILVA FILHO 03545434400 </t>
  </si>
  <si>
    <t xml:space="preserve">VLR REF COMPRA DE MERCADORIA CONF NF 59 DE LUIZ FRANCISCO DA SILVA FILHO 03545434400 </t>
  </si>
  <si>
    <t xml:space="preserve">VLR REF COMPRA DE MERCADORIA CONF NF 153387 DE PETERFRUT COMERCIAL LTDA </t>
  </si>
  <si>
    <t xml:space="preserve">VALOR REF. A BAIXA DE ESTOQUE 100790  DE COMERCIAL HORTI-FRIOS LTDA </t>
  </si>
  <si>
    <t xml:space="preserve">VALOR REF. A BAIXA DE ESTOQUE 100813  DE COMERCIAL HORTI-FRIOS LTDA </t>
  </si>
  <si>
    <t xml:space="preserve">DEVOLUÇÃO DE COMPRAS CONF NF 100814 DE PETERFRUT COMERCIAL LTDA </t>
  </si>
  <si>
    <t xml:space="preserve">DEVOLUÇÃO DE COMPRAS CONF NF 100817 DE MARIA LUIZA DE MORAIS </t>
  </si>
  <si>
    <t xml:space="preserve">DEVOLUÇÃO DE COMPRAS CONF NF 100827 DE MARIA LUIZA DE MORAIS </t>
  </si>
  <si>
    <t xml:space="preserve">DEVOLUÇÃO DE COMPRAS CONF NF 100828 DE MARIA LUIZA DE MORAIS </t>
  </si>
  <si>
    <t xml:space="preserve">DEVOLUÇÃO DE COMPRAS CONF NF 100829 DE MARIA LUIZA DE MORAIS </t>
  </si>
  <si>
    <t xml:space="preserve">VLR REF COMPRA DE MERCADORIA CONF NF 100850 DE SEVERINO MARCELINO DE LIMA </t>
  </si>
  <si>
    <t xml:space="preserve">VLR REF COMPRA DE MERCADORIA CONF NF 100851 DE SEVERINO LUIZ DOS SANTOS </t>
  </si>
  <si>
    <t xml:space="preserve">VLR REF COMPRA DE MERCADORIA CONF NF 100852 DE JOSENILDO GUSTAVO DE ALMEIDA </t>
  </si>
  <si>
    <t xml:space="preserve">VLR REF COMPRA DE MERCADORIA CONF NF 100853 DE JOSE DENILSON SANTOS </t>
  </si>
  <si>
    <t xml:space="preserve">VLR REF COMPRA DE MERCADORIA CONF NF 100854 DE SEBASTIAO LUIZ PEREIRA </t>
  </si>
  <si>
    <t xml:space="preserve">VLR REF COMPRA DE MERCADORIA CONF NF 100856 DE JOSE PINTO DOS SANTOS </t>
  </si>
  <si>
    <t xml:space="preserve">VLR REF COMPRA DE MERCADORIA CONF NF 100857 DE MARCOS AURELIO DO NASCIMENTO </t>
  </si>
  <si>
    <t xml:space="preserve">VLR REF COMPRA DE MERCADORIA CONF NF 100858 DE EDSON JOSE DA SILVA </t>
  </si>
  <si>
    <t xml:space="preserve">VLR REF COMPRA DE MERCADORIA CONF NF 100860 DE MANOEL CORREIA DE OLIVEIRA </t>
  </si>
  <si>
    <t xml:space="preserve">VLR REF COMPRA DE MERCADORIA CONF NF 100862 DE BRAZ JOSE LOPES DA SILVA </t>
  </si>
  <si>
    <t xml:space="preserve">VLR REF COMPRA DE MERCADORIA CONF NF 100863 DE LUCIANO ALVES RODRIGUES </t>
  </si>
  <si>
    <t xml:space="preserve">VLR REF COMPRA DE MERCADORIA CONF NF 100864 DE MARIA LUIZA DE MORAIS </t>
  </si>
  <si>
    <t xml:space="preserve">VLR REF COMPRA DE MERCADORIA CONF NF 100880 DE SEVERINO MARCELINO DE LIMA </t>
  </si>
  <si>
    <t xml:space="preserve">VLR REF COMPRA DE MERCADORIA CONF NF 100881 DE SEVERINO LUIZ DOS SANTOS </t>
  </si>
  <si>
    <t xml:space="preserve">VLR REF COMPRA DE MERCADORIA CONF NF 100882 DE JOSENILDO GUSTAVO DE ALMEIDA </t>
  </si>
  <si>
    <t xml:space="preserve">VLR REF COMPRA DE MERCADORIA CONF NF 100883 DE JOSE DENILSON SANTOS </t>
  </si>
  <si>
    <t xml:space="preserve">VLR REF COMPRA DE MERCADORIA CONF NF 100884 DE SEBASTIAO LUIZ PEREIRA </t>
  </si>
  <si>
    <t xml:space="preserve">VLR REF COMPRA DE MERCADORIA CONF NF 30664 DE MARCONIEL FONTE DE OLIVEIRA ME </t>
  </si>
  <si>
    <t xml:space="preserve">VLR REF COMPRA DE MERCADORIA CONF  NF 53064 DE A.F.V DA FONSECA - EPP </t>
  </si>
  <si>
    <t xml:space="preserve">VLR REF COMPRA DE MERCADORIA CONF NF 26155 DE COMERCIAL NOVO ISRAEL LTDA </t>
  </si>
  <si>
    <t xml:space="preserve">VLR REF COMPRA DE MERCADORIA CONF  NF 168624 DE PERBONI S/A - RECIFE </t>
  </si>
  <si>
    <t xml:space="preserve">COMPRAS DE MERCADORIAS CONF NF 1847 DE A PEREIRA DE AMORIM LTDA </t>
  </si>
  <si>
    <t xml:space="preserve">VLR REF COMPRA DE MERCADORIA CONF NF 309169 DE WASHINGTON FRUTAS COMERCIO LTDA </t>
  </si>
  <si>
    <t xml:space="preserve">VLR REF COMPRA DE MERCADORIA CONF NF 10230 DE RAIMUNDO DENILSON DA SILVA COSTA </t>
  </si>
  <si>
    <t xml:space="preserve">VLR REF COMPRA DE MERCADORIA CONF NF 10231 DE RAIMUNDO DENILSON DA SILVA COSTA </t>
  </si>
  <si>
    <t xml:space="preserve">VLR REF COMPRA DE MERCADORIA CONF NF 10232 DE RAIMUNDO DENILSON DA SILVA COSTA </t>
  </si>
  <si>
    <t xml:space="preserve">VLR REF COMPRA DE MERCADORIA CONF NF 3662 DE LOJAO DA CENOURA </t>
  </si>
  <si>
    <t xml:space="preserve">VLR REF COMPRA DE MERCADORIA CONF NF 3663 DE LOJAO DA CENOURA </t>
  </si>
  <si>
    <t xml:space="preserve">VLR REF COMPRA DE MERCADORIA CONF NF 562 DE A S DE OLIVEIRA FRUTAS </t>
  </si>
  <si>
    <t xml:space="preserve">VLR REF COMPRA DE MERCADORIA CONF NF 1465 DE KIVERDE HORTIFRUTI LTDA </t>
  </si>
  <si>
    <t xml:space="preserve">VLR REF COMPRA DE MERCADORIA CONF NF 153414 DE PETERFRUT COMERCIAL LTDA </t>
  </si>
  <si>
    <t xml:space="preserve">VLR REF COMPRA DE MERCADORIA CONF NF 153415 DE PETERFRUT COMERCIAL LTDA </t>
  </si>
  <si>
    <t xml:space="preserve">VALOR REF. A BAIXA DE ESTOQUE 100855  DE COMERCIAL HORTI-FRIOS LTDA </t>
  </si>
  <si>
    <t xml:space="preserve">VALOR REF. A BAIXA DE ESTOQUE 100861  DE COMERCIAL HORTI-FRIOS LTDA </t>
  </si>
  <si>
    <t xml:space="preserve">VALOR REF. A BAIXA DE ESTOQUE 100877  DE COMERCIAL HORTI-FRIOS LTDA </t>
  </si>
  <si>
    <t xml:space="preserve">VLR REF COMPRA DE MERCADORIA CONF NF 100896 DE MARCOS AURELIO DO NASCIMENTO </t>
  </si>
  <si>
    <t xml:space="preserve">VLR REF COMPRA DE MERCADORIA CONF NF 100899 DE MARIA LUIZA DE MORAIS </t>
  </si>
  <si>
    <t xml:space="preserve">VLR REF COMPRA DE MERCADORIA CONF NF 100900 DE MANOEL CORREIA DE OLIVEIRA </t>
  </si>
  <si>
    <t xml:space="preserve">VLR REF COMPRA DE MERCADORIA CONF NF 100901 DE VALDERLANDIO VALENTIM GOMES </t>
  </si>
  <si>
    <t xml:space="preserve">VLR REF COMPRA DE MERCADORIA CONF NF 100903 DE ISRAEL AUGUSTO DE OLIVEIRA </t>
  </si>
  <si>
    <t xml:space="preserve">VLR REF COMPRA DE MERCADORIA CONF NF 100904 DE BRAZ JOSE LOPES DA SILVA </t>
  </si>
  <si>
    <t xml:space="preserve">VLR REF COMPRA DE MERCADORIA CONF NF 100908 DE MIGUEL RAIMUNDO DE AGUIAR FILHO </t>
  </si>
  <si>
    <t xml:space="preserve">VLR REF COMPRA DE MERCADORIA CONF NF 100909 DE JOSE PINTO DOS SANTOS </t>
  </si>
  <si>
    <t xml:space="preserve">VLR REF COMPRA DE MERCADORIA CONF NF 100910 DE EZEQUIEL FELISBERTO DE CARVALHO </t>
  </si>
  <si>
    <t xml:space="preserve">VLR REF COMPRA DE MERCADORIA CONF NF 323 DE ISMAEL DE MENDONCA BANDEIRA ME </t>
  </si>
  <si>
    <t xml:space="preserve">VLR REF COMPRA DE MERCADORIA CONF NF 30689 DE MARCONIEL FONTE DE OLIVEIRA ME </t>
  </si>
  <si>
    <t xml:space="preserve">VLR REF COMPRA DE MERCADORIA CONF  NF 53092 DE A.F.V DA FONSECA - EPP </t>
  </si>
  <si>
    <t xml:space="preserve">VLR REF COMPRA DE MERCADORIA CONF  NF 168662 DE PERBONI S/A - RECIFE </t>
  </si>
  <si>
    <t xml:space="preserve">VLR REF COMPRA DE MERCADORIA CONF NF 1288310 DE HIDEO HARUTA </t>
  </si>
  <si>
    <t xml:space="preserve">VLR REF COMPRA DE MERCADORIA CONF NF 33007 DE COMERCIAL SAFRA COMERCIO ATACADISTA DE ALIMENTO </t>
  </si>
  <si>
    <t xml:space="preserve">VLR REF COMPRA DE MERCADORIA CONF NF 309213 DE WASHINGTON FRUTAS COMERCIO LTDA </t>
  </si>
  <si>
    <t xml:space="preserve">VLR REF COMPRA DE MERCADORIA CONF  NF 35987 DE RONI PASCHOAL BRUNO -  EIRELI </t>
  </si>
  <si>
    <t xml:space="preserve">VLR REF COMPRA DE MERCADORIA CONF NF 1874 DE MAIS VERDE LTDA ME </t>
  </si>
  <si>
    <t xml:space="preserve">VLR REF COMPRA DE MERCADORIA CONF NF 1875 DE MAIS VERDE LTDA ME </t>
  </si>
  <si>
    <t xml:space="preserve">VLR REF COMPRA DE MERCADORIA CONF NF 563 DE A S DE OLIVEIRA FRUTAS </t>
  </si>
  <si>
    <t xml:space="preserve">VLR REF COMPRA DE MERCADORIA CONF NF 1473 DE KIVERDE HORTIFRUTI LTDA </t>
  </si>
  <si>
    <t xml:space="preserve">VLR REF COMPRA DE MERCADORIA CONF NF 558 DE R M SIQUEIRA HORTIFRUTIGRANJEIRO LTDA </t>
  </si>
  <si>
    <t xml:space="preserve">VLR REF COMPRA DE MERCADORIA CONF NF 153520 DE PETERFRUT COMERCIAL LTDA </t>
  </si>
  <si>
    <t xml:space="preserve">VALOR REF. A BAIXA DE ESTOQUE 100927  DE COMERCIAL HORTI-FRIOS LTDA </t>
  </si>
  <si>
    <t xml:space="preserve">BONIFICACAO SAIDA CONF NF  100931 DE EMILIA ELIZABETH BEZERRA DOS SANTOS </t>
  </si>
  <si>
    <t xml:space="preserve">VLR REF COMPRA DE MERCADORIA CONF NF 100955 DE MARCOS AURELIO DO NASCIMENTO </t>
  </si>
  <si>
    <t xml:space="preserve">VLR REF COMPRA DE MERCADORIA CONF NF 100957 DE MARIA LUIZA DE MORAIS </t>
  </si>
  <si>
    <t xml:space="preserve">VLR REF COMPRA DE MERCADORIA CONF NF 100958 DE ISRAEL AUGUSTO DE OLIVEIRA </t>
  </si>
  <si>
    <t xml:space="preserve">VLR REF COMPRA DE MERCADORIA CONF NF 100959 DE SEVERINO MARCELINO DE LIMA </t>
  </si>
  <si>
    <t xml:space="preserve">VLR REF COMPRA DE MERCADORIA CONF NF 100960 DE BRAZ JOSE LOPES DA SILVA </t>
  </si>
  <si>
    <t xml:space="preserve">VLR REF COMPRA DE MERCADORIA CONF NF 100962 DE JOSENILDO GUSTAVO DE ALMEIDA </t>
  </si>
  <si>
    <t xml:space="preserve">VLR REF COMPRA DE MERCADORIA CONF NF 100964 DE JOSE DENILSON SANTOS </t>
  </si>
  <si>
    <t xml:space="preserve">VLR REF COMPRA DE MERCADORIA CONF NF 100975 DE VALDEMIR SEVERINO DA SILVA </t>
  </si>
  <si>
    <t xml:space="preserve">VLR REF COMPRA DE MERCADORIA CONF NF 100976 DE JOSE PINTO DOS SANTOS </t>
  </si>
  <si>
    <t xml:space="preserve">VLR REF COMPRA DE MERCADORIA CONF NF 100982 DE EDSON JOSE DA SILVA </t>
  </si>
  <si>
    <t xml:space="preserve">VLR REF COMPRA DE MERCADORIA CONF NF 100983 DE EZEQUIEL FELISBERTO DE CARVALHO </t>
  </si>
  <si>
    <t xml:space="preserve">VLR REF COMPRA DE MERCADORIA CONF NF 100985 DE LUCIANO ALVES RODRIGUES </t>
  </si>
  <si>
    <t xml:space="preserve">VLR REF COMPRA DE MERCADORIA CONF NF 100995 DE SEBASTIAO LUIZ PEREIRA </t>
  </si>
  <si>
    <t xml:space="preserve">VLR REF COMPRA DE MERCADORIA CONF NF 100997 DE SEVERINO LUIZ DOS SANTOS </t>
  </si>
  <si>
    <t xml:space="preserve">VLR REF COMPRA DE MERCADORIA CONF NF 30706 DE MARCONIEL FONTE DE OLIVEIRA ME </t>
  </si>
  <si>
    <t xml:space="preserve">VLR REF COMPRA DE MERCADORIA CONF NF 26193 DE COMERCIAL NOVO ISRAEL LTDA </t>
  </si>
  <si>
    <t xml:space="preserve">VLR REF COMPRA DE MERCADORIA CONF  NF 168712 DE PERBONI S/A - RECIFE </t>
  </si>
  <si>
    <t xml:space="preserve">VLR REF COMPRA DE MERCADORIA CONF NF 89424 DE PETERFRUT COMERCIAL LTDA </t>
  </si>
  <si>
    <t xml:space="preserve">VLR REF COMPRA DE MERCADORIA CONF  NF 36017 DE RONI PASCHOAL BRUNO -  EIRELI </t>
  </si>
  <si>
    <t xml:space="preserve">VLR REF COMPRA DE MERCADORIA CONF NF 11398 DE R &amp; R INDUSTRIA ALIMENTICIA EIRELI </t>
  </si>
  <si>
    <t xml:space="preserve">VLR REF COMPRA DE MERCADORIA CONF NF 564 DE A S DE OLIVEIRA FRUTAS </t>
  </si>
  <si>
    <t xml:space="preserve">VLR REF COMPRA DE MERCADORIA CONF NF 1480 DE KIVERDE HORTIFRUTI LTDA </t>
  </si>
  <si>
    <t xml:space="preserve">VLR REF COMPRA DE MERCADORIA CONF NF 100961 DE SEVERINO LUIZ DOS SANTOS </t>
  </si>
  <si>
    <t xml:space="preserve">VLR REF COMPRA DE MERCADORIA CONF NF 100965 DE SEBASTIAO LUIZ PEREIRA </t>
  </si>
  <si>
    <t xml:space="preserve">DEVOLUÇÃO DE COMPRAS CONF NF 100951 DE PETERFRUT COMERCIAL LTDA </t>
  </si>
  <si>
    <t xml:space="preserve">BONIFICACAO SAIDA CONF NF  100990 DE EMILIA ELIZABETH BEZERRA DOS SANTOS </t>
  </si>
  <si>
    <t xml:space="preserve">VALOR REF. A BAIXA DE ESTOQUE 100991  DE COMERCIAL HORTI-FRIOS LTDA </t>
  </si>
  <si>
    <t xml:space="preserve">VALOR REF. A BAIXA DE ESTOQUE 100992  DE COMERCIAL HORTI-FRIOS LTDA </t>
  </si>
  <si>
    <t xml:space="preserve">VALOR REF. A BAIXA DE ESTOQUE 100993  DE COMERCIAL HORTI-FRIOS LTDA </t>
  </si>
  <si>
    <t xml:space="preserve">BONIFICACAO SAIDA CONF NF  100996 DE SUZANA LUCICLEIA BEZERRA DOS SANTOS </t>
  </si>
  <si>
    <t xml:space="preserve">DEVOLUÇÃO DE COMPRAS CONF NF 78200 DE Kalunga SA </t>
  </si>
  <si>
    <t xml:space="preserve">VLR REF COMPRA DE MERCADORIA CONF NF 101011 DE SEVERINO MARCELINO DE LIMA </t>
  </si>
  <si>
    <t xml:space="preserve">VLR REF COMPRA DE MERCADORIA CONF NF 101012 DE JOSENILDO GUSTAVO DE ALMEIDA </t>
  </si>
  <si>
    <t xml:space="preserve">VLR REF COMPRA DE MERCADORIA CONF NF 101013 DE JOSE DENILSON SANTOS </t>
  </si>
  <si>
    <t xml:space="preserve">VLR REF COMPRA DE MERCADORIA CONF NF 101014 DE EDSON JOSE DA SILVA </t>
  </si>
  <si>
    <t xml:space="preserve">VLR REF COMPRA DE MERCADORIA CONF NF 101015 DE MARIA LUIZA DE MORAIS </t>
  </si>
  <si>
    <t xml:space="preserve">VLR REF COMPRA DE MERCADORIA CONF NF 101016 DE HIDEO HARUTA </t>
  </si>
  <si>
    <t xml:space="preserve">VLR REF COMPRA DE MERCADORIA CONF NF 101017 DE VALDERLANDIO VALENTIM GOMES </t>
  </si>
  <si>
    <t xml:space="preserve">VLR REF COMPRA DE MERCADORIA CONF NF 101018 DE ISRAEL AUGUSTO DE OLIVEIRA </t>
  </si>
  <si>
    <t xml:space="preserve">VLR REF COMPRA DE MERCADORIA CONF NF 101019 DE MIGUEL RAIMUNDO DE AGUIAR FILHO </t>
  </si>
  <si>
    <t xml:space="preserve">VLR REF COMPRA DE MERCADORIA CONF NF 101031 DE SEVERINO LUIZ DOS SANTOS </t>
  </si>
  <si>
    <t xml:space="preserve">VLR REF COMPRA DE MERCADORIA CONF NF 101032 DE SEBASTIAO LUIZ PEREIRA </t>
  </si>
  <si>
    <t xml:space="preserve">VLR REF COMPRA DE MERCADORIA CONF NF 101036 DE VALDEMIR SEVERINO DA SILVA </t>
  </si>
  <si>
    <t xml:space="preserve">VLR REF COMPRA DE MERCADORIA CONF NF 101037 DE EZEQUIEL FELISBERTO DE CARVALHO </t>
  </si>
  <si>
    <t xml:space="preserve">VLR REF COMPRA DE MERCADORIA CONF NF 30730 DE MARCONIEL FONTE DE OLIVEIRA ME </t>
  </si>
  <si>
    <t xml:space="preserve">VLR REF COMPRA DE MERCADORIA CONF NF 33022 DE COMERCIAL SAFRA COMERCIO ATACADISTA DE ALIMENTO </t>
  </si>
  <si>
    <t xml:space="preserve">COMPRAS DE MERCADORIAS CONF NF 1886 DE A PEREIRA DE AMORIM LTDA </t>
  </si>
  <si>
    <t xml:space="preserve">VLR REF COMPRA DE MERCADORIA CONF NF 10254 DE RAIMUNDO DENILSON DA SILVA COSTA </t>
  </si>
  <si>
    <t xml:space="preserve">VLR REF COMPRA DE MERCADORIA CONF NF 10255 DE RAIMUNDO DENILSON DA SILVA COSTA </t>
  </si>
  <si>
    <t xml:space="preserve">VLR REF COMPRA DE MERCADORIA CONF NF 1877 DE MAIS VERDE LTDA ME </t>
  </si>
  <si>
    <t xml:space="preserve">VLR REF COMPRA DE MERCADORIA CONF NF 1878 DE MAIS VERDE LTDA ME </t>
  </si>
  <si>
    <t xml:space="preserve">VLR REF COMPRA DE MERCADORIA CONF NF 1880 DE MAIS VERDE LTDA ME </t>
  </si>
  <si>
    <t xml:space="preserve">VLR REF COMPRA DE MERCADORIA CONF NF 3669 DE LOJAO DA CENOURA </t>
  </si>
  <si>
    <t xml:space="preserve">VLR REF COMPRA DE MERCADORIA CONF NF 3670 DE LOJAO DA CENOURA </t>
  </si>
  <si>
    <t xml:space="preserve">VLR REF COMPRA DE MERCADORIA CONF NF 3671 DE LOJAO DA CENOURA </t>
  </si>
  <si>
    <t xml:space="preserve">VLR REF COMPRA DE MERCADORIA CONF NF 565 DE A S DE OLIVEIRA FRUTAS </t>
  </si>
  <si>
    <t xml:space="preserve">VLR REF COMPRA DE MERCADORIA CONF NF 1489 DE KIVERDE HORTIFRUTI LTDA </t>
  </si>
  <si>
    <t xml:space="preserve">VLR REF COMPRA DE MERCADORIA CONF NF 21 DE S S B HORTIFRUTI NORDESTE LTDA </t>
  </si>
  <si>
    <t xml:space="preserve">VALOR REF. A BAIXA DE ESTOQUE 101033  DE COMERCIAL HORTI-FRIOS LTDA </t>
  </si>
  <si>
    <t xml:space="preserve">VALOR REF. A BAIXA DE ESTOQUE 101034  DE COMERCIAL HORTI-FRIOS LTDA </t>
  </si>
  <si>
    <t xml:space="preserve">VALOR REF. A BAIXA DE ESTOQUE 101039  DE COMERCIAL HORTI-FRIOS LTDA </t>
  </si>
  <si>
    <t xml:space="preserve">VLR REF COMPRA DE MERCADORIA CONF NF 101063 DE EDSON JOSE DA SILVA </t>
  </si>
  <si>
    <t xml:space="preserve">VLR REF COMPRA DE MERCADORIA CONF NF 101064 DE MARCOS AURELIO DO NASCIMENTO </t>
  </si>
  <si>
    <t xml:space="preserve">VLR REF COMPRA DE MERCADORIA CONF NF 101065 DE MARIA LUIZA DE MORAIS </t>
  </si>
  <si>
    <t xml:space="preserve">VLR REF COMPRA DE MERCADORIA CONF NF 101066 DE MANOEL CORREIA DE OLIVEIRA </t>
  </si>
  <si>
    <t xml:space="preserve">VLR REF COMPRA DE MERCADORIA CONF NF 101067 DE ISRAEL AUGUSTO DE OLIVEIRA </t>
  </si>
  <si>
    <t xml:space="preserve">VLR REF COMPRA DE MERCADORIA CONF NF 101068 DE BRAZ JOSE LOPES DA SILVA </t>
  </si>
  <si>
    <t xml:space="preserve">VLR REF COMPRA DE MERCADORIA CONF NF 101082 DE SEVERINO MARCELINO DE LIMA </t>
  </si>
  <si>
    <t xml:space="preserve">VLR REF COMPRA DE MERCADORIA CONF NF 101083 DE JOSENILDO GUSTAVO DE ALMEIDA </t>
  </si>
  <si>
    <t xml:space="preserve">VLR REF COMPRA DE MERCADORIA CONF NF 101084 DE JOSE DENILSON SANTOS </t>
  </si>
  <si>
    <t xml:space="preserve">VLR REF COMPRA DE MERCADORIA CONF NF 101085 DE JOSE PINTO DOS SANTOS </t>
  </si>
  <si>
    <t xml:space="preserve">VLR REF COMPRA DE MERCADORIA CONF NF 101098 DE EZEQUIEL FELISBERTO DE CARVALHO </t>
  </si>
  <si>
    <t xml:space="preserve">VLR REF COMPRA DE MERCADORIA CONF NF 101099 DE MARCOS AURELIO DO NASCIMENTO </t>
  </si>
  <si>
    <t xml:space="preserve">VLR REF COMPRA DE MERCADORIA CONF NF 30746 DE MARCONIEL FONTE DE OLIVEIRA ME </t>
  </si>
  <si>
    <t xml:space="preserve">VLR REF COMPRA DE MERCADORIA CONF  NF 53165 DE A.F.V DA FONSECA - EPP </t>
  </si>
  <si>
    <t xml:space="preserve">VLR REF COMPRA DE MERCADORIA CONF  NF 168857 DE PERBONI S/A - RECIFE </t>
  </si>
  <si>
    <t xml:space="preserve">VLR REF COMPRA DE MERCADORIA CONF NF 89549 DE PETERFRUT COMERCIAL LTDA </t>
  </si>
  <si>
    <t xml:space="preserve">VLR REF COMPRA DE MERCADORIA CONF NF 18370 DE VINI COMERCIO DE ALHOS LTDA </t>
  </si>
  <si>
    <t xml:space="preserve">VLR REF COMPRA DE MERCADORIA CONF NF 30346 DE EDYPO C DA SILVA HORTIFRUTIGRANJEIROS </t>
  </si>
  <si>
    <t xml:space="preserve">VLR REF COMPRA DE MERCADORIA CONF NF 566 DE A S DE OLIVEIRA FRUTAS </t>
  </si>
  <si>
    <t xml:space="preserve">VLR REF COMPRA DE MERCADORIA CONF NF 1497 DE KIVERDE HORTIFRUTI LTDA </t>
  </si>
  <si>
    <t xml:space="preserve">VLR REF COMPRA DE MERCADORIA CONF NF 1500 DE KIVERDE HORTIFRUTI LTDA </t>
  </si>
  <si>
    <t xml:space="preserve">VLR REF COMPRA DE MERCADORIA CONF NF 27 DE S S B HORTIFRUTI NORDESTE LTDA </t>
  </si>
  <si>
    <t xml:space="preserve">VALOR REF. A BAIXA DE ESTOQUE 101080  DE COMERCIAL HORTI-FRIOS LTDA </t>
  </si>
  <si>
    <t xml:space="preserve">VALOR REF. A BAIXA DE ESTOQUE 101081  DE COMERCIAL HORTI-FRIOS LTDA </t>
  </si>
  <si>
    <t xml:space="preserve">DEVOLUÇÃO DE COMPRAS CONF NF 101100 DE PETERFRUT COMERCIAL LTDA </t>
  </si>
  <si>
    <t xml:space="preserve">VALOR REF. A BAIXA DE ESTOQUE 101101  DE COMERCIAL HORTI-FRIOS LTDA </t>
  </si>
  <si>
    <t xml:space="preserve">VALOR REF. A BAIXA DE ESTOQUE 101102  DE COMERCIAL HORTI-FRIOS LTDA </t>
  </si>
  <si>
    <t xml:space="preserve">VLR REF COMPRA DE MERCADORIA CONF NF 101113 DE SEVERINO MARCELINO DE LIMA </t>
  </si>
  <si>
    <t xml:space="preserve">VLR REF COMPRA DE MERCADORIA CONF NF 101115 DE JOSENILDO GUSTAVO DE ALMEIDA </t>
  </si>
  <si>
    <t xml:space="preserve">VLR REF COMPRA DE MERCADORIA CONF NF 101116 DE SEBASTIAO LUIZ PEREIRA </t>
  </si>
  <si>
    <t xml:space="preserve">VLR REF COMPRA DE MERCADORIA CONF NF 101117 DE JOSE DENILSON SANTOS </t>
  </si>
  <si>
    <t xml:space="preserve">VLR REF COMPRA DE MERCADORIA CONF NF 101124 DE MARIA LUIZA DE MORAIS </t>
  </si>
  <si>
    <t xml:space="preserve">VLR REF COMPRA DE MERCADORIA CONF NF 101125 DE ISRAEL AUGUSTO DE OLIVEIRA </t>
  </si>
  <si>
    <t xml:space="preserve">VLR REF COMPRA DE MERCADORIA CONF NF 101126 DE BRAZ JOSE LOPES DA SILVA </t>
  </si>
  <si>
    <t xml:space="preserve">VLR REF COMPRA DE MERCADORIA CONF NF 101127 DE LUCIANO ALVES RODRIGUES </t>
  </si>
  <si>
    <t xml:space="preserve">VLR REF COMPRA DE MERCADORIA CONF NF 101142 DE EZEQUIEL FELISBERTO DE CARVALHO </t>
  </si>
  <si>
    <t xml:space="preserve">VLR REF COMPRA DE MERCADORIA CONF NF 101144 DE VALDERLANDIO VALENTIM GOMES </t>
  </si>
  <si>
    <t xml:space="preserve">VLR REF COMPRA DE MERCADORIA CONF NF 101145 DE EDSON JOSE DA SILVA </t>
  </si>
  <si>
    <t xml:space="preserve">VLR REF COMPRA DE MERCADORIA CONF NF 101166 DE MIGUEL RAIMUNDO DE AGUIAR FILHO </t>
  </si>
  <si>
    <t xml:space="preserve">VLR REF COMPRA DE MERCADORIA CONF NF 30771 DE MARCONIEL FONTE DE OLIVEIRA ME </t>
  </si>
  <si>
    <t xml:space="preserve">VLR REF COMPRA DE MERCADORIA CONF NF 26231 DE COMERCIAL NOVO ISRAEL LTDA </t>
  </si>
  <si>
    <t xml:space="preserve">VLR REF COMPRA DE MERCADORIA CONF NF 1292635 DE HIDEO HARUTA </t>
  </si>
  <si>
    <t xml:space="preserve">VLR REF COMPRA DE MERCADORIA CONF NF 89574 DE PETERFRUT COMERCIAL LTDA </t>
  </si>
  <si>
    <t xml:space="preserve">VLR REF COMPRA DE MERCADORIA CONF NF 33056 DE COMERCIAL SAFRA COMERCIO ATACADISTA DE ALIMENTO </t>
  </si>
  <si>
    <t xml:space="preserve">VLR REF COMPRA DE MERCADORIA CONF NF 10273 DE RAIMUNDO DENILSON DA SILVA COSTA </t>
  </si>
  <si>
    <t xml:space="preserve">VLR REF COMPRA DE MERCADORIA CONF NF 1882 DE MAIS VERDE LTDA ME </t>
  </si>
  <si>
    <t xml:space="preserve">VLR REF COMPRA DE MERCADORIA CONF NF 1883 DE MAIS VERDE LTDA ME </t>
  </si>
  <si>
    <t xml:space="preserve">VLR REF COMPRA DE MERCADORIA CONF NF 567 DE A S DE OLIVEIRA FRUTAS </t>
  </si>
  <si>
    <t xml:space="preserve">VLR REF COMPRA DE MERCADORIA CONF NF 1506 DE KIVERDE HORTIFRUTI LTDA </t>
  </si>
  <si>
    <t xml:space="preserve">VLR REF COMPRA DE MERCADORIA CONF NF 70 DE LUIZ FRANCISCO DA SILVA FILHO 03545434400 </t>
  </si>
  <si>
    <t xml:space="preserve">VLR REF COMPRA DE MERCADORIA CONF NF 568 DE R M SIQUEIRA HORTIFRUTIGRANJEIRO LTDA </t>
  </si>
  <si>
    <t xml:space="preserve">VLR REF COMPRA DE MERCADORIA CONF NF 40 DE S S B HORTIFRUTI NORDESTE LTDA </t>
  </si>
  <si>
    <t xml:space="preserve">VLR REF COMPRA DE MERCADORIA CONF NF 153634 DE PETERFRUT COMERCIAL LTDA </t>
  </si>
  <si>
    <t xml:space="preserve">VLR REF COMPRA DE MERCADORIA CONF NF 101114 DE SEVERINO LUIZ DOS SANTOS </t>
  </si>
  <si>
    <t xml:space="preserve">VALOR REF. A BAIXA DE ESTOQUE 101128  DE COMERCIAL HORTI-FRIOS LTDA </t>
  </si>
  <si>
    <t xml:space="preserve">VALOR REF. A BAIXA DE ESTOQUE 101129  DE COMERCIAL HORTI-FRIOS LTDA </t>
  </si>
  <si>
    <t xml:space="preserve">BONIFICACAO SAIDA CONF NF  101141 DE SUZANA LUCICLEIA BEZERRA DOS SANTOS </t>
  </si>
  <si>
    <t xml:space="preserve">VLR REF COMPRA DE MERCADORIA CONF NF 101178 DE VALDEMIR SEVERINO DA SILVA </t>
  </si>
  <si>
    <t xml:space="preserve">VLR REF COMPRA DE MERCADORIA CONF NF 101179 DE SEVERINO MARCELINO DE LIMA </t>
  </si>
  <si>
    <t xml:space="preserve">VLR REF COMPRA DE MERCADORIA CONF NF 101181 DE JOSENILDO GUSTAVO DE ALMEIDA </t>
  </si>
  <si>
    <t xml:space="preserve">VLR REF COMPRA DE MERCADORIA CONF NF 101182 DE JOSE DENILSON SANTOS </t>
  </si>
  <si>
    <t xml:space="preserve">VLR REF COMPRA DE MERCADORIA CONF NF 101183 DE SEBASTIAO LUIZ PEREIRA </t>
  </si>
  <si>
    <t xml:space="preserve">VLR REF COMPRA DE MERCADORIA CONF NF 101185 DE JOSENILDO GUSTAVO DE ALMEIDA </t>
  </si>
  <si>
    <t xml:space="preserve">VLR REF COMPRA DE MERCADORIA CONF NF 101186 DE EDSON JOSE DA SILVA </t>
  </si>
  <si>
    <t xml:space="preserve">VLR REF COMPRA DE MERCADORIA CONF NF 101187 DE MARIA LUIZA DE MORAIS </t>
  </si>
  <si>
    <t xml:space="preserve">VLR REF COMPRA DE MERCADORIA CONF NF 101188 DE MANOEL CORREIA DE OLIVEIRA </t>
  </si>
  <si>
    <t xml:space="preserve">VLR REF COMPRA DE MERCADORIA CONF NF 101189 DE EZEQUIEL FELISBERTO DE CARVALHO </t>
  </si>
  <si>
    <t xml:space="preserve">VLR REF COMPRA DE MERCADORIA CONF NF 101190 DE BRAZ JOSE LOPES DA SILVA </t>
  </si>
  <si>
    <t xml:space="preserve">VLR REF COMPRA DE MERCADORIA CONF NF 101191 DE MARCOS AURELIO DO NASCIMENTO </t>
  </si>
  <si>
    <t xml:space="preserve">VLR REF COMPRA DE MERCADORIA CONF NF 101192 DE JOSE PINTO DOS SANTOS </t>
  </si>
  <si>
    <t xml:space="preserve">VLR REF COMPRA DE MERCADORIA CONF NF 101206 DE SEVERINO LUIZ DOS SANTOS </t>
  </si>
  <si>
    <t xml:space="preserve">VLR REF COMPRA DE MERCADORIA CONF NF 101207 DE JOSENILDO GUSTAVO DE ALMEIDA </t>
  </si>
  <si>
    <t xml:space="preserve">VLR REF COMPRA DE MERCADORIA CONF NF 101208 DE JOSE DENILSON SANTOS </t>
  </si>
  <si>
    <t xml:space="preserve">VLR REF COMPRA DE MERCADORIA CONF NF 101209 DE SEBASTIAO LUIZ PEREIRA </t>
  </si>
  <si>
    <t xml:space="preserve">VLR REF COMPRA DE MERCADORIA CONF NF 101210 DE SEVERINO MARCELINO DE LIMA </t>
  </si>
  <si>
    <t xml:space="preserve">VLR REF COMPRA DE MERCADORIA CONF NF 30787 DE MARCONIEL FONTE DE OLIVEIRA ME </t>
  </si>
  <si>
    <t xml:space="preserve">VLR REF COMPRA DE MERCADORIA CONF NF 309362 DE WASHINGTON FRUTAS COMERCIO LTDA </t>
  </si>
  <si>
    <t xml:space="preserve">VLR REF COMPRA DE MERCADORIA CONF NF 3674 DE LOJAO DA CENOURA </t>
  </si>
  <si>
    <t xml:space="preserve">VLR REF COMPRA DE MERCADORIA CONF NF 3675 DE LOJAO DA CENOURA </t>
  </si>
  <si>
    <t xml:space="preserve">VLR REF COMPRA DE MERCADORIA CONF NF 3676 DE LOJAO DA CENOURA </t>
  </si>
  <si>
    <t xml:space="preserve">VLR REF COMPRA DE MERCADORIA CONF NF 568 DE A S DE OLIVEIRA FRUTAS </t>
  </si>
  <si>
    <t xml:space="preserve">VLR REF COMPRA DE MERCADORIA CONF NF 1511 DE KIVERDE HORTIFRUTI LTDA </t>
  </si>
  <si>
    <t xml:space="preserve">VLR REF COMPRA DE MERCADORIA CONF NF 62 DE S S B HORTIFRUTI NORDESTE LTDA </t>
  </si>
  <si>
    <t xml:space="preserve">VLR REF COMPRA DE MERCADORIA CONF NF 153672 DE PETERFRUT COMERCIAL LTDA </t>
  </si>
  <si>
    <t xml:space="preserve">VLR REF COMPRA DE MERCADORIA CONF NF 153673 DE PETERFRUT COMERCIAL LTDA </t>
  </si>
  <si>
    <t xml:space="preserve">VLR REF COMPRA DE MERCADORIA CONF NF 101180 DE SEVERINO LUIZ DOS SANTOS </t>
  </si>
  <si>
    <t xml:space="preserve">DEVOLUÇÃO DE COMPRAS CONF NF 101184 DE JOSENILDO GUSTAVO DE ALMEIDA </t>
  </si>
  <si>
    <t xml:space="preserve">VALOR REF. A BAIXA DE ESTOQUE 101203  DE COMERCIAL HORTI-FRIOS LTDA </t>
  </si>
  <si>
    <t xml:space="preserve">VALOR REF. A BAIXA DE ESTOQUE 101204  DE COMERCIAL HORTI-FRIOS LTDA </t>
  </si>
  <si>
    <t xml:space="preserve">VALOR REF. A BAIXA DE ESTOQUE 101205  DE COMERCIAL HORTI-FRIOS LTDA </t>
  </si>
  <si>
    <t xml:space="preserve">VLR REF COMPRA DE MERCADORIA CONF NF 101246 DE JOSE PINTO DOS SANTOS </t>
  </si>
  <si>
    <t xml:space="preserve">VLR REF COMPRA DE MERCADORIA CONF NF 101248 DE MARIA LUIZA DE MORAIS </t>
  </si>
  <si>
    <t xml:space="preserve">VLR REF COMPRA DE MERCADORIA CONF NF 101250 DE JOSE PINTO DOS SANTOS </t>
  </si>
  <si>
    <t xml:space="preserve">VLR REF COMPRA DE MERCADORIA CONF NF 101251 DE MARCOS AURELIO DO NASCIMENTO </t>
  </si>
  <si>
    <t xml:space="preserve">VLR REF COMPRA DE MERCADORIA CONF NF 101252 DE EDSON JOSE DA SILVA </t>
  </si>
  <si>
    <t xml:space="preserve">VLR REF COMPRA DE MERCADORIA CONF NF 101253 DE MARIA LUIZA DE MORAIS </t>
  </si>
  <si>
    <t xml:space="preserve">VLR REF COMPRA DE MERCADORIA CONF NF 101254 DE MANOEL CORREIA DE OLIVEIRA </t>
  </si>
  <si>
    <t xml:space="preserve">VLR REF COMPRA DE MERCADORIA CONF NF 101255 DE VALDERLANDIO VALENTIM GOMES </t>
  </si>
  <si>
    <t xml:space="preserve">VLR REF COMPRA DE MERCADORIA CONF NF 101256 DE EZEQUIEL FELISBERTO DE CARVALHO </t>
  </si>
  <si>
    <t xml:space="preserve">VLR REF COMPRA DE MERCADORIA CONF NF 101257 DE ISRAEL AUGUSTO DE OLIVEIRA </t>
  </si>
  <si>
    <t xml:space="preserve">VLR REF COMPRA DE MERCADORIA CONF NF 30812 DE MARCONIEL FONTE DE OLIVEIRA ME </t>
  </si>
  <si>
    <t xml:space="preserve">VLR REF COMPRA DE MERCADORIA CONF  NF 53258 DE A.F.V DA FONSECA - EPP </t>
  </si>
  <si>
    <t xml:space="preserve">VLR REF COMPRA DE MERCADORIA CONF  NF 53259 DE A.F.V DA FONSECA - EPP </t>
  </si>
  <si>
    <t xml:space="preserve">VLR REF COMPRA DE MERCADORIA CONF NF 26266 DE COMERCIAL NOVO ISRAEL LTDA </t>
  </si>
  <si>
    <t xml:space="preserve">VLR REF COMPRA DE MERCADORIA CONF  NF 169036 DE PERBONI S/A - RECIFE </t>
  </si>
  <si>
    <t xml:space="preserve">VLR REF COMPRA DE MERCADORIA CONF NF 1294148 DE HIDEO HARUTA </t>
  </si>
  <si>
    <t xml:space="preserve">VLR REF COMPRA DE MERCADORIA CONF NF 309400 DE WASHINGTON FRUTAS COMERCIO LTDA </t>
  </si>
  <si>
    <t xml:space="preserve">VLR REF COMPRA DE MERCADORIA CONF NF 1884 DE MAIS VERDE LTDA ME </t>
  </si>
  <si>
    <t xml:space="preserve">VLR REF COMPRA DE MERCADORIA CONF NF 1885 DE MAIS VERDE LTDA ME </t>
  </si>
  <si>
    <t xml:space="preserve">VLR REF COMPRA DE MERCADORIA CONF NF 1886 DE MAIS VERDE LTDA ME </t>
  </si>
  <si>
    <t xml:space="preserve">VLR REF COMPRA DE MERCADORIA CONF NF 1524 DE KIVERDE HORTIFRUTI LTDA </t>
  </si>
  <si>
    <t xml:space="preserve">VLR REF COMPRA DE MERCADORIA CONF NF 579 DE R M SIQUEIRA HORTIFRUTIGRANJEIRO LTDA </t>
  </si>
  <si>
    <t xml:space="preserve">VLR REF COMPRA DE MERCADORIA CONF NF 67 DE S S B HORTIFRUTI NORDESTE LTDA </t>
  </si>
  <si>
    <t xml:space="preserve">VLR REF COMPRA DE MERCADORIA CONF NF 153754 DE PETERFRUT COMERCIAL LTDA </t>
  </si>
  <si>
    <t xml:space="preserve">BONIFICACAO SAIDA CONF NF  101235 DE SUZANA LUCICLEIA BEZERRA DOS SANTOS </t>
  </si>
  <si>
    <t xml:space="preserve">VALOR REF. A BAIXA DE ESTOQUE 101237  DE COMERCIAL HORTI-FRIOS LTDA </t>
  </si>
  <si>
    <t xml:space="preserve">VALOR REF. A BAIXA DE ESTOQUE 101244  DE COMERCIAL HORTI-FRIOS LTDA </t>
  </si>
  <si>
    <t xml:space="preserve">VLR REF COMPRA DE MERCADORIA CONF NF 101298 DE VALDEMIR SEVERINO DA SILVA </t>
  </si>
  <si>
    <t xml:space="preserve">VLR REF COMPRA DE MERCADORIA CONF NF 101299 DE MARCOS AURELIO DO NASCIMENTO </t>
  </si>
  <si>
    <t xml:space="preserve">VLR REF COMPRA DE MERCADORIA CONF NF 101300 DE MARIA LUIZA DE MORAIS </t>
  </si>
  <si>
    <t xml:space="preserve">VLR REF COMPRA DE MERCADORIA CONF NF 101301 DE MANOEL CORREIA DE OLIVEIRA </t>
  </si>
  <si>
    <t xml:space="preserve">VLR REF COMPRA DE MERCADORIA CONF NF 101302 DE ISRAEL AUGUSTO DE OLIVEIRA </t>
  </si>
  <si>
    <t xml:space="preserve">VLR REF COMPRA DE MERCADORIA CONF NF 101303 DE BRAZ JOSE LOPES DA SILVA </t>
  </si>
  <si>
    <t xml:space="preserve">VLR REF COMPRA DE MERCADORIA CONF NF 101307 DE SEVERINO MARCELINO DE LIMA </t>
  </si>
  <si>
    <t xml:space="preserve">VLR REF COMPRA DE MERCADORIA CONF NF 101309 DE JOSENILDO GUSTAVO DE ALMEIDA </t>
  </si>
  <si>
    <t xml:space="preserve">VLR REF COMPRA DE MERCADORIA CONF NF 101310 DE JOSE DENILSON SANTOS </t>
  </si>
  <si>
    <t xml:space="preserve">VLR REF COMPRA DE MERCADORIA CONF NF 101312 DE BRAZ JOSE LOPES DA SILVA </t>
  </si>
  <si>
    <t xml:space="preserve">VLR REF COMPRA DE MERCADORIA CONF NF 101313 DE MIGUEL RAIMUNDO DE AGUIAR FILHO </t>
  </si>
  <si>
    <t xml:space="preserve">VLR REF COMPRA DE MERCADORIA CONF NF 101331 DE JOSE PINTO DOS SANTOS </t>
  </si>
  <si>
    <t xml:space="preserve">VLR REF COMPRA DE MERCADORIA CONF NF 101332 DE EDSON JOSE DA SILVA </t>
  </si>
  <si>
    <t xml:space="preserve">VLR REF COMPRA DE MERCADORIA CONF NF 101333 DE EZEQUIEL FELISBERTO DE CARVALHO </t>
  </si>
  <si>
    <t xml:space="preserve">VLR REF COMPRA DE MERCADORIA CONF NF 101335 DE LUCIANO ALVES RODRIGUES </t>
  </si>
  <si>
    <t xml:space="preserve">VLR REF COMPRA DE MERCADORIA CONF NF 326 DE ISMAEL DE MENDONCA BANDEIRA ME </t>
  </si>
  <si>
    <t xml:space="preserve">VLR REF COMPRA DE MERCADORIA CONF NF 30829 DE MARCONIEL FONTE DE OLIVEIRA ME </t>
  </si>
  <si>
    <t xml:space="preserve">VLR REF COMPRA DE MERCADORIA CONF  NF 53279 DE A.F.V DA FONSECA - EPP </t>
  </si>
  <si>
    <t xml:space="preserve">VLR REF COMPRA DE MERCADORIA CONF NF 1037 DE M J DE SOUZA CONFESSOR </t>
  </si>
  <si>
    <t xml:space="preserve">VLR REF COMPRA DE MERCADORIA CONF  NF 169113 DE PERBONI S/A - RECIFE </t>
  </si>
  <si>
    <t xml:space="preserve">VLR REF COMPRA DE MERCADORIA CONF  NF 1797 DE VILMA GOMES F DE OLIVEIRA- ME </t>
  </si>
  <si>
    <t xml:space="preserve">VLR REF COMPRA DE MERCADORIA CONF NF 89705 DE PETERFRUT COMERCIAL LTDA </t>
  </si>
  <si>
    <t xml:space="preserve">VLR REF COMPRA DE MERCADORIA CONF NF 309433 DE WASHINGTON FRUTAS COMERCIO LTDA </t>
  </si>
  <si>
    <t xml:space="preserve">VLR REF COMPRA DE MERCADORIA CONF NF 11445 DE R &amp; R INDUSTRIA ALIMENTICIA EIRELI </t>
  </si>
  <si>
    <t xml:space="preserve">VLR REF COMPRA DE MERCADORIA CONF NF 570 DE A S DE OLIVEIRA FRUTAS </t>
  </si>
  <si>
    <t xml:space="preserve">VLR REF COMPRA DE MERCADORIA CONF NF 571 DE A S DE OLIVEIRA FRUTAS </t>
  </si>
  <si>
    <t xml:space="preserve">VLR REF COMPRA DE MERCADORIA CONF NF 1528 DE KIVERDE HORTIFRUTI LTDA </t>
  </si>
  <si>
    <t xml:space="preserve">VLR REF COMPRA DE MERCADORIA CONF NF 1529 DE KIVERDE HORTIFRUTI LTDA </t>
  </si>
  <si>
    <t xml:space="preserve">VLR REF COMPRA DE MERCADORIA CONF NF 581 DE R M SIQUEIRA HORTIFRUTIGRANJEIRO LTDA </t>
  </si>
  <si>
    <t xml:space="preserve">VLR REF COMPRA DE MERCADORIA CONF NF 83 DE S S B HORTIFRUTI NORDESTE LTDA </t>
  </si>
  <si>
    <t xml:space="preserve">VLR REF COMPRA DE MERCADORIA CONF NF 153761 DE PETERFRUT COMERCIAL LTDA </t>
  </si>
  <si>
    <t xml:space="preserve">VLR REF COMPRA DE MERCADORIA CONF NF 101308 DE SEVERINO LUIZ DOS SANTOS </t>
  </si>
  <si>
    <t xml:space="preserve">VLR REF COMPRA DE MERCADORIA CONF NF 101311 DE SEBASTIAO LUIZ PEREIRA </t>
  </si>
  <si>
    <t xml:space="preserve">VALOR REF. A BAIXA DE ESTOQUE 101304  DE COMERCIAL HORTI-FRIOS LTDA </t>
  </si>
  <si>
    <t xml:space="preserve">VALOR REF. A BAIXA DE ESTOQUE 101305  DE COMERCIAL HORTI-FRIOS LTDA </t>
  </si>
  <si>
    <t xml:space="preserve">VALOR REF. A BAIXA DE ESTOQUE 101306  DE COMERCIAL HORTI-FRIOS LTDA </t>
  </si>
  <si>
    <t xml:space="preserve">VALOR REF. A BAIXA DE ESTOQUE 101326  DE COMERCIAL HORTI-FRIOS LTDA </t>
  </si>
  <si>
    <t xml:space="preserve">VALOR REF. A BAIXA DE ESTOQUE 101330  DE COMERCIAL HORTI-FRIOS LTDA </t>
  </si>
  <si>
    <t xml:space="preserve">VALOR REF. A BAIXA DE ESTOQUE 101334  DE COMERCIAL HORTI-FRIOS LTDA </t>
  </si>
  <si>
    <t xml:space="preserve">VLR REF COMPRA DE MERCADORIA CONF NF 101345 DE SEVERINO MARCELINO DE LIMA </t>
  </si>
  <si>
    <t xml:space="preserve">VLR REF COMPRA DE MERCADORIA CONF NF 101347 DE SEVERINO LUIZ DOS SANTOS </t>
  </si>
  <si>
    <t xml:space="preserve">VLR REF COMPRA DE MERCADORIA CONF NF 101348 DE JOSENILDO GUSTAVO DE ALMEIDA </t>
  </si>
  <si>
    <t xml:space="preserve">VLR REF COMPRA DE MERCADORIA CONF NF 101349 DE JOSE DENILSON SANTOS </t>
  </si>
  <si>
    <t xml:space="preserve">VLR REF COMPRA DE MERCADORIA CONF NF 101350 DE SEBASTIAO LUIZ PEREIRA </t>
  </si>
  <si>
    <t xml:space="preserve">VLR REF COMPRA DE MERCADORIA CONF NF 101351 DE EDSON JOSE DA SILVA </t>
  </si>
  <si>
    <t xml:space="preserve">VLR REF COMPRA DE MERCADORIA CONF NF 101352 DE MARIA LUIZA DE MORAIS </t>
  </si>
  <si>
    <t xml:space="preserve">VLR REF COMPRA DE MERCADORIA CONF NF 101353 DE EZEQUIEL FELISBERTO DE CARVALHO </t>
  </si>
  <si>
    <t xml:space="preserve">VLR REF COMPRA DE MERCADORIA CONF NF 101354 DE ISRAEL AUGUSTO DE OLIVEIRA </t>
  </si>
  <si>
    <t xml:space="preserve">VLR REF COMPRA DE MERCADORIA CONF NF 101355 DE BRAZ JOSE LOPES DA SILVA </t>
  </si>
  <si>
    <t xml:space="preserve">VLR REF COMPRA DE MERCADORIA CONF NF 101356 DE LUCIANO ALVES RODRIGUES </t>
  </si>
  <si>
    <t xml:space="preserve">VLR REF COMPRA DE MERCADORIA CONF NF 101375 DE MIGUEL RAIMUNDO DE AGUIAR FILHO </t>
  </si>
  <si>
    <t xml:space="preserve">VLR REF COMPRA DE MERCADORIA CONF NF 101386 DE VALDERLANDIO VALENTIM GOMES </t>
  </si>
  <si>
    <t xml:space="preserve">VLR REF COMPRA DE MERCADORIA CONF NF 101387 DE VALDEMIR SEVERINO DA SILVA </t>
  </si>
  <si>
    <t xml:space="preserve">VLR REF COMPRA DE MERCADORIA CONF NF 30852 DE MARCONIEL FONTE DE OLIVEIRA ME </t>
  </si>
  <si>
    <t xml:space="preserve">VLR REF COMPRA DE MERCADORIA CONF NF 26294 DE COMERCIAL NOVO ISRAEL LTDA </t>
  </si>
  <si>
    <t xml:space="preserve">VLR REF COMPRA DE MERCADORIA CONF NF 1296359 DE HIDEO HARUTA </t>
  </si>
  <si>
    <t xml:space="preserve">VLR REF COMPRA DE MERCADORIA CONF NF 309477 DE WASHINGTON FRUTAS COMERCIO LTDA </t>
  </si>
  <si>
    <t xml:space="preserve">VLR REF COMPRA DE MERCADORIA CONF NF 10306 DE RAIMUNDO DENILSON DA SILVA COSTA </t>
  </si>
  <si>
    <t xml:space="preserve">VLR REF COMPRA DE MERCADORIA CONF NF 1888 DE MAIS VERDE LTDA ME </t>
  </si>
  <si>
    <t xml:space="preserve">VLR REF COMPRA DE MERCADORIA CONF NF 1889 DE MAIS VERDE LTDA ME </t>
  </si>
  <si>
    <t xml:space="preserve">VLR REF COMPRA DE MERCADORIA CONF NF 3679 DE LOJAO DA CENOURA </t>
  </si>
  <si>
    <t xml:space="preserve">VLR REF COMPRA DE MERCADORIA CONF NF 3680 DE LOJAO DA CENOURA </t>
  </si>
  <si>
    <t xml:space="preserve">VLR REF COMPRA DE MERCADORIA CONF NF 3681 DE LOJAO DA CENOURA </t>
  </si>
  <si>
    <t xml:space="preserve">VLR REF COMPRA DE MERCADORIA CONF NF 572 DE A S DE OLIVEIRA FRUTAS </t>
  </si>
  <si>
    <t xml:space="preserve">VLR REF COMPRA DE MERCADORIA CONF NF 1535 DE KIVERDE HORTIFRUTI LTDA </t>
  </si>
  <si>
    <t xml:space="preserve">VLR REF COMPRA DE MERCADORIA CONF NF 97 DE S S B HORTIFRUTI NORDESTE LTDA </t>
  </si>
  <si>
    <t xml:space="preserve">DEVOLUÇÃO DE COMPRAS CONF NF 101344 DE KIVERDE HORTIFRUTI LTDA </t>
  </si>
  <si>
    <t xml:space="preserve">VALOR REF. A BAIXA DE ESTOQUE 101367  DE COMERCIAL HORTI-FRIOS LTDA </t>
  </si>
  <si>
    <t xml:space="preserve">VALOR REF. A BAIXA DE ESTOQUE 101369  DE COMERCIAL HORTI-FRIOS LTDA </t>
  </si>
  <si>
    <t xml:space="preserve">VALOR REF. A BAIXA DE ESTOQUE 101374  DE COMERCIAL HORTI-FRIOS LTDA </t>
  </si>
  <si>
    <t xml:space="preserve">VLR REF COMPRA DE MERCADORIA CONF NF 101401 DE SEVERINO MARCELINO DE LIMA </t>
  </si>
  <si>
    <t xml:space="preserve">VLR REF COMPRA DE MERCADORIA CONF NF 101412 DE SEVERINO LUIZ DOS SANTOS </t>
  </si>
  <si>
    <t xml:space="preserve">VLR REF COMPRA DE MERCADORIA CONF NF 101413 DE JOSENILDO GUSTAVO DE ALMEIDA </t>
  </si>
  <si>
    <t xml:space="preserve">VLR REF COMPRA DE MERCADORIA CONF NF 101414 DE JOSE DENILSON SANTOS </t>
  </si>
  <si>
    <t xml:space="preserve">VLR REF COMPRA DE MERCADORIA CONF NF 101415 DE SEBASTIAO LUIZ PEREIRA </t>
  </si>
  <si>
    <t xml:space="preserve">VLR REF COMPRA DE MERCADORIA CONF NF 101418 DE MARCOS AURELIO DO NASCIMENTO </t>
  </si>
  <si>
    <t xml:space="preserve">VLR REF COMPRA DE MERCADORIA CONF NF 101419 DE EDSON JOSE DA SILVA </t>
  </si>
  <si>
    <t xml:space="preserve">VLR REF COMPRA DE MERCADORIA CONF NF 101420 DE MARIA LUIZA DE MORAIS </t>
  </si>
  <si>
    <t xml:space="preserve">VLR REF COMPRA DE MERCADORIA CONF NF 101421 DE MANOEL CORREIA DE OLIVEIRA </t>
  </si>
  <si>
    <t xml:space="preserve">VLR REF COMPRA DE MERCADORIA CONF NF 101422 DE ISRAEL AUGUSTO DE OLIVEIRA </t>
  </si>
  <si>
    <t xml:space="preserve">VLR REF COMPRA DE MERCADORIA CONF NF 101424 DE BRAZ JOSE LOPES DA SILVA </t>
  </si>
  <si>
    <t xml:space="preserve">VLR REF COMPRA DE MERCADORIA CONF NF 101426 DE LUCIANO ALVES RODRIGUES </t>
  </si>
  <si>
    <t xml:space="preserve">VLR REF COMPRA DE MERCADORIA CONF NF 101442 DE JOSE PINTO DOS SANTOS </t>
  </si>
  <si>
    <t xml:space="preserve">VLR REF COMPRA DE MERCADORIA CONF NF 101443 DE EZEQUIEL FELISBERTO DE CARVALHO </t>
  </si>
  <si>
    <t xml:space="preserve">VLR REF COMPRA DE MERCADORIA CONF NF 30869 DE MARCONIEL FONTE DE OLIVEIRA ME </t>
  </si>
  <si>
    <t xml:space="preserve">VLR REF COMPRA DE MERCADORIA CONF  NF 53336 DE A.F.V DA FONSECA - EPP </t>
  </si>
  <si>
    <t xml:space="preserve">VLR REF COMPRA DE MERCADORIA CONF  NF 169383 DE PERBONI S/A - RECIFE </t>
  </si>
  <si>
    <t xml:space="preserve">VLR REF COMPRA DE MERCADORIA CONF NF 89859 DE PETERFRUT COMERCIAL LTDA </t>
  </si>
  <si>
    <t xml:space="preserve">VLR REF COMPRA DE MERCADORIA CONF NF 89860 DE PETERFRUT COMERCIAL LTDA </t>
  </si>
  <si>
    <t xml:space="preserve">VLR REF COMPRA DE MERCADORIA CONF NF 309501 DE WASHINGTON FRUTAS COMERCIO LTDA </t>
  </si>
  <si>
    <t xml:space="preserve">VLR REF COMPRA DE MERCADORIA CONF NF 573 DE A S DE OLIVEIRA FRUTAS </t>
  </si>
  <si>
    <t xml:space="preserve">VLR REF COMPRA DE MERCADORIA CONF NF 1545 DE KIVERDE HORTIFRUTI LTDA </t>
  </si>
  <si>
    <t xml:space="preserve">VLR REF COMPRA DE MERCADORIA CONF NF 596 DE R M SIQUEIRA HORTIFRUTIGRANJEIRO LTDA </t>
  </si>
  <si>
    <t xml:space="preserve">VLR REF COMPRA DE MERCADORIA CONF NF 98 DE S S B HORTIFRUTI NORDESTE LTDA </t>
  </si>
  <si>
    <t xml:space="preserve">VLR REF COMPRA DE MERCADORIA CONF NF 7727 DE MF AGROPECUARIA DO NORDESTE LTDA EPP </t>
  </si>
  <si>
    <t xml:space="preserve">VALOR REF. A BAIXA DE ESTOQUE 101416  DE COMERCIAL HORTI-FRIOS LTDA </t>
  </si>
  <si>
    <t xml:space="preserve">VALOR REF. A BAIXA DE ESTOQUE 101417  DE COMERCIAL HORTI-FRIOS LTDA </t>
  </si>
  <si>
    <t xml:space="preserve">VALOR REF. A BAIXA DE ESTOQUE 101423  DE COMERCIAL HORTI-FRIOS LTDA </t>
  </si>
  <si>
    <t xml:space="preserve">VALOR REF. A BAIXA DE ESTOQUE 101425  DE COMERCIAL HORTI-FRIOS LTDA </t>
  </si>
  <si>
    <t xml:space="preserve">VALOR REF. A BAIXA DE ESTOQUE 101427  DE COMERCIAL HORTI-FRIOS LTDA </t>
  </si>
  <si>
    <t xml:space="preserve">VALOR REF. A BAIXA DE ESTOQUE 101441  DE COMERCIAL HORTI-FRIOS LTDA </t>
  </si>
  <si>
    <t xml:space="preserve">VLR REF COMPRA DE MERCADORIA CONF NF 101462 DE SEVERINO MARCELINO DE LIMA </t>
  </si>
  <si>
    <t xml:space="preserve">VLR REF COMPRA DE MERCADORIA CONF NF 101463 DE SEVERINO LUIZ DOS SANTOS </t>
  </si>
  <si>
    <t xml:space="preserve">VLR REF COMPRA DE MERCADORIA CONF NF 101464 DE JOSENILDO GUSTAVO DE ALMEIDA </t>
  </si>
  <si>
    <t xml:space="preserve">VLR REF COMPRA DE MERCADORIA CONF NF 101465 DE JOSE DENILSON SANTOS </t>
  </si>
  <si>
    <t xml:space="preserve">VLR REF COMPRA DE MERCADORIA CONF NF 101466 DE SEBASTIAO LUIZ PEREIRA </t>
  </si>
  <si>
    <t xml:space="preserve">VLR REF COMPRA DE MERCADORIA CONF NF 101467 DE EDSON JOSE DA SILVA </t>
  </si>
  <si>
    <t xml:space="preserve">VLR REF COMPRA DE MERCADORIA CONF NF 101468 DE MARIA LUIZA DE MORAIS </t>
  </si>
  <si>
    <t xml:space="preserve">VLR REF COMPRA DE MERCADORIA CONF NF 101469 DE VALDERLANDIO VALENTIM GOMES </t>
  </si>
  <si>
    <t xml:space="preserve">VLR REF COMPRA DE MERCADORIA CONF NF 101470 DE ISRAEL AUGUSTO DE OLIVEIRA </t>
  </si>
  <si>
    <t xml:space="preserve">VLR REF COMPRA DE MERCADORIA CONF NF 101471 DE BRAZ JOSE LOPES DA SILVA </t>
  </si>
  <si>
    <t xml:space="preserve">VLR REF COMPRA DE MERCADORIA CONF NF 101472 DE LUCIANO ALVES RODRIGUES </t>
  </si>
  <si>
    <t xml:space="preserve">VLR REF COMPRA DE MERCADORIA CONF NF 101473 DE JOSE PINTO DOS SANTOS </t>
  </si>
  <si>
    <t xml:space="preserve">VLR REF COMPRA DE MERCADORIA CONF NF 101474 DE VALDEMIR SEVERINO DA SILVA </t>
  </si>
  <si>
    <t xml:space="preserve">VLR REF COMPRA DE MERCADORIA CONF NF 101475 DE EZEQUIEL FELISBERTO DE CARVALHO </t>
  </si>
  <si>
    <t xml:space="preserve">VLR REF COMPRA DE MERCADORIA CONF NF 101491 DE MIGUEL RAIMUNDO DE AGUIAR FILHO </t>
  </si>
  <si>
    <t xml:space="preserve">VLR REF COMPRA DE MERCADORIA CONF NF 30894 DE MARCONIEL FONTE DE OLIVEIRA ME </t>
  </si>
  <si>
    <t xml:space="preserve">VLR REF COMPRA DE MERCADORIA CONF NF 181740 DE AGRICOLA QDELICIA FRUTAS LTDA </t>
  </si>
  <si>
    <t xml:space="preserve">VLR REF COMPRA DE MERCADORIA CONF NF 1298389 DE HIDEO HARUTA </t>
  </si>
  <si>
    <t xml:space="preserve">VLR REF COMPRA DE MERCADORIA CONF NF 309557 DE WASHINGTON FRUTAS COMERCIO LTDA </t>
  </si>
  <si>
    <t xml:space="preserve">VLR REF COMPRA DE MERCADORIA CONF NF 10337 DE RAIMUNDO DENILSON DA SILVA COSTA </t>
  </si>
  <si>
    <t xml:space="preserve">VLR REF COMPRA DE MERCADORIA CONF NF 10338 DE RAIMUNDO DENILSON DA SILVA COSTA </t>
  </si>
  <si>
    <t xml:space="preserve">VLR REF COMPRA DE MERCADORIA CONF NF 10339 DE RAIMUNDO DENILSON DA SILVA COSTA </t>
  </si>
  <si>
    <t xml:space="preserve">VLR REF COMPRA DE MERCADORIA CONF NF 10345 DE RAIMUNDO DENILSON DA SILVA COSTA </t>
  </si>
  <si>
    <t xml:space="preserve">VLR REF COMPRA DE MERCADORIA CONF NF 10346 DE RAIMUNDO DENILSON DA SILVA COSTA </t>
  </si>
  <si>
    <t xml:space="preserve">VLR REF COMPRA DE MERCADORIA CONF NF 1892 DE MAIS VERDE LTDA ME </t>
  </si>
  <si>
    <t xml:space="preserve">VLR REF COMPRA DE MERCADORIA CONF NF 1893 DE MAIS VERDE LTDA ME </t>
  </si>
  <si>
    <t xml:space="preserve">VLR REF COMPRA DE MERCADORIA CONF NF 574 DE A S DE OLIVEIRA FRUTAS </t>
  </si>
  <si>
    <t xml:space="preserve">VLR REF COMPRA DE MERCADORIA CONF NF 76 DE LUIZ FRANCISCO DA SILVA FILHO 03545434400 </t>
  </si>
  <si>
    <t xml:space="preserve">VLR REF COMPRA DE MERCADORIA CONF NF 599 DE R M SIQUEIRA HORTIFRUTIGRANJEIRO LTDA </t>
  </si>
  <si>
    <t xml:space="preserve">VLR REF COMPRA DE MERCADORIA CONF NF 105 DE S S B HORTIFRUTI NORDESTE LTDA </t>
  </si>
  <si>
    <t xml:space="preserve">VLR REF COMPRA DE MERCADORIA CONF NF 130 DE S S B HORTIFRUTI NORDESTE LTDA </t>
  </si>
  <si>
    <t xml:space="preserve">VLR REF COMPRA DE MERCADORIA CONF NF 153854 DE PETERFRUT COMERCIAL LTDA </t>
  </si>
  <si>
    <t xml:space="preserve">VLR REF COMPRA DE MERCADORIA CONF NF 153894 DE PETERFRUT COMERCIAL LTDA </t>
  </si>
  <si>
    <t xml:space="preserve">VLR REF COMPRA DE MERCADORIA CONF NF 153895 DE PETERFRUT COMERCIAL LTDA </t>
  </si>
  <si>
    <t xml:space="preserve">VLR REF COMPRA DE MERCADORIA CONF NF 153896 DE PETERFRUT COMERCIAL LTDA </t>
  </si>
  <si>
    <t xml:space="preserve">VALOR REF. A BAIXA DE ESTOQUE 101488  DE COMERCIAL HORTI-FRIOS LTDA </t>
  </si>
  <si>
    <t xml:space="preserve">VLR REF COMPRA DE MERCADORIA CONF NF 101517 DE SEVERINO MARCELINO DE LIMA </t>
  </si>
  <si>
    <t xml:space="preserve">VLR REF COMPRA DE MERCADORIA CONF NF 101518 DE SEVERINO LUIZ DOS SANTOS </t>
  </si>
  <si>
    <t xml:space="preserve">VLR REF COMPRA DE MERCADORIA CONF NF 101519 DE JOSENILDO GUSTAVO DE ALMEIDA </t>
  </si>
  <si>
    <t xml:space="preserve">VLR REF COMPRA DE MERCADORIA CONF NF 101520 DE JOSE DENILSON SANTOS </t>
  </si>
  <si>
    <t xml:space="preserve">VLR REF COMPRA DE MERCADORIA CONF NF 101521 DE SEBASTIAO LUIZ PEREIRA </t>
  </si>
  <si>
    <t xml:space="preserve">VLR REF COMPRA DE MERCADORIA CONF NF 101522 DE MARCOS AURELIO DO NASCIMENTO </t>
  </si>
  <si>
    <t xml:space="preserve">VLR REF COMPRA DE MERCADORIA CONF NF 101523 DE EDSON JOSE DA SILVA </t>
  </si>
  <si>
    <t xml:space="preserve">VLR REF COMPRA DE MERCADORIA CONF NF 101524 DE MARIA LUIZA DE MORAIS </t>
  </si>
  <si>
    <t xml:space="preserve">VLR REF COMPRA DE MERCADORIA CONF NF 101525 DE BRAZ JOSE LOPES DA SILVA </t>
  </si>
  <si>
    <t xml:space="preserve">VLR REF COMPRA DE MERCADORIA CONF NF 101526 DE LUCIANO ALVES RODRIGUES </t>
  </si>
  <si>
    <t xml:space="preserve">VLR REF COMPRA DE MERCADORIA CONF NF 101527 DE JOSE PINTO DOS SANTOS </t>
  </si>
  <si>
    <t xml:space="preserve">VLR REF COMPRA DE MERCADORIA CONF NF 101541 DE SEVERINO MARCELINO DE LIMA </t>
  </si>
  <si>
    <t xml:space="preserve">VLR REF COMPRA DE MERCADORIA CONF NF 101542 DE SEVERINO LUIZ DOS SANTOS </t>
  </si>
  <si>
    <t xml:space="preserve">VLR REF COMPRA DE MERCADORIA CONF NF 101543 DE JOSENILDO GUSTAVO DE ALMEIDA </t>
  </si>
  <si>
    <t xml:space="preserve">VLR REF COMPRA DE MERCADORIA CONF NF 101544 DE JOSE DENILSON SANTOS </t>
  </si>
  <si>
    <t xml:space="preserve">VLR REF COMPRA DE MERCADORIA CONF NF 101545 DE SEBASTIAO LUIZ PEREIRA </t>
  </si>
  <si>
    <t xml:space="preserve">VLR REF COMPRA DE MERCADORIA CONF NF 30911 DE MARCONIEL FONTE DE OLIVEIRA ME </t>
  </si>
  <si>
    <t xml:space="preserve">VLR REF COMPRA DE MERCADORIA CONF NF 26345 DE COMERCIAL NOVO ISRAEL LTDA </t>
  </si>
  <si>
    <t xml:space="preserve">VLR REF COMPRA DE MERCADORIA CONF  NF 169513 DE PERBONI S/A - RECIFE </t>
  </si>
  <si>
    <t xml:space="preserve">VLR REF COMPRA DE MERCADORIA CONF NF 33131 DE COMERCIAL SAFRA COMERCIO ATACADISTA DE ALIMENTO </t>
  </si>
  <si>
    <t xml:space="preserve">VLR REF COMPRA DE MERCADORIA CONF NF 309567 DE WASHINGTON FRUTAS COMERCIO LTDA </t>
  </si>
  <si>
    <t xml:space="preserve">VLR REF COMPRA DE MERCADORIA CONF NF 3690 DE LOJAO DA CENOURA </t>
  </si>
  <si>
    <t xml:space="preserve">VLR REF COMPRA DE MERCADORIA CONF NF 3691 DE LOJAO DA CENOURA </t>
  </si>
  <si>
    <t xml:space="preserve">VLR REF COMPRA DE MERCADORIA CONF NF 3692 DE LOJAO DA CENOURA </t>
  </si>
  <si>
    <t xml:space="preserve">VLR REF COMPRA DE MERCADORIA CONF NF 575 DE A S DE OLIVEIRA FRUTAS </t>
  </si>
  <si>
    <t xml:space="preserve">VLR REF COMPRA DE MERCADORIA CONF NF 1558 DE KIVERDE HORTIFRUTI LTDA </t>
  </si>
  <si>
    <t xml:space="preserve">VLR REF COMPRA DE MERCADORIA CONF NF 153937 DE PETERFRUT COMERCIAL LTDA </t>
  </si>
  <si>
    <t xml:space="preserve">DEVOLUÇÃO DE COMPRAS CONF NF 101512 DE KIVERDE HORTIFRUTI LTDA </t>
  </si>
  <si>
    <t xml:space="preserve">VALOR REF. A BAIXA DE ESTOQUE 101537  DE COMERCIAL HORTI-FRIOS LTDA </t>
  </si>
  <si>
    <t xml:space="preserve">VALOR REF. A BAIXA DE ESTOQUE 101539  DE COMERCIAL HORTI-FRIOS LTDA </t>
  </si>
  <si>
    <t xml:space="preserve">VALOR REF. A BAIXA DE ESTOQUE 101540  DE COMERCIAL HORTI-FRIOS LTDA </t>
  </si>
  <si>
    <t xml:space="preserve">VLR REF COMPRA DE MERCADORIA CONF NF 101563 DE JOSE PINTO DOS SANTOS </t>
  </si>
  <si>
    <t xml:space="preserve">VLR REF COMPRA DE MERCADORIA CONF NF 101564 DE MARIA LUIZA DE MORAIS </t>
  </si>
  <si>
    <t xml:space="preserve">VLR REF COMPRA DE MERCADORIA CONF NF 101565 DE MARCOS AURELIO DO NASCIMENTO </t>
  </si>
  <si>
    <t xml:space="preserve">VLR REF COMPRA DE MERCADORIA CONF NF 101566 DE ISRAEL AUGUSTO DE OLIVEIRA </t>
  </si>
  <si>
    <t xml:space="preserve">VLR REF COMPRA DE MERCADORIA CONF NF 101567 DE BRAZ JOSE LOPES DA SILVA </t>
  </si>
  <si>
    <t xml:space="preserve">VLR REF COMPRA DE MERCADORIA CONF NF 101568 DE LUCIANO ALVES RODRIGUES </t>
  </si>
  <si>
    <t xml:space="preserve">VLR REF COMPRA DE MERCADORIA CONF NF 101569 DE MARIA LUIZA DE MORAIS </t>
  </si>
  <si>
    <t xml:space="preserve">VLR REF COMPRA DE MERCADORIA CONF NF 101570 DE JOSE PINTO DOS SANTOS </t>
  </si>
  <si>
    <t xml:space="preserve">VLR REF COMPRA DE MERCADORIA CONF NF 101590 DE EDSON JOSE DA SILVA </t>
  </si>
  <si>
    <t xml:space="preserve">VLR REF COMPRA DE MERCADORIA CONF NF 101591 DE VALDERLANDIO VALENTIM GOMES </t>
  </si>
  <si>
    <t xml:space="preserve">VLR REF COMPRA DE MERCADORIA CONF NF 101593 DE MIGUEL RAIMUNDO DE AGUIAR FILHO </t>
  </si>
  <si>
    <t xml:space="preserve">VLR REF COMPRA DE MERCADORIA CONF NF 101604 DE EZEQUIEL FELISBERTO DE CARVALHO </t>
  </si>
  <si>
    <t xml:space="preserve">VLR REF COMPRA DE MERCADORIA CONF NF 30936 DE MARCONIEL FONTE DE OLIVEIRA ME </t>
  </si>
  <si>
    <t xml:space="preserve">COMPRAS DE MERCADORIAS CONF NF 30855 DE Etiquetas Guararapes Industria Grafica Ltda </t>
  </si>
  <si>
    <t xml:space="preserve">VLR REF COMPRA DE MERCADORIA CONF  NF 169544 DE PERBONI S/A - RECIFE </t>
  </si>
  <si>
    <t xml:space="preserve">VLR REF COMPRA DE MERCADORIA CONF NF 1300525 DE HIDEO HARUTA </t>
  </si>
  <si>
    <t xml:space="preserve">VLR REF COMPRA DE MERCADORIA CONF NF 1300556 DE HIDEO HARUTA </t>
  </si>
  <si>
    <t xml:space="preserve">VLR REF COMPRA DE MERCADORIA CONF NF 10373 DE RAIMUNDO DENILSON DA SILVA COSTA </t>
  </si>
  <si>
    <t xml:space="preserve">VLR REF COMPRA DE MERCADORIA CONF NF 1895 DE MAIS VERDE LTDA ME </t>
  </si>
  <si>
    <t xml:space="preserve">VLR REF COMPRA DE MERCADORIA CONF NF 1896 DE MAIS VERDE LTDA ME </t>
  </si>
  <si>
    <t xml:space="preserve">VLR REF COMPRA DE MERCADORIA CONF NF 576 DE A S DE OLIVEIRA FRUTAS </t>
  </si>
  <si>
    <t xml:space="preserve">VLR REF COMPRA DE MERCADORIA CONF NF 1563 DE KIVERDE HORTIFRUTI LTDA </t>
  </si>
  <si>
    <t xml:space="preserve">VLR REF COMPRA DE MERCADORIA CONF NF 132 DE S S B HORTIFRUTI NORDESTE LTDA </t>
  </si>
  <si>
    <t xml:space="preserve">DEVOLUÇÃO DE COMPRAS CONF NF 101561 DE HIDEO HARUTA </t>
  </si>
  <si>
    <t xml:space="preserve">VALOR REF. A BAIXA DE ESTOQUE 101592  DE COMERCIAL HORTI-FRIOS LTDA </t>
  </si>
  <si>
    <t xml:space="preserve">BONIFICACAO SAIDA CONF NF  101606 DE SUZANA LUCICLEIA BEZERRA DOS SANTOS </t>
  </si>
  <si>
    <t xml:space="preserve">VLR REF COMPRA DE MERCADORIA CONF NF 101628 DE SEVERINO MARCELINO DE LIMA </t>
  </si>
  <si>
    <t xml:space="preserve">VLR REF COMPRA DE MERCADORIA CONF NF 101632 DE SEVERINO LUIZ DOS SANTOS </t>
  </si>
  <si>
    <t xml:space="preserve">VLR REF COMPRA DE MERCADORIA CONF NF 101633 DE JOSENILDO GUSTAVO DE ALMEIDA </t>
  </si>
  <si>
    <t xml:space="preserve">VLR REF COMPRA DE MERCADORIA CONF NF 101634 DE JOSE DENILSON SANTOS </t>
  </si>
  <si>
    <t xml:space="preserve">VLR REF COMPRA DE MERCADORIA CONF NF 101636 DE SEBASTIAO LUIZ PEREIRA </t>
  </si>
  <si>
    <t xml:space="preserve">VLR REF COMPRA DE MERCADORIA CONF NF 101641 DE VALDEMIR SEVERINO DA SILVA </t>
  </si>
  <si>
    <t xml:space="preserve">VLR REF COMPRA DE MERCADORIA CONF NF 101642 DE MARCOS AURELIO DO NASCIMENTO </t>
  </si>
  <si>
    <t xml:space="preserve">VLR REF COMPRA DE MERCADORIA CONF NF 101643 DE BRAZ JOSE LOPES DA SILVA </t>
  </si>
  <si>
    <t xml:space="preserve">VLR REF COMPRA DE MERCADORIA CONF NF 101644 DE MARIA LUIZA DE MORAIS </t>
  </si>
  <si>
    <t xml:space="preserve">VLR REF COMPRA DE MERCADORIA CONF NF 101654 DE JOSE PINTO DOS SANTOS </t>
  </si>
  <si>
    <t xml:space="preserve">VLR REF COMPRA DE MERCADORIA CONF NF 101659 DE SEVERINO LUIZ DOS SANTOS </t>
  </si>
  <si>
    <t xml:space="preserve">VLR REF COMPRA DE MERCADORIA CONF NF 101660 DE SEBASTIAO LUIZ PEREIRA </t>
  </si>
  <si>
    <t xml:space="preserve">VLR REF COMPRA DE MERCADORIA CONF NF 101661 DE EZEQUIEL FELISBERTO DE CARVALHO </t>
  </si>
  <si>
    <t xml:space="preserve">VLR REF COMPRA DE MERCADORIA CONF NF 101662 DE EDSON JOSE DA SILVA </t>
  </si>
  <si>
    <t xml:space="preserve">VLR REF COMPRA DE MERCADORIA CONF NF 101668 DE SEVERINO MARCELINO DE LIMA </t>
  </si>
  <si>
    <t xml:space="preserve">VLR REF COMPRA DE MERCADORIA CONF NF 101669 DE JOSE DENILSON SANTOS </t>
  </si>
  <si>
    <t xml:space="preserve">VLR REF COMPRA DE MERCADORIA CONF NF 101670 DE JOSENILDO GUSTAVO DE ALMEIDA </t>
  </si>
  <si>
    <t xml:space="preserve">VLR REF COMPRA DE MERCADORIA CONF NF 329 DE ISMAEL DE MENDONCA BANDEIRA ME </t>
  </si>
  <si>
    <t xml:space="preserve">VLR REF COMPRA DE MERCADORIA CONF NF 30951 DE MARCONIEL FONTE DE OLIVEIRA ME </t>
  </si>
  <si>
    <t xml:space="preserve">VLR REF COMPRA DE MERCADORIA CONF  NF 53441 DE A.F.V DA FONSECA - EPP </t>
  </si>
  <si>
    <t xml:space="preserve">VLR REF COMPRA DE MERCADORIA CONF  NF 53442 DE A.F.V DA FONSECA - EPP </t>
  </si>
  <si>
    <t xml:space="preserve">VLR REF COMPRA DE MERCADORIA CONF NF 26373 DE COMERCIAL NOVO ISRAEL LTDA </t>
  </si>
  <si>
    <t xml:space="preserve">VLR REF COMPRA DE MERCADORIA CONF  NF 169627 DE PERBONI S/A - RECIFE </t>
  </si>
  <si>
    <t xml:space="preserve">VLR REF COMPRA DE MERCADORIA CONF NF 90065 DE PETERFRUT COMERCIAL LTDA </t>
  </si>
  <si>
    <t xml:space="preserve">VLR REF COMPRA DE MERCADORIA CONF NF 90108 DE PETERFRUT COMERCIAL LTDA </t>
  </si>
  <si>
    <t xml:space="preserve">VLR REF COMPRA DE MERCADORIA CONF NF 10384 DE RAIMUNDO DENILSON DA SILVA COSTA </t>
  </si>
  <si>
    <t xml:space="preserve">VLR REF COMPRA DE MERCADORIA CONF NF 10386 DE RAIMUNDO DENILSON DA SILVA COSTA </t>
  </si>
  <si>
    <t xml:space="preserve">VLR REF COMPRA DE MERCADORIA CONF NF 3695 DE LOJAO DA CENOURA </t>
  </si>
  <si>
    <t xml:space="preserve">VLR REF COMPRA DE MERCADORIA CONF NF 3696 DE LOJAO DA CENOURA </t>
  </si>
  <si>
    <t xml:space="preserve">VLR REF COMPRA DE MERCADORIA CONF NF 577 DE A S DE OLIVEIRA FRUTAS </t>
  </si>
  <si>
    <t xml:space="preserve">VLR REF COMPRA DE MERCADORIA CONF NF 1574 DE KIVERDE HORTIFRUTI LTDA </t>
  </si>
  <si>
    <t xml:space="preserve">VLR REF COMPRA DE MERCADORIA CONF NF 82 DE LUIZ FRANCISCO DA SILVA FILHO 03545434400 </t>
  </si>
  <si>
    <t xml:space="preserve">VLR REF COMPRA DE MERCADORIA CONF NF 605 DE R M SIQUEIRA HORTIFRUTIGRANJEIRO LTDA </t>
  </si>
  <si>
    <t xml:space="preserve">VLR REF COMPRA DE MERCADORIA CONF NF 139 DE S S B HORTIFRUTI NORDESTE LTDA </t>
  </si>
  <si>
    <t xml:space="preserve">VLR REF COMPRA DE MERCADORIA CONF NF 154011 DE PETERFRUT COMERCIAL LTDA </t>
  </si>
  <si>
    <t xml:space="preserve">VLR REF COMPRA DE MERCADORIA CONF NF 154012 DE PETERFRUT COMERCIAL LTDA </t>
  </si>
  <si>
    <t xml:space="preserve">VLR REF COMPRA DE MERCADORIA CONF NF 154026 DE PETERFRUT COMERCIAL LTDA </t>
  </si>
  <si>
    <t xml:space="preserve">VALOR REF. A BAIXA DE ESTOQUE 101630  DE COMERCIAL HORTI-FRIOS LTDA </t>
  </si>
  <si>
    <t xml:space="preserve">VALOR REF. A BAIXA DE ESTOQUE 101635  DE COMERCIAL HORTI-FRIOS LTDA </t>
  </si>
  <si>
    <t xml:space="preserve">VALOR REF. A BAIXA DE ESTOQUE 101645  DE COMERCIAL HORTI-FRIOS LTDA </t>
  </si>
  <si>
    <t xml:space="preserve">VALOR REF. A BAIXA DE ESTOQUE 101646  DE COMERCIAL HORTI-FRIOS LTDA </t>
  </si>
  <si>
    <t xml:space="preserve">VALOR REF. A BAIXA DE ESTOQUE 101656  DE COMERCIAL HORTI-FRIOS LTDA </t>
  </si>
  <si>
    <t xml:space="preserve">BONIFICACAO SAIDA CONF NF  101667 DE EMILIA ELIZABETH BEZERRA DOS SANTOS </t>
  </si>
  <si>
    <t xml:space="preserve">VALOR REF. A BAIXA DE ESTOQUE 101671  DE COMERCIAL HORTI-FRIOS LTDA </t>
  </si>
  <si>
    <t xml:space="preserve">VALOR REF. A BAIXA DE ESTOQUE 101672  DE COMERCIAL HORTI-FRIOS LTDA </t>
  </si>
  <si>
    <t xml:space="preserve">VALOR REF. A BAIXA DE ESTOQUE 101673  DE COMERCIAL HORTI-FRIOS LTDA </t>
  </si>
  <si>
    <t xml:space="preserve">VALOR REF. A BAIXA DE ESTOQUE 101674  DE COMERCIAL HORTI-FRIOS LTDA </t>
  </si>
  <si>
    <t>CUSTO COM MERCADORIAS PARA  REVENDA 01/2023</t>
  </si>
  <si>
    <t xml:space="preserve">VLR REF COMPRA DE MERCADORIA CONF NF 5349 DE WR COMERCO E TRANPORTE LTDA ME </t>
  </si>
  <si>
    <t xml:space="preserve">VLR REF COMPRA DE MERCADORIA CONF NF 412353 DE MACROPAC PROTECAO E EMBALAGEM LTDA </t>
  </si>
  <si>
    <t xml:space="preserve">VLR REF COMPRA DE MERCADORIA CONF  NF 1326 DE C. M. DOMINGUES DE  CARVALHO MATERIAS DE CONSTRUCAO  EIRELI </t>
  </si>
  <si>
    <t xml:space="preserve">VLR REF COMPRA DE MERCADORIA CONF NF 719020 DE FRIGELAR COMERCIO E INDUSTRIA LTDA </t>
  </si>
  <si>
    <t xml:space="preserve">VLR REF COMPRA DE MERCADORIA CONF  NF 49840 DE CASA DO MERCEDES COM.  PECAS ACESS. PARA CAMINHOES LTDA- EPP </t>
  </si>
  <si>
    <t xml:space="preserve">VLR REF COMPRA DE MERCADORIA CONF NF 2055 DE ELIZABETH APARECIDA DE MELO COMBUSTIVEIS </t>
  </si>
  <si>
    <t xml:space="preserve">VLR REF COMPRA DE MERCADORIA CONF NF 1834 DE A PEREIRA DE AMORIM LTDA </t>
  </si>
  <si>
    <t xml:space="preserve">VLR REF COMPRA DE MERCADORIA CONF  NF 1339 DE C. M. DOMINGUES DE  CARVALHO MATERIAS DE CONSTRUCAO  EIRELI </t>
  </si>
  <si>
    <t xml:space="preserve">COMPRAS DE MERCADORIAS CONF NF 6712 DE MARQUES PLASTIC E CIA LTDA </t>
  </si>
  <si>
    <t xml:space="preserve">COMPRAS DE MERCADORIAS CONF NF 6713 DE MARQUES PLASTIC E CIA LTDA </t>
  </si>
  <si>
    <t xml:space="preserve">VLR REF COMPRA DE MERCADORIA CONF NF 23532 DE Kalunga SA </t>
  </si>
  <si>
    <t xml:space="preserve">VLR REF COMPRA DE MERCADORIA CONF NF 414827 DE MACROPAC PROTECAO E EMBALAGEM LTDA </t>
  </si>
  <si>
    <t xml:space="preserve">COMPRAS DE MERCADORIAS CONF NF 414829 DE MACROPAC PROTECAO E EMBALAGEM LTDA </t>
  </si>
  <si>
    <t xml:space="preserve">VLR REF COMPRA DE MERCADORIA CONF NF 5781 DE L3 COMERCIO E SERVICOS LTDA </t>
  </si>
  <si>
    <t xml:space="preserve">VLR REF COMPRA DE MERCADORIA CONF NF 1922 DE A PEREIRA DE AMORIM LTDA </t>
  </si>
  <si>
    <t>CUSTO COM MATERIAIS DE EMBALAGENS   01/2023</t>
  </si>
  <si>
    <t>PREFEITURA DE RECIFE (CIM) -  PREFEITURA DA CIDADE DO R</t>
  </si>
  <si>
    <t>Provisao de IPVA 2023 ndata</t>
  </si>
  <si>
    <t>Apropriacao de IPVA 2023</t>
  </si>
  <si>
    <t xml:space="preserve">REFERENTE FOLHA DE PAGAMENTO DO  MÊS DESCONTO ALIMENTAÇÃO NÃO  UTILIZADA  01/2023 </t>
  </si>
  <si>
    <t>PARCELAS NÃO CIRCULANTES</t>
  </si>
  <si>
    <t>APROPRIAÇÃO DE JUROS DE PARCELAS RESTANTES</t>
  </si>
  <si>
    <t xml:space="preserve">JUROS FNE BNB </t>
  </si>
  <si>
    <t xml:space="preserve">COMPRAS PARA USO E CONSUMO CONF  NF 49840 DE CASA DO MERCEDES COM.  PECAS ACESS. PARA CAMINHOES LTDA- EPP </t>
  </si>
  <si>
    <t xml:space="preserve">FRETE S/ SERVICO TOMADO CONF NF 291  DE CHARLES TRANSPORTES EIRELI - ME </t>
  </si>
  <si>
    <t xml:space="preserve">FRETE S/ SERVICO TOMADO CONF NF 292  DE CHARLES TRANSPORTES EIRELI - ME </t>
  </si>
  <si>
    <t xml:space="preserve">FRETE S/ SERVICO TOMADO CONF NF 294  DE CHARLES TRANSPORTES EIRELI - ME </t>
  </si>
  <si>
    <t xml:space="preserve">FRETE S/ SERVICO TOMADO CONF NF 293  DE CHARLES TRANSPORTES EIRELI - ME </t>
  </si>
  <si>
    <t xml:space="preserve">FRETE S/ SERVICO TOMADO CONF NF 295  DE CHARLES TRANSPORTES EIRELI - ME </t>
  </si>
  <si>
    <t xml:space="preserve">FRETE S/ SERVICO TOMADO CONF NF 296  DE CHARLES TRANSPORTES EIRELI - ME </t>
  </si>
  <si>
    <t>VALOR REF. A FERREIRA COSTA CIA.LTDA.  - 001646425/1 - Manutenção de Imobilizado  PARC. 001/001</t>
  </si>
  <si>
    <t>VALOR REF. A FERREIRA COSTA CIA.LTDA.  -  - Manutenção de Imobilizado PARC. 002/003</t>
  </si>
  <si>
    <t>SERVIÇO TOMADO CONF 43725329 DE HAPVIDA ASSISTENCIA MÉDICA</t>
  </si>
  <si>
    <t>SERVIÇO TOMADO CONF 43989998 DE HAPVIDA ASSISTENCIA MÉDICA</t>
  </si>
  <si>
    <t xml:space="preserve">COMPRAS PARA USO E CONSUMO CONF NF 72777 DE HC PNEUS </t>
  </si>
  <si>
    <t>IFCO A PAGAR FATURA Nº 976546826</t>
  </si>
  <si>
    <t>IFCO A PAGAR FATURA Nº 976552500</t>
  </si>
  <si>
    <t>IFCO A PAGAR FATURA Nº 976551735</t>
  </si>
  <si>
    <t>IFCO A PAGAR FATURA Nº 976557920</t>
  </si>
  <si>
    <t>IFCO A PAGAR FATURA Nº 976562763</t>
  </si>
  <si>
    <t xml:space="preserve">SERVIÇO TOMADO CONF NF 218 DE JA TRANSPORTES </t>
  </si>
  <si>
    <t xml:space="preserve">COMPRAS PARA USO E CONSUMO CONF NF 78199 DE Kalunga Comercio Industria Grafica Ltda </t>
  </si>
  <si>
    <t xml:space="preserve">COMPRAS PARA USO E CONSUMO CONF NF 414951 DE MACROPAC PROTECAO E EMBALAGEM LTDA </t>
  </si>
  <si>
    <t xml:space="preserve">COMPRAS DE MERCADORIAS CONF NF 6035 DE POSTO IBIZA LTDA </t>
  </si>
  <si>
    <t xml:space="preserve">COMPRAS DE MERCADORIAS CONF NF 7138 DE POSTO IBIZA LTDA </t>
  </si>
  <si>
    <t xml:space="preserve">SERVIÇO TOMADO CONF NF 27204 DE CIA BRASILEIRA DE DISTRIBUICAO </t>
  </si>
  <si>
    <t>VALOR REF. A Serviços de Carga e Descarga -  COMPANHIA BRASILEIRA DE  DISTRIBUICAO CD - PE -  DOCUMENTO:  26476</t>
  </si>
  <si>
    <t>VALOR REF. A Serviços de Carga e Descarga -  COMPANHIA BRASILEIRA DE  DISTRIBUICAO CD - PE -  DOCUMENTO:  26502</t>
  </si>
  <si>
    <t>VALOR REF. A Serviços de Carga e Descarga -  COMPANHIA BRASILEIRA DE  DISTRIBUICAO CD - PE -  DOCUMENTO:  26526</t>
  </si>
  <si>
    <t>VALOR REF. A Serviços de Carga e Descarga -  COMPANHIA BRASILEIRA DE  DISTRIBUICAO CD - PE -  DOCUMENTO:  26553</t>
  </si>
  <si>
    <t>VALOR REF. A Serviços de Carga e Descarga -  COMPANHIA BRASILEIRA DE  DISTRIBUICAO CD - PE -  DOCUMENTO:  26554</t>
  </si>
  <si>
    <t>VALOR REF. A Serviços de Carga e Descarga -  COMPANHIA BRASILEIRA DE  DISTRIBUICAO CD - PE -  DOCUMENTO:  26577</t>
  </si>
  <si>
    <t>VALOR REF. A Serviços de Carga e Descarga -  COMPANHIA BRASILEIRA DE  DISTRIBUICAO CD - PE -  DOCUMENTO:  26590</t>
  </si>
  <si>
    <t>VALOR REF. A Serviços de Carga e Descarga -  COMPANHIA BRASILEIRA DE  DISTRIBUICAO CD - PE -  DOCUMENTO:  26601</t>
  </si>
  <si>
    <t>VALOR REF. A Serviços de Carga e Descarga -  COMPANHIA BRASILEIRA DE  DISTRIBUICAO CD - PE -  DOCUMENTO:  26633</t>
  </si>
  <si>
    <t>VALOR REF. A Serviços de Carga e Descarga -  COMPANHIA BRASILEIRA DE  DISTRIBUICAO CD - PE -  DOCUMENTO:  26650</t>
  </si>
  <si>
    <t>VALOR REF. A Serviços de Carga e Descarga -  COMPANHIA BRASILEIRA DE  DISTRIBUICAO CD - PE -  DOCUMENTO:  26653</t>
  </si>
  <si>
    <t>VALOR REF. A Serviços de Carga e Descarga -  COMPANHIA BRASILEIRA DE  DISTRIBUICAO CD - PE -  DOCUMENTO:  26679</t>
  </si>
  <si>
    <t>VALOR REF. A Serviços de Carga e Descarga -  COMPANHIA BRASILEIRA DE  DISTRIBUICAO CD - PE -  DOCUMENTO:  26686</t>
  </si>
  <si>
    <t>VALOR REF. A Serviços de Carga e Descarga -  COMPANHIA BRASILEIRA DE  DISTRIBUICAO CD - PE -  DOCUMENTO:  26704</t>
  </si>
  <si>
    <t>VALOR REF. A Serviços de Carga e Descarga -  COMPANHIA BRASILEIRA DE  DISTRIBUICAO CD - PE -  DOCUMENTO:  26721</t>
  </si>
  <si>
    <t xml:space="preserve">SERVIÇO TOMADO CONF NF 27235 DE CIA BRASILEIRA DE DISTRIBUICAO </t>
  </si>
  <si>
    <t xml:space="preserve">SERVIÇO TOMADO CONF NF 27236 DE CIA BRASILEIRA DE DISTRIBUICAO </t>
  </si>
  <si>
    <t xml:space="preserve">SERVIÇO TOMADO CONF NF 27251 DE CIA BRASILEIRA DE DISTRIBUICAO </t>
  </si>
  <si>
    <t xml:space="preserve">SERVIÇO TOMADO CONF NF 27275 DE CIA BRASILEIRA DE DISTRIBUICAO </t>
  </si>
  <si>
    <t xml:space="preserve">SERVIÇO TOMADO CONF NF 27307 DE CIA BRASILEIRA DE DISTRIBUICAO </t>
  </si>
  <si>
    <t xml:space="preserve">SERVIÇO TOMADO CONF NF 27321 DE CIA BRASILEIRA DE DISTRIBUICAO </t>
  </si>
  <si>
    <t xml:space="preserve">SERVIÇO TOMADO CONF NF 27334 DE CIA BRASILEIRA DE DISTRIBUICAO </t>
  </si>
  <si>
    <t xml:space="preserve">SERVIÇO TOMADO CONF NF 27359 DE CIA BRASILEIRA DE DISTRIBUICAO </t>
  </si>
  <si>
    <t>VALOR REF. A Serviços de Carga e Descarga -  COMPANHIA BRASILEIRA DE  DISTRIBUICAO CD - PE -  DOCUMENTO:  26734</t>
  </si>
  <si>
    <t>VALOR REF. A Serviços de Carga e Descarga -  COMPANHIA BRASILEIRA DE  DISTRIBUICAO CD - PE -  DOCUMENTO:  26770</t>
  </si>
  <si>
    <t>VALOR REF. A Serviços de Carga e Descarga -  COMPANHIA BRASILEIRA DE  DISTRIBUICAO CD - PE -  DOCUMENTO:  26773</t>
  </si>
  <si>
    <t>VALOR REF. A Serviços de Carga e Descarga -  COMPANHIA BRASILEIRA DE  DISTRIBUICAO CD - PE -  DOCUMENTO:  26781</t>
  </si>
  <si>
    <t>VALOR REF. A Serviços de Carga e Descarga -  COMPANHIA BRASILEIRA DE  DISTRIBUICAO CD - PE -  DOCUMENTO:  26786</t>
  </si>
  <si>
    <t>VALOR REF. A Serviços de Carga e Descarga -  COMPANHIA BRASILEIRA DE  DISTRIBUICAO CD - PE -  DOCUMENTO:  26804</t>
  </si>
  <si>
    <t>VALOR REF. A Serviços de Carga e Descarga -  COMPANHIA BRASILEIRA DE  DISTRIBUICAO CD - PE -  DOCUMENTO:  26824</t>
  </si>
  <si>
    <t>VALOR REF. A Serviços de Carga e Descarga -  COMPANHIA BRASILEIRA DE  DISTRIBUICAO CD - PE -  DOCUMENTO:  26843</t>
  </si>
  <si>
    <t xml:space="preserve">SERVIÇO TOMADO CONF NF 27385 DE CIA BRASILEIRA DE DISTRIBUICAO </t>
  </si>
  <si>
    <t xml:space="preserve">SERVIÇO TOMADO CONF NF 27400 DE CIA BRASILEIRA DE DISTRIBUICAO </t>
  </si>
  <si>
    <t xml:space="preserve">SERVIÇO TOMADO CONF NF 27402 DE CIA BRASILEIRA DE DISTRIBUICAO </t>
  </si>
  <si>
    <t xml:space="preserve">SERVIÇO TOMADO CONF NF 27404 DE CIA BRASILEIRA DE DISTRIBUICAO </t>
  </si>
  <si>
    <t xml:space="preserve">SERVIÇO TOMADO CONF NF 27427 DE CIA BRASILEIRA DE DISTRIBUICAO </t>
  </si>
  <si>
    <t xml:space="preserve">SERVIÇO TOMADO CONF NF 27428 DE CIA BRASILEIRA DE DISTRIBUICAO </t>
  </si>
  <si>
    <t xml:space="preserve">SERVIÇO TOMADO CONF NF 27455 DE CIA BRASILEIRA DE DISTRIBUICAO </t>
  </si>
  <si>
    <t xml:space="preserve">SERVIÇO TOMADO CONF NF 27467 DE CIA BRASILEIRA DE DISTRIBUICAO </t>
  </si>
  <si>
    <t xml:space="preserve">SERVIÇO TOMADO CONF NF 27496 DE CIA BRASILEIRA DE DISTRIBUICAO </t>
  </si>
  <si>
    <t xml:space="preserve">SERVIÇO TOMADO CONF NF 27500 DE CIA BRASILEIRA DE DISTRIBUICAO </t>
  </si>
  <si>
    <t xml:space="preserve">SERVIÇO TOMADO CONF NF 27513 DE CIA BRASILEIRA DE DISTRIBUICAO </t>
  </si>
  <si>
    <t xml:space="preserve">SERVIÇO TOMADO CONF NF 27537 DE CIA BRASILEIRA DE DISTRIBUICAO </t>
  </si>
  <si>
    <t xml:space="preserve">SERVIÇO TOMADO CONF NF 27541 DE CIA BRASILEIRA DE DISTRIBUICAO </t>
  </si>
  <si>
    <t xml:space="preserve">SERVIÇO TOMADO CONF NF 27543 DE CIA BRASILEIRA DE DISTRIBUICAO </t>
  </si>
  <si>
    <t xml:space="preserve">SERVIÇO TOMADO CONF NF 27553 DE CIA BRASILEIRA DE DISTRIBUICAO </t>
  </si>
  <si>
    <t xml:space="preserve">SERVIÇO TOMADO CONF NF 27562 DE CIA BRASILEIRA DE DISTRIBUICAO </t>
  </si>
  <si>
    <t>VALOR REF. A Serviços de Carga e Descarga -  COMPANHIA BRASILEIRA DE  DISTRIBUICAO CD - PE -  DOCUMENTO:  26865</t>
  </si>
  <si>
    <t>VALOR REF. A Serviços de Carga e Descarga -  COMPANHIA BRASILEIRA DE  DISTRIBUICAO CD - PE -  DOCUMENTO:  26884</t>
  </si>
  <si>
    <t>VALOR REF. A Serviços de Carga e Descarga -  COMPANHIA BRASILEIRA DE  DISTRIBUICAO CD - PE -  DOCUMENTO:  26924</t>
  </si>
  <si>
    <t>VALOR REF. A Serviços de Carga e Descarga -  COMPANHIA BRASILEIRA DE  DISTRIBUICAO CD - PE -  DOCUMENTO:  26926</t>
  </si>
  <si>
    <t>VALOR REF. A Serviços de Carga e Descarga -  COMPANHIA BRASILEIRA DE  DISTRIBUICAO CD - PE -  DOCUMENTO:  26934</t>
  </si>
  <si>
    <t>VALOR REF. A Serviços de Carga e Descarga -  COMPANHIA BRASILEIRA DE  DISTRIBUICAO CD - PE -  DOCUMENTO:  26957</t>
  </si>
  <si>
    <t>VALOR REF. A Serviços de Carga e Descarga -  COMPANHIA BRASILEIRA DE  DISTRIBUICAO CD - PE -  DOCUMENTO:  26958</t>
  </si>
  <si>
    <t>VALOR REF. A Serviços de Carga e Descarga -  COMPANHIA BRASILEIRA DE  DISTRIBUICAO CD - PE -  DOCUMENTO:  27011</t>
  </si>
  <si>
    <t>VALOR REF. A Serviços de Carga e Descarga -  COMPANHIA BRASILEIRA DE  DISTRIBUICAO CD - PE -  DOCUMENTO:  27032</t>
  </si>
  <si>
    <t xml:space="preserve">SERVIÇO TOMADO CONF NF 27589 DE CIA BRASILEIRA DE DISTRIBUICAO </t>
  </si>
  <si>
    <t xml:space="preserve">SERVIÇO TOMADO CONF NF 27590 DE CIA BRASILEIRA DE DISTRIBUICAO </t>
  </si>
  <si>
    <t xml:space="preserve">SERVIÇO TOMADO CONF NF 27596 DE CIA BRASILEIRA DE DISTRIBUICAO </t>
  </si>
  <si>
    <t xml:space="preserve">SERVIÇO TOMADO CONF NF 27618 DE CIA BRASILEIRA DE DISTRIBUICAO </t>
  </si>
  <si>
    <t xml:space="preserve">SERVIÇO TOMADO CONF NF 27631 DE CIA BRASILEIRA DE DISTRIBUICAO </t>
  </si>
  <si>
    <t xml:space="preserve">SERVIÇO TOMADO CONF NF 27632 DE CIA BRASILEIRA DE DISTRIBUICAO </t>
  </si>
  <si>
    <t>VALOR REF. A Serviços de Carga e Descarga -  COMPANHIA BRASILEIRA DE  DISTRIBUICAO CD - PE -  DOCUMENTO:  26902</t>
  </si>
  <si>
    <t xml:space="preserve">SERVIÇO TOMADO CONF NF 27661 DE CIA BRASILEIRA DE DISTRIBUICAO </t>
  </si>
  <si>
    <t xml:space="preserve">SERVIÇO TOMADO CONF NF 27666 DE CIA BRASILEIRA DE DISTRIBUICAO </t>
  </si>
  <si>
    <t xml:space="preserve">SERVIÇO TOMADO CONF NF 27676 DE CIA BRASILEIRA DE DISTRIBUICAO </t>
  </si>
  <si>
    <t xml:space="preserve">SERVIÇO TOMADO CONF NF 27699 DE CIA BRASILEIRA DE DISTRIBUICAO </t>
  </si>
  <si>
    <t xml:space="preserve">SERVIÇO TOMADO CONF NF 27709 DE CIA BRASILEIRA DE DISTRIBUICAO </t>
  </si>
  <si>
    <t xml:space="preserve">SERVIÇO TOMADO CONF NF 27724 DE CIA BRASILEIRA DE DISTRIBUICAO </t>
  </si>
  <si>
    <t xml:space="preserve">SERVIÇO TOMADO CONF NF 20014 DE DG INFORMATICA LTDA </t>
  </si>
  <si>
    <t xml:space="preserve">SERVIÇO TOMADO CONF 668 DE MVN CAMPOS &amp; CIA SERV CONTR QUALID ALIMENTICIOS LTDA ME </t>
  </si>
  <si>
    <t xml:space="preserve">SERVIÇO TOMADO CONF NF 105 DE RC TRANSPORTES </t>
  </si>
  <si>
    <t xml:space="preserve">SERVIÇO TOMADO CONF NF 667820 DE VFS SISTEMA ELETRONICO DE ALARME LTDA </t>
  </si>
  <si>
    <t xml:space="preserve">SERVIÇO TOMADO DE VFS SISTEMA ELETRONICO DE ALARME LTDA </t>
  </si>
  <si>
    <t xml:space="preserve">SERVIÇO TOMADO CONF NF 166545 DE  NEXXERA MERCANTIL SERVILOS S/A </t>
  </si>
  <si>
    <t xml:space="preserve">COMPRAS DE MERCADORIAS CONF NF  7262 DE T M COMBUSTIVEIS LTDA. </t>
  </si>
  <si>
    <t xml:space="preserve">COMPRAS DE MERCADORIAS CONF NF  7287 DE T M COMBUSTIVEIS LTDA. </t>
  </si>
  <si>
    <t xml:space="preserve">COMPRAS DE MERCADORIAS CONF NF  7319 DE T M COMBUSTIVEIS LTDA. </t>
  </si>
  <si>
    <t xml:space="preserve">COMPRAS DE MERCADORIAS CONF NF  7345 DE T M COMBUSTIVEIS LTDA. </t>
  </si>
  <si>
    <t xml:space="preserve">COMPRAS DE MERCADORIAS CONF NF  7366 DE T M COMBUSTIVEIS LTDA. </t>
  </si>
  <si>
    <t>VALOR REF. A FRIGELAR COMERCIO E  INDUSTRIA LTDA - 000704209/1 - Compras de  Mercadorias para Revenda PARC. 001/001</t>
  </si>
  <si>
    <t xml:space="preserve">SERVIÇO TOMADO CONF 4976 DE NOVA PRAGAS CONTROL SAUDE AMBIENTAL LTDA </t>
  </si>
  <si>
    <t xml:space="preserve">SERVIÇO TOMADO CONF NF 43810 DE MB COMERCIAL LTDA ME </t>
  </si>
  <si>
    <t>VALOR REF. A EQUIPACENTER COMERCIO  DE EQUIPAMENTOS LTDA - EQUIPACENTER - 13990-10 - Móveis e  Utensílios</t>
  </si>
  <si>
    <t xml:space="preserve">FRETE S/ SERVICO TOMADO CONF NF  4619 DE J A ALVES DE MOREIRA ME </t>
  </si>
  <si>
    <t xml:space="preserve">FRETE S/ SERVICO TOMADO CONF NF  4620 DE J A ALVES DE MOREIRA ME </t>
  </si>
  <si>
    <t xml:space="preserve">FRETE S/ SERVICO TOMADO CONF NF  4630 DE J A ALVES DE MOREIRA ME </t>
  </si>
  <si>
    <t xml:space="preserve">FRETE S/ SERVICO TOMADO CONF NF  4641 DE J A ALVES DE MOREIRA ME </t>
  </si>
  <si>
    <t xml:space="preserve">SERVIÇO TOMADO CONF NF 48 DE JOAO BOSCO FERREIRA DA COSTA 02576594476 </t>
  </si>
  <si>
    <t xml:space="preserve">SERVIÇO TOMADO CONF NF 27486 DE ROSEMA PEREIRA DO NASCIMENTO EXTINTORES ME </t>
  </si>
  <si>
    <t xml:space="preserve">COMPRAS PARA USO E CONSUMO CONF NF 12850 DE CASA DAS TINTAS COMERCIO DE MATERIAIS DE CONSTRUCA </t>
  </si>
  <si>
    <t xml:space="preserve">SERVIÇO TOMADO CONF 30 DE RAPHAEL ANTUNES PINHEIRO 02631236424 </t>
  </si>
  <si>
    <t xml:space="preserve">SERVIÇO TOMADO CONF 31 DE RAPHAEL ANTUNES PINHEIRO 02631236424 </t>
  </si>
  <si>
    <t xml:space="preserve">SERVIÇO TOMADO CONF 29 DE MARCELA EMILIA BEZERRA DOS SANTOS 05617038419 </t>
  </si>
  <si>
    <t xml:space="preserve">SERVIÇO TOMADO CONF NF 23904 DE MOB2CON SOLUCOES TECNOLOGICAS LTDA </t>
  </si>
  <si>
    <t xml:space="preserve">SERVIÇO TOMADO CONF 22 DE JAIR BERNARDINO LOPES 03030444465 </t>
  </si>
  <si>
    <t xml:space="preserve">SERVIÇO TOMADO CONF NF 98 DE FABIO PEREIRA DO NASCIMENTO 69815844415 </t>
  </si>
  <si>
    <t xml:space="preserve">SERVIÇO TOMADO CONF NF 99 DE FABIO PEREIRA DO NASCIMENTO 69815844415 </t>
  </si>
  <si>
    <t xml:space="preserve">SERVIÇO TOMADO CONF 11 DE JOAO ELIAS DE SOUZA JUNIOR 91896371434 </t>
  </si>
  <si>
    <t>VALOR REF. A FILIMAX COMERCIO DE  EQUIPAMENOS LTDA ME - 3015-10 - Móveis  e Utensílios</t>
  </si>
  <si>
    <t xml:space="preserve">SERVIÇO TOMADO CONF NF 140 DE MOOVECOM ASSESSORIA LTDA ME </t>
  </si>
  <si>
    <t xml:space="preserve">SERVIÇO TOMADO CONF NF 62687 DE MOOVECOM ASSESSORIA LTDA ME </t>
  </si>
  <si>
    <t xml:space="preserve">FRETE S/ SERVICO TOMADO CONF NF 9  DE IVANILDO LEANDRO DO NASCIMENTO  JUNIOR 05353677404 </t>
  </si>
  <si>
    <t xml:space="preserve">SERVIÇO TOMADO CONF NF 220 DE J.K.J.  REFRIGERACAO LTDA </t>
  </si>
  <si>
    <t xml:space="preserve">SERVIÇO TOMADO CONF 8 DE EMILIA ELIZABETH BEZERRA DOS SANTOS 08060386409 </t>
  </si>
  <si>
    <t xml:space="preserve">SERVIÇO TOMADO CONF 9 DE EMILIA ELIZABETH BEZERRA DOS SANTOS 08060386409 </t>
  </si>
  <si>
    <t xml:space="preserve">FRETE S/ SERVICO TOMADO CONF NF 26  DE JOSE CARLOS AGUIAR DE LIMA  08883647416 </t>
  </si>
  <si>
    <t xml:space="preserve">FRETE S/ SERVICO TOMADO CONF NF 27  DE JOSE CARLOS AGUIAR DE LIMA  08883647416 </t>
  </si>
  <si>
    <t xml:space="preserve">FRETE S/ SERVICO TOMADO CONF NF 28  DE JOSE CARLOS AGUIAR DE LIMA  08883647416 </t>
  </si>
  <si>
    <t xml:space="preserve">FRETE S/ SERVICO TOMADO CONF NF 29  DE JOSE CARLOS AGUIAR DE LIMA  08883647416 </t>
  </si>
  <si>
    <t>VALOR REF. A TUPAN CONSTRUÇÕES  LTDA - 563956-04 - Manutenção de Imobilizado  PARC. 001/002</t>
  </si>
  <si>
    <t>VALOR REF. A TUPAN CONSTRUÇÕES  LTDA - 564325-04 - Manutenção de Imobilizado</t>
  </si>
  <si>
    <t>VALOR REF. A TUPAN CONSTRUÇÕES  LTDA - 430667-04 - Manutenção de Imobilizado</t>
  </si>
  <si>
    <t xml:space="preserve">COMPRAS PARA USO E CONSUMO CONF NF 360402 DE TUPAN CONSTRUCOES LTDA </t>
  </si>
  <si>
    <t xml:space="preserve">COMPRAS PARA USO E CONSUMO CONF NF 319 DE SANDRO DE PAIVA LOPES 82424691487 </t>
  </si>
  <si>
    <t xml:space="preserve">SERVIÇO TOMADO CONF NF 1274287 DE  OMIEXPERIENCE S.A. </t>
  </si>
  <si>
    <t>VALOR REF. A O BARATAO DAS  EMBALAGENS - RECIFE - 000001506/1 -  Compras de Materia Prima PARC. 001/001</t>
  </si>
  <si>
    <t>VALOR REF. A O BARATAO DAS  EMBALAGENS - RECIFE - 000001568/1 -  Compras de Materia Prima PARC. 001/001</t>
  </si>
  <si>
    <t xml:space="preserve">SERVIÇO TOMADO CONF 27 DE GS CONSULT LTDA </t>
  </si>
  <si>
    <t xml:space="preserve">SERVIÇO TOMADO CONF 28 DE GS CONSULT LTDA </t>
  </si>
  <si>
    <t xml:space="preserve">SERVIÇO TOMADO CONF 1 DE GS CONSULT LTDA </t>
  </si>
  <si>
    <t xml:space="preserve">SERVIÇO TOMADO CONF 2 DE GS CONSULT LTDA </t>
  </si>
  <si>
    <t xml:space="preserve">SERVIÇO TOMADO CONF 3 DE GS CONSULT LTDA </t>
  </si>
  <si>
    <t xml:space="preserve">SERVIÇO TOMADO CONF 4 DE GS CONSULT LTDA </t>
  </si>
  <si>
    <t xml:space="preserve">SERVIÇO TOMADO CONF 99 DE GS CONSULT LTDA </t>
  </si>
  <si>
    <t xml:space="preserve">SERVIÇO TOMADO CONF 5 DE GS CONSULT LTDA </t>
  </si>
  <si>
    <t xml:space="preserve">SERVIÇO TOMADO CONF NF 17597 DE AFERICAO LTDA ME </t>
  </si>
  <si>
    <t xml:space="preserve">REFERENTE FOLHA DE PAGAMENTO DO  MÊS 01/2023 - LIQUIDO SALARIO  </t>
  </si>
  <si>
    <t xml:space="preserve">REFERENTE FOLHA DE PAGAMENTO DO  MÊS LIQUIDO DE SALARIO  01/2023 </t>
  </si>
  <si>
    <t xml:space="preserve">REFERENTE FOLHA DE PAGAMENTO DO  MÊS RESCISÃO  01/2023 </t>
  </si>
  <si>
    <t xml:space="preserve">REFERENTE FOLHA DE PAGAMENTO DO  MÊS 01/2023 - FGTS DO MES  </t>
  </si>
  <si>
    <t xml:space="preserve">REFERENTE FOLHA DE PAGAMENTO DO  MÊS FGTS S FÉRIAS  DE  01/2023 </t>
  </si>
  <si>
    <t xml:space="preserve">REFERENTE FOLHA DE PAGAMENTO DO  MÊS FGTS S/ 13 SALARIO  01/2023 </t>
  </si>
  <si>
    <t xml:space="preserve">REFERENTE FOLHA DE PAGAMENTO DO  MÊS FGTS 40 %  01/2023 </t>
  </si>
  <si>
    <t xml:space="preserve">REFERENTE FOLHA DE PAGAMENTO DO MÊS FGTS 40%  </t>
  </si>
  <si>
    <t xml:space="preserve">REFERENTE FOLHA DE PAGAMENTO DO  MÊS FGTS DO MES    DE  01/2023 </t>
  </si>
  <si>
    <t xml:space="preserve">REFERENTE FOLHA DE PAGAMENTO DO  MÊS 01/2023 - IRRF  </t>
  </si>
  <si>
    <t xml:space="preserve">REFERENTE FOLHA DE PAGAMENTO DO  MÊS IMPOSTO DE RENDA  01/2023 </t>
  </si>
  <si>
    <t>VALOR REF. AO CPP SEGURADOS 01/2023</t>
  </si>
  <si>
    <t>VALOR REF. AO CPP SEGURADOS</t>
  </si>
  <si>
    <t xml:space="preserve">REFERENTE FOLHA DE PAGAMENTO DO  MÊS 01/2023 - INSS  </t>
  </si>
  <si>
    <t xml:space="preserve">REFERENTE FOLHA DE PAGAMENTO DO  MÊS 01/2023 - INSS FERIAS  </t>
  </si>
  <si>
    <t xml:space="preserve">REFERENTE FOLHA DE PAGAMENTO DO  MÊS 01/2023 - INSS EMPRESA  </t>
  </si>
  <si>
    <t xml:space="preserve">REFERENTE FOLHA DE PAGAMENTO DO  MÊS 01/2023 - INSS TERCEIROS  </t>
  </si>
  <si>
    <t xml:space="preserve">REFERENTE FOLHA DE PAGAMENTO DO  MÊS 01/2023 - INSS ACID TRABALHO  </t>
  </si>
  <si>
    <t xml:space="preserve">REFERENTE FOLHA DE PAGAMENTO DO  MÊS INSS S/ FERIAS  01/2023 </t>
  </si>
  <si>
    <t xml:space="preserve">REFERENTE FOLHA DE PAGAMENTO DO  MÊS INSS S/ 13 SALARIO  01/2023 </t>
  </si>
  <si>
    <t xml:space="preserve">REFERENTE FOLHA DE PAGAMENTO DO  MÊS INSS  01/2023 </t>
  </si>
  <si>
    <t xml:space="preserve">REFERENTE FOLHA DE PAGAMENTO DO  MÊS INSS EMPRESA   DE  01/2023 </t>
  </si>
  <si>
    <t xml:space="preserve">REFERENTE FOLHA DE PAGAMENTO DO  MÊS INSS TERCEIRO   DE 01/2023 </t>
  </si>
  <si>
    <t xml:space="preserve">REFERENTE FOLHA DE PAGAMENTO DO  MÊS INSS TERCEIROS   DE  01/2023  </t>
  </si>
  <si>
    <t xml:space="preserve">REFERENTE FOLHA DE PAGAMENTO DO  MÊS SALARIO FAMILIA  DE 01/2023 </t>
  </si>
  <si>
    <t>VALOR REF. AO CPP PATRONAL</t>
  </si>
  <si>
    <t>VALOR REF. AO CPP TERCEIROS 01/2023</t>
  </si>
  <si>
    <t>VALOR REF. AO CPP TERCEIROS</t>
  </si>
  <si>
    <t xml:space="preserve">REFERENTE FOLHA DE PAGAMENTO DO  MÊS 01/2023 - PROVISAO PARA FERIAS  </t>
  </si>
  <si>
    <t xml:space="preserve">REFERENTE FOLHA DE PAGAMENTO DO  MÊS PROVISÃO DE FÉRIAS   DE  01/2023 </t>
  </si>
  <si>
    <t>FERIAS 01/2023</t>
  </si>
  <si>
    <t xml:space="preserve">REFERENTE FOLHA DE PAGAMENTO DO  MÊS 01/2023 - FERIAS  </t>
  </si>
  <si>
    <t xml:space="preserve">REFERENTE FOLHA DE PAGAMENTO DO  MÊS 01/2023 - ESTORNO PROVISÃO PARA  FERIAS  </t>
  </si>
  <si>
    <t xml:space="preserve">REFERENTE FOLHA DE PAGAMENTO DO  MÊS 01/2023 - INSS S/ PROVISÃO DE  FERIAS  </t>
  </si>
  <si>
    <t xml:space="preserve">REFERENTE FOLHA DE PAGAMENTO DO  MÊS 01/2023  PROVISÃO INSS TERCEIROS  </t>
  </si>
  <si>
    <t xml:space="preserve">REFERENTE FOLHA DE PAGAMENTO DO  MÊS 01/2023 - ESTORNO INSS S/  PROVISAO DE FERIAS  </t>
  </si>
  <si>
    <t xml:space="preserve">REFERENTE FOLHA DE PAGAMENTO DO  MÊS 01/2023 - FGTS S/ PROVISÃO DE  FERIAS  </t>
  </si>
  <si>
    <t xml:space="preserve">REFERENTE FOLHA DE PAGAMENTO DO  MÊS PROVISÃO FGTS S FÉRIAS   DE  01/ 2023 </t>
  </si>
  <si>
    <t xml:space="preserve">REFERENTE FOLHA DE PAGAMENTO DO  MÊS 01/2023 - ESTORNO FGTS S/  PROVISÃO DE FERIAS  </t>
  </si>
  <si>
    <t xml:space="preserve">REFERENTE FOLHA DE PAGAMENTO DO  MÊS PROVISÃO DE 13   DE  01/2023 </t>
  </si>
  <si>
    <t>13º SALARIO 01/2023</t>
  </si>
  <si>
    <t xml:space="preserve">REFERENTE FOLHA DE PAGAMENTO DO  MÊS 13º SALÁRIO  01/2023 </t>
  </si>
  <si>
    <t xml:space="preserve">REFERENTE FOLHA DE PAGAMENTO DO  MÊS DIFERENCA 13º ALTERACAO SAL  RETROATIVO  01/2023 </t>
  </si>
  <si>
    <t>VALOR REF. A UBER DO BRASIL  TECNOLOGIA LTDA - Uber 01.12.22 -  Deslocamentos, veículos e combustíveis PARC.  001/001</t>
  </si>
  <si>
    <t>VALOR REF. A CJCM PETROLEO LTDA -  236914 - Pró-Labore PARC. 001/001</t>
  </si>
  <si>
    <t>VALOR REF. A CJCM PETROLEO LTDA -  2691 - Pró-Labore PARC. 001/001</t>
  </si>
  <si>
    <t>VALOR REF. A BANCO DO BRASIL S.A. -  Anui.Gabriel 01.23 - Tarifas Bancárias PARC.  001/001</t>
  </si>
  <si>
    <t>VALOR REF. A BANCO DO BRASIL S.A. -  IOF 02.12.22 - IOF PARC. 001/001</t>
  </si>
  <si>
    <t>VALOR REF. A C.F.ADMINISTRATIVO -  Gsuite 01.12.22 - Informática PARC. 001/001</t>
  </si>
  <si>
    <t>VALOR REF. A AUTO POSTO VIAGAS -  79504 - Pró-Labore PARC. 001/001</t>
  </si>
  <si>
    <t>VALOR REF. A PANELA PRIME - 771 - Pró- Labore PARC. 001/001</t>
  </si>
  <si>
    <t>VALOR REF. A CJCM PETROLEO LTDA -  332128 - Pró-Labore PARC. 001/001</t>
  </si>
  <si>
    <t>VALOR REF. A CHURRASCARIA BODE DA  SERRA - 9293 - Pró-Labore PARC. 001/001</t>
  </si>
  <si>
    <t>VALOR REF. A CJCM PETROLEO LTDA -  334627 - Pró-Labore PARC. 001/001</t>
  </si>
  <si>
    <t>VALOR REF. A CJCM PETROLEO LTDA -  335444 - Pró-Labore PARC. 001/001</t>
  </si>
  <si>
    <t>VALOR REF. A BOI &amp; BRASA - 150839 - Pró- Labore PARC. 001/001</t>
  </si>
  <si>
    <t>PROVISAO DE ENERGIA COMP 01.2023</t>
  </si>
  <si>
    <t>PROVISAO DE AGUA - COMPESA COMP 01. 2023</t>
  </si>
  <si>
    <t xml:space="preserve">REFERENTE FOLHA DE PAGAMENTO DO  MÊS 01/2023 - SALARIOS  </t>
  </si>
  <si>
    <t xml:space="preserve">REFERENTE FOLHA DE PAGAMENTO DO  MÊS VALE TRANSPORTE INFORMATIVA   DE 01/2023 </t>
  </si>
  <si>
    <t xml:space="preserve">REFERENTE FOLHA DE PAGAMENTO DO  MÊS 01/2023 - DESC. ASSISTENCIA  MEDICA  </t>
  </si>
  <si>
    <t xml:space="preserve">REFERENTE FOLHA DE PAGAMENTO DO  MÊS GRATIFICAÇÃO COMP  01/2023 </t>
  </si>
  <si>
    <t>CONTRIBUIÇÃO PREVIDENCIÁRIA 01/2023  - COMERCIAL HORTIFRIOS</t>
  </si>
  <si>
    <t xml:space="preserve">REFERENTE FOLHA DE PAGAMENTO DO  MÊS INDENIZAÇÕES E AVISO PRÉVIO  01/ 2023 </t>
  </si>
  <si>
    <t xml:space="preserve">REFERENTE FOLHA DE PAGAMENTO DO  MÊS 01/2023 - HORAS EXTRAS </t>
  </si>
  <si>
    <t xml:space="preserve">REFERENTE FOLHA DE PAGAMENTO DO  MÊS ALIMENTAÇÃO EM TICKET OU  CARTÃO  DE 01/2023 </t>
  </si>
  <si>
    <t xml:space="preserve">REFERENTE FOLHA DE PAGAMENTO DO  MÊS 01/2023 - DESC. ALIMENTACAO  </t>
  </si>
  <si>
    <t xml:space="preserve">REFERENTE FOLHA DE PAGAMENTO DO  MÊS 01/2023 - VALE TRANSPORTE  </t>
  </si>
  <si>
    <t xml:space="preserve">REFERENTE FOLHA DE PAGAMENTO DO  MÊS DIAS NORMAIS  01/2023 </t>
  </si>
  <si>
    <t xml:space="preserve">REFERENTE FOLHA DE PAGAMENTO DO  MÊS DIAS AFAST. P/DOENCA C/DIR. INTEGRAIS   DE 01/2023 </t>
  </si>
  <si>
    <t xml:space="preserve">REFERENTE FOLHA DE PAGAMENTO DO  MÊS DESC VALE REFEIÇÃO    DE  01/2023 </t>
  </si>
  <si>
    <t xml:space="preserve">REFERENTE FOLHA DE PAGAMENTO DO  MÊS SEGURO SAÚDE   de 01/2023 </t>
  </si>
  <si>
    <t xml:space="preserve">REFERENTE FOLHA DE PAGAMENTO DO  MÊS VALE TRANSPORTE  01/2023 </t>
  </si>
  <si>
    <t>VALOR REF. A Juros sobre Antecipação de  Recebíveis - WAL MART BRASIL LTDA -   DOCUMENTO: J.Ant.Sam´s 10.01.23</t>
  </si>
  <si>
    <t>VALOR REF. A Juros sobre Antecipação de  Recebíveis - BOMPRECO  SUPERMERCADOS  DO NORDESTE LTDA  (B-009) -   DOCUMENTO: Jur.Ant B-009 01.23</t>
  </si>
  <si>
    <t>VALOR REF. A Juros sobre Antecipação de  Recebíveis - BOMPREÇO SUPERMERCADO  DO NORDESTE LTDA (B-17) -   DOCUMENTO: Jur.Ant.B-017 01.23</t>
  </si>
  <si>
    <t>VALOR REF. A Juros sobre Antecipação de  Recebíveis - BOMPRECO SUPERMERCADOS  DO NORDESTE LTDA  (B-006) -   DOCUMENTO: Jur.Ant.B-006 01.23</t>
  </si>
  <si>
    <t>VALOR REF. A Juros sobre Antecipação de  Recebíveis - BOMPREÇO SUPERMERCADOS  DO NORDESTE LTDA  (B-310) -   DOCUMENTO: Jur.Ant.B-310 01.23</t>
  </si>
  <si>
    <t>VALOR REF. A Juros sobre Antecipação de  Recebíveis - BOMPREÇO SUPERMERCADOS  DO NORDESTE LTDA  CD MURIBECA -   DOCUMENTO: Jur.Ant.CD BIG 01.23</t>
  </si>
  <si>
    <t>VALOR REF. A Juros sobre Antecipação de  Recebíveis - BOMPRECO SUPERMERCADOS  DO NORDESTE LTDA (B-032) -   DOCUMENTO: Jur.Ant.B-032 01.23</t>
  </si>
  <si>
    <t>VALOR REF. A Juros sobre Antecipação de  Recebíveis - BOMPRECO SUPERMERCADOS  DO NORDESTE LTDA (B-035) -   DOCUMENTO: Jur.Ant.B-035 01.23</t>
  </si>
  <si>
    <t>VALOR REF. A Juros sobre Antecipação de  Recebíveis - BOMPRECO SUPERMERCADOS  DO NORDESTE LTDA (B-05) -   DOCUMENTO: Jur.Ant.B-05 01.23</t>
  </si>
  <si>
    <t>VALOR REF. A Juros sobre Antecipação de  Recebíveis - BOMPRECO SUPERMERCADOS  DO NORDESTE LTDA (B-31) -   DOCUMENTO: Jur.Ant.B-031 01.23</t>
  </si>
  <si>
    <t>VALOR REF. A Juros sobre Antecipação de  Recebíveis - BOMPRECO SUPERMERCADOS  DO NORDESTE LTDA (B-341) -   DOCUMENTO: Jur.Ant.B-341 01.23</t>
  </si>
  <si>
    <t>VALOR REF. A Juros sobre Antecipação de  Recebíveis - BOMPRECO SUPERMERCADOS  DO NORDESTE LTDA (B-352) -   DOCUMENTO: Jur.Ant.B-352 01.23</t>
  </si>
  <si>
    <t>VALOR REF. A Juros sobre Antecipação de  Recebíveis - BOMPRECO SUPERMERCADOS  DO NORDESTE LTDA (B-41) -   DOCUMENTO: Jur.Ant.B-041 01.23</t>
  </si>
  <si>
    <t>VALOR REF. A Juros sobre Antecipação de  Recebíveis - BOMPRECO SUPERMERCADOS  DO NORDESTE LTDA(B-01) -  DOCUMENTO:  Jur.Ant.B-01 01.23</t>
  </si>
  <si>
    <t>VALOR REF. A Juros sobre Antecipação de  Recebíveis - BOMPRECO SUPERMERCADOS  DO NORDESTE LTDA(-B337) -   DOCUMENTO: Jur.Ant.B-337 01.23</t>
  </si>
  <si>
    <t>VALOR REF. A Juros sobre Antecipação de  Recebíveis - BOMPRECO SUPERMERCADOS  DO NORDESTE LTDA(B96) -  DOCUMENTO:  Jur.Ant.B-096 01.23</t>
  </si>
  <si>
    <t>VALOR REF. A Juros sobre Antecipação de  Recebíveis - HIPER TODO DIA GARANHUNS -   DOCUMENTO: Jur.Ant.HT GA 01.23</t>
  </si>
  <si>
    <t>VALOR REF. A Juros sobre Antecipação de  Recebíveis - HIPER TODO DIA PAULISTA -   DOCUMENTO: Jur.Ant.HT PA 01.23</t>
  </si>
  <si>
    <t>VALOR REF. A Juros sobre Antecipação de  Recebíveis - HIPER TODO DIA SÃO  LOURENÇO DA MATA -  DOCUMENTO: Jur. Ant.HT SL 01.23</t>
  </si>
  <si>
    <t>VALOR REF. A Juros sobre Antecipação de  Recebíveis - HIPER TODO DIA VITORIA  SANTO ANTÃO -  DOCUMENTO: Jur.Ant.HT  VIT 01.23</t>
  </si>
  <si>
    <t>VALOR REF. A Juros sobre Antecipação de  Recebíveis - CARREFOUR COMERCIO E  INDUSTRIA LTDA ( TORRE) -   DOCUMENTO: Jur.Ant.Car 10.01.23</t>
  </si>
  <si>
    <t>VALOR REF. A Juros sobre Antecipação de  Recebíveis - WAL MART BRASIL LTDA -   DOCUMENTO: Jur.Ant.Sam´s 30.01</t>
  </si>
  <si>
    <t>VALOR REF. A Juros sobre Antecipação de  Recebíveis - CARREFOUR COMERCIO E  INDUSTRIA LTDA ( TORRE) -   DOCUMENTO: Jur.Ant.Car 30.01.23</t>
  </si>
  <si>
    <t>VALOR REF. A Juros sobre Antecipação de  Recebíveis - CARREFOUR COMERCIO E  INDUSTRIA LTDA ( BOA VIAGEM ) -   DOCUMENTO: Jur.Ant.Car 30.01.23</t>
  </si>
  <si>
    <t>02/01/2023</t>
  </si>
  <si>
    <t>03/01/2023</t>
  </si>
  <si>
    <t>30.998.254/0011-83</t>
  </si>
  <si>
    <t>26230140843179000163550010001002141891331030</t>
  </si>
  <si>
    <t>13.004.510/0042-57</t>
  </si>
  <si>
    <t>26230140843179000163550010001002261132377728</t>
  </si>
  <si>
    <t>26230140843179000163550010001002291943985259</t>
  </si>
  <si>
    <t>26230140843179000163550010001002311378322059</t>
  </si>
  <si>
    <t>26230140843179000163550010001002441078873929</t>
  </si>
  <si>
    <t>04/01/2023</t>
  </si>
  <si>
    <t>13.004.510/0025-56</t>
  </si>
  <si>
    <t>26230140843179000163550010001003011604422973</t>
  </si>
  <si>
    <t>26230140843179000163550010001003041998505999</t>
  </si>
  <si>
    <t>26230140843179000163550010001003061107854561</t>
  </si>
  <si>
    <t>05/01/2023</t>
  </si>
  <si>
    <t>26230140843179000163550010001003401868710076</t>
  </si>
  <si>
    <t>26230140843179000163550010001003411929546758</t>
  </si>
  <si>
    <t>26230140843179000163550010001003421250104690</t>
  </si>
  <si>
    <t>26230140843179000163550010001003541134007383</t>
  </si>
  <si>
    <t>06/01/2023</t>
  </si>
  <si>
    <t>26230140843179000163550010001004121179359128</t>
  </si>
  <si>
    <t>07/01/2023</t>
  </si>
  <si>
    <t>26230140843179000163550010001004451926949708</t>
  </si>
  <si>
    <t>26230140843179000163550010001004461562354638</t>
  </si>
  <si>
    <t>26230140843179000163550010001004651298030417</t>
  </si>
  <si>
    <t>08/01/2023</t>
  </si>
  <si>
    <t>26230140843179000163550010001005101153607249</t>
  </si>
  <si>
    <t>26230140843179000163550010001005111666400784</t>
  </si>
  <si>
    <t>26230140843179000163550010001005161617366124</t>
  </si>
  <si>
    <t>26230140843179000163550010001005171672375374</t>
  </si>
  <si>
    <t>26230140843179000163550010001005281619628909</t>
  </si>
  <si>
    <t>26230140843179000163550010001005291257210053</t>
  </si>
  <si>
    <t>09/01/2023</t>
  </si>
  <si>
    <t>15/01/2023</t>
  </si>
  <si>
    <t>26230140843179000163550010001005311713942552</t>
  </si>
  <si>
    <t>26230140843179000163550010001005321770769136</t>
  </si>
  <si>
    <t>10/01/2023</t>
  </si>
  <si>
    <t>11/01/2023</t>
  </si>
  <si>
    <t>26230140843179000163550010001005601886003444</t>
  </si>
  <si>
    <t>26230140843179000163550010001005611766451307</t>
  </si>
  <si>
    <t>26230140843179000163550010001005621611537531</t>
  </si>
  <si>
    <t>12/01/2023</t>
  </si>
  <si>
    <t>26230140843179000163550010001006421704039992</t>
  </si>
  <si>
    <t>26230140843179000163550010001006431101730224</t>
  </si>
  <si>
    <t>26230140843179000163550010001006441376334149</t>
  </si>
  <si>
    <t>26230140843179000163550010001006471558771724</t>
  </si>
  <si>
    <t>26230140843179000163550010001007011411097991</t>
  </si>
  <si>
    <t>08.030.363/0034-40</t>
  </si>
  <si>
    <t>13/01/2023</t>
  </si>
  <si>
    <t>26230140843179000163550010001007491419908003</t>
  </si>
  <si>
    <t>26230140843179000163550010001007621398719187</t>
  </si>
  <si>
    <t>26230140843179000163550010001007641937234685</t>
  </si>
  <si>
    <t>14/01/2023</t>
  </si>
  <si>
    <t>26230140843179000163550010001007901483922859</t>
  </si>
  <si>
    <t>26230140843179000163550010001008131899481699</t>
  </si>
  <si>
    <t>26230140843179000163550010001008551920151834</t>
  </si>
  <si>
    <t>26230140843179000163550010001008611154695180</t>
  </si>
  <si>
    <t>26230140843179000163550010001008771887882232</t>
  </si>
  <si>
    <t>16/01/2023</t>
  </si>
  <si>
    <t>17/01/2023</t>
  </si>
  <si>
    <t>45.455.446/0001-49</t>
  </si>
  <si>
    <t>26230140843179000163550010001009271510953842</t>
  </si>
  <si>
    <t>18/01/2023</t>
  </si>
  <si>
    <t>26230140843179000163550010001009911662410265</t>
  </si>
  <si>
    <t>26230140843179000163550010001009921008160767</t>
  </si>
  <si>
    <t>26230140843179000163550010001009931962147904</t>
  </si>
  <si>
    <t>19/01/2023</t>
  </si>
  <si>
    <t>26230140843179000163550010001010331397857572</t>
  </si>
  <si>
    <t>26230140843179000163550010001010341692053699</t>
  </si>
  <si>
    <t>26230140843179000163550010001010391233252108</t>
  </si>
  <si>
    <t>26230140843179000163550010001010801122589240</t>
  </si>
  <si>
    <t>26230140843179000163550010001010811859635637</t>
  </si>
  <si>
    <t>26230140843179000163550010001011011203257240</t>
  </si>
  <si>
    <t>26230140843179000163550010001011021328682270</t>
  </si>
  <si>
    <t>20/01/2023</t>
  </si>
  <si>
    <t>21/01/2023</t>
  </si>
  <si>
    <t>26230140843179000163550010001011281796543810</t>
  </si>
  <si>
    <t>26230140843179000163550010001011291838284962</t>
  </si>
  <si>
    <t>22/01/2023</t>
  </si>
  <si>
    <t>26230140843179000163550010001012031258560513</t>
  </si>
  <si>
    <t>26230140843179000163550010001012041674635861</t>
  </si>
  <si>
    <t>26230140843179000163550010001012051279092106</t>
  </si>
  <si>
    <t>23/01/2023</t>
  </si>
  <si>
    <t>24/01/2023</t>
  </si>
  <si>
    <t>03.183.099/0001-00</t>
  </si>
  <si>
    <t>26230140843179000163550010001012371499754470</t>
  </si>
  <si>
    <t>26230140843179000163550010001012441719789205</t>
  </si>
  <si>
    <t>25/01/2023</t>
  </si>
  <si>
    <t>26230140843179000163550010001013041005096188</t>
  </si>
  <si>
    <t>26230140843179000163550010001013051669786159</t>
  </si>
  <si>
    <t>26230140843179000163550010001013061188361549</t>
  </si>
  <si>
    <t>26230140843179000163550010001013261868626941</t>
  </si>
  <si>
    <t>26230140843179000163550010001013301769386953</t>
  </si>
  <si>
    <t>26230140843179000163550010001013341754624364</t>
  </si>
  <si>
    <t>26/01/2023</t>
  </si>
  <si>
    <t>26230140843179000163550010001013671354268189</t>
  </si>
  <si>
    <t>26230140843179000163550010001013691849301495</t>
  </si>
  <si>
    <t>26230140843179000163550010001013741015402502</t>
  </si>
  <si>
    <t>27/01/2023</t>
  </si>
  <si>
    <t>26230140843179000163550010001014161868722001</t>
  </si>
  <si>
    <t>26230140843179000163550010001014171526001367</t>
  </si>
  <si>
    <t>26230140843179000163550010001014231141699744</t>
  </si>
  <si>
    <t>26230140843179000163550010001014251859431732</t>
  </si>
  <si>
    <t>26230140843179000163550010001014271141562551</t>
  </si>
  <si>
    <t>26230140843179000163550010001014411635242352</t>
  </si>
  <si>
    <t>28/01/2023</t>
  </si>
  <si>
    <t>48.900.495/0001-31</t>
  </si>
  <si>
    <t>26230140843179000163550010001014881068616877</t>
  </si>
  <si>
    <t>29/01/2023</t>
  </si>
  <si>
    <t>26230140843179000163550010001015371269802887</t>
  </si>
  <si>
    <t>26230140843179000163550010001015391392169920</t>
  </si>
  <si>
    <t>26230140843179000163550010001015401172947410</t>
  </si>
  <si>
    <t>30/01/2023</t>
  </si>
  <si>
    <t>31/01/2023</t>
  </si>
  <si>
    <t>26230140843179000163550010001015921632834687</t>
  </si>
  <si>
    <t>01/02/2023</t>
  </si>
  <si>
    <t>26230140843179000163550010001016301361454517</t>
  </si>
  <si>
    <t>26230140843179000163550010001016351449387293</t>
  </si>
  <si>
    <t>26230140843179000163550010001016451170841209</t>
  </si>
  <si>
    <t>26230140843179000163550010001016461479306600</t>
  </si>
  <si>
    <t>26230140843179000163550010001016561112426982</t>
  </si>
  <si>
    <t>26230140843179000163550010001016711545897546</t>
  </si>
  <si>
    <t>26230140843179000163550010001016721608529767</t>
  </si>
  <si>
    <t>02/02/2023</t>
  </si>
  <si>
    <t>26230140843179000163550010001016731306962244</t>
  </si>
  <si>
    <t>26230140843179000163550010001016741002204495</t>
  </si>
  <si>
    <t>24230108030363000939550060000324921344209796</t>
  </si>
  <si>
    <t>24230108030363000939550060000326321045358733</t>
  </si>
  <si>
    <t>24230108030363000939550060000326341687967059</t>
  </si>
  <si>
    <t>24230108030363000939550060000326531303940707</t>
  </si>
  <si>
    <t>24230108030363000939550060000327371735507528</t>
  </si>
  <si>
    <t>24230108030363000939550060000330011121524568</t>
  </si>
  <si>
    <t>24230108030363000939550060000330661518606801</t>
  </si>
  <si>
    <t>24230108030363000939550060000332331579987295</t>
  </si>
  <si>
    <t>24230108030363000939550060000332341724578505</t>
  </si>
  <si>
    <t>24230108030363000939550060000333781281194401</t>
  </si>
  <si>
    <t>24230108030363000939550060000335401067430012</t>
  </si>
  <si>
    <t>24230108030363000939550060000335411106982065</t>
  </si>
  <si>
    <t>24230108030363000939550060000338471909306472</t>
  </si>
  <si>
    <t>24230108030363000939550060000339171380067812</t>
  </si>
  <si>
    <t>24230108030363001234550060000123021055841783</t>
  </si>
  <si>
    <t>24230108030363001234550060000123421795381587</t>
  </si>
  <si>
    <t>24230108030363001234550060000123501190301454</t>
  </si>
  <si>
    <t>24230108030363001234550060000125101737152608</t>
  </si>
  <si>
    <t>24230108030363001234550060000126651599791469</t>
  </si>
  <si>
    <t>24230108030363001234550060000129481798100496</t>
  </si>
  <si>
    <t>24230108030363001234550060000130761504559100</t>
  </si>
  <si>
    <t>24230108030363001315550060000157591906454574</t>
  </si>
  <si>
    <t>24230108030363001315550060000158981127829940</t>
  </si>
  <si>
    <t>24230108030363001315550060000159711890984480</t>
  </si>
  <si>
    <t>24230108030363003105550060000133641555516164</t>
  </si>
  <si>
    <t>24230108030363003105550060000134561930830770</t>
  </si>
  <si>
    <t>24230108030363003105550060000135301096222452</t>
  </si>
  <si>
    <t>24230108030363003105550060000136091904082290</t>
  </si>
  <si>
    <t>24230108030363003105550060000136331102362602</t>
  </si>
  <si>
    <t>24230108030363003105550060000139251112777982</t>
  </si>
  <si>
    <t>24230108030363003105550060000139951850703793</t>
  </si>
  <si>
    <t>24230108030363003440550060000112781789834258</t>
  </si>
  <si>
    <t>24230108030363003440550060000114851146376279</t>
  </si>
  <si>
    <t>24230108030363003440550060000116881380846548</t>
  </si>
  <si>
    <t>24230108030363003873550060000155661621094012</t>
  </si>
  <si>
    <t>24230108030363003873550060000156391402142931</t>
  </si>
  <si>
    <t>24230108030363003873550060000156901104232064</t>
  </si>
  <si>
    <t>24230108030363003873550060000157761117047526</t>
  </si>
  <si>
    <t>24230108030363003873550060000159421516900942</t>
  </si>
  <si>
    <t>24230108030363003873550060000160171595278576</t>
  </si>
  <si>
    <t>24230108030363003873550060000160181843225113</t>
  </si>
  <si>
    <t>24230108030363003873550060000161001286743620</t>
  </si>
  <si>
    <t>24230108030363003873550060000161781029856127</t>
  </si>
  <si>
    <t>24230108030363003873550060000162271504107304</t>
  </si>
  <si>
    <t>24230108030363003873550060000162671056554979</t>
  </si>
  <si>
    <t>24230108030363003873550060000163531864175250</t>
  </si>
  <si>
    <t>24230108030363003873550060000164081513587246</t>
  </si>
  <si>
    <t>24230108030363003873550060000164091934973336</t>
  </si>
  <si>
    <t>24230108030363003873550060000164781586464807</t>
  </si>
  <si>
    <t>24230108030363003873550060000164791667626162</t>
  </si>
  <si>
    <t>26.411.858/0001-32</t>
  </si>
  <si>
    <t>R F HORTIFRUTI</t>
  </si>
  <si>
    <t>24230126411858000132550010000033201670742971</t>
  </si>
  <si>
    <t>24230126708943000167550010000072621232897490</t>
  </si>
  <si>
    <t>24230126708943000167550010000072871064506115</t>
  </si>
  <si>
    <t>24230126708943000167550010000073191591604887</t>
  </si>
  <si>
    <t>24230126708943000167550010000073451981795997</t>
  </si>
  <si>
    <t>24230126708943000167550010000073661316460853</t>
  </si>
  <si>
    <t>00.000.802/0017-69</t>
  </si>
  <si>
    <t>HC PNEUS S/A</t>
  </si>
  <si>
    <t>26230100000802001769550010000727771794076808</t>
  </si>
  <si>
    <t>26230100063960007294557000000015801142289440</t>
  </si>
  <si>
    <t>26230100063960007294557000000016051974222001</t>
  </si>
  <si>
    <t>26230100063960007294557000000016151540180925</t>
  </si>
  <si>
    <t>26230100063960007294557000000016201965995644</t>
  </si>
  <si>
    <t>26230100063960007294557000000016211524193616</t>
  </si>
  <si>
    <t>26230100063960007294557000000016371806473136</t>
  </si>
  <si>
    <t>26230100063960007294557000000016381819313695</t>
  </si>
  <si>
    <t>26230100063960007294557000000016441989176904</t>
  </si>
  <si>
    <t>26230100063960007294557000000016451805843454</t>
  </si>
  <si>
    <t>26230100063960007294557000000016481288081531</t>
  </si>
  <si>
    <t>26230100063960007294557000000016491743912970</t>
  </si>
  <si>
    <t>00.279.531/0005-99</t>
  </si>
  <si>
    <t>TUPAN LJ IMBIRIBEIRA</t>
  </si>
  <si>
    <t>26230100279531000599550020003604021851802813</t>
  </si>
  <si>
    <t>02.130.343/0001-04</t>
  </si>
  <si>
    <t>HORTIFRIOS</t>
  </si>
  <si>
    <t>26230102130343000104550010000020551480530994</t>
  </si>
  <si>
    <t>26230102296877000105550010000003171050085501</t>
  </si>
  <si>
    <t>26230102296877000105550010000003181316027700</t>
  </si>
  <si>
    <t>26230102296877000105550010000003231800400022</t>
  </si>
  <si>
    <t>26230102296877000105550010000003261809001777</t>
  </si>
  <si>
    <t>26230102296877000105550010000003291004678067</t>
  </si>
  <si>
    <t>26230103008270000137550010000304301340000006</t>
  </si>
  <si>
    <t>26230103008270000137550010000304531340000000</t>
  </si>
  <si>
    <t>26230103008270000137550010000304761340000005</t>
  </si>
  <si>
    <t>26230103008270000137550010000304941340000003</t>
  </si>
  <si>
    <t>26230103008270000137550010000305211340000002</t>
  </si>
  <si>
    <t>26230103008270000137550010000305371340000002</t>
  </si>
  <si>
    <t>26230103008270000137550010000305631340000002</t>
  </si>
  <si>
    <t>26230103008270000137550010000305811340000000</t>
  </si>
  <si>
    <t>26230103008270000137550010000306081340000006</t>
  </si>
  <si>
    <t>26230103008270000137550010000306231340000002</t>
  </si>
  <si>
    <t>26230103008270000137550010000306491340000009</t>
  </si>
  <si>
    <t>26230103008270000137550010000306641340000005</t>
  </si>
  <si>
    <t>26230103008270000137550010000306891340000004</t>
  </si>
  <si>
    <t>26230103008270000137550010000307061340000007</t>
  </si>
  <si>
    <t>26230103008270000137550010000307301340000002</t>
  </si>
  <si>
    <t>26230103008270000137550010000307461340000002</t>
  </si>
  <si>
    <t>26230103008270000137550010000307711340000005</t>
  </si>
  <si>
    <t>26230103008270000137550010000307871340000005</t>
  </si>
  <si>
    <t>26230103008270000137550010000308121340000000</t>
  </si>
  <si>
    <t>26230103008270000137550010000308291340000007</t>
  </si>
  <si>
    <t>26230103008270000137550010000308521340000005</t>
  </si>
  <si>
    <t>26230103008270000137550010000308691340000002</t>
  </si>
  <si>
    <t>26230103008270000137550010000308941340000005</t>
  </si>
  <si>
    <t>26230103008270000137550010000309111340000008</t>
  </si>
  <si>
    <t>26230103008270000137550010000309361340000007</t>
  </si>
  <si>
    <t>26230103008270000137550010000309511340000003</t>
  </si>
  <si>
    <t>26230103281744000110550120000071381001263769</t>
  </si>
  <si>
    <t>26230103281744000209550120000060351001253554</t>
  </si>
  <si>
    <t>26230103651710000170550010000527701202337356</t>
  </si>
  <si>
    <t>26230103651710000170550010000528011202377461</t>
  </si>
  <si>
    <t>26230103651710000170550010000528281202376060</t>
  </si>
  <si>
    <t>26230103651710000170550010000528351202381440</t>
  </si>
  <si>
    <t>26230103651710000170550010000528911202330195</t>
  </si>
  <si>
    <t>26230103651710000170550010000529101202353346</t>
  </si>
  <si>
    <t>26230103651710000170550010000529381202353347</t>
  </si>
  <si>
    <t>26230103651710000170550010000529551202379045</t>
  </si>
  <si>
    <t>26230103651710000170550010000530641202376067</t>
  </si>
  <si>
    <t>26230103651710000170550010000530921202357954</t>
  </si>
  <si>
    <t>26230103651710000170550010000531651202370550</t>
  </si>
  <si>
    <t>26230103651710000170550010000532581202336409</t>
  </si>
  <si>
    <t>26230103651710000170550010000532591202353343</t>
  </si>
  <si>
    <t>26230103651710000170550010000532791202376060</t>
  </si>
  <si>
    <t>26230103651710000170550010000533361202301417</t>
  </si>
  <si>
    <t>26230103651710000170550010000534411202328965</t>
  </si>
  <si>
    <t>26230103651710000170550010000534421202377467</t>
  </si>
  <si>
    <t>03.740.592/0001-76</t>
  </si>
  <si>
    <t>DEDE DAS BATERIAS</t>
  </si>
  <si>
    <t>DEDE COMERCIO DE BATERIAS VEICULAR LTDA</t>
  </si>
  <si>
    <t>26230103740592000176550020000010371331594558</t>
  </si>
  <si>
    <t>03.892.821/0002-59</t>
  </si>
  <si>
    <t>Etiquetas Guararapes</t>
  </si>
  <si>
    <t>Comercial Horti Frios Ltda</t>
  </si>
  <si>
    <t>26230103892821000259550010000306711000462673</t>
  </si>
  <si>
    <t>26230103892821000259550010000308551000466021</t>
  </si>
  <si>
    <t>26230104269297000146550010000260091868391381</t>
  </si>
  <si>
    <t>26230104269297000146550010000260431474664445</t>
  </si>
  <si>
    <t>26230104269297000146550010000260821053814414</t>
  </si>
  <si>
    <t>26230104269297000146550010000261141318930323</t>
  </si>
  <si>
    <t>26230104269297000146550010000261551554064084</t>
  </si>
  <si>
    <t>26230104269297000146550010000261931263348095</t>
  </si>
  <si>
    <t>26230104269297000146550010000262311055106044</t>
  </si>
  <si>
    <t>26230104269297000146550010000262661260305105</t>
  </si>
  <si>
    <t>26230104269297000146550010000262941142801816</t>
  </si>
  <si>
    <t>26230104269297000146550010000263451773514918</t>
  </si>
  <si>
    <t>26230104269297000146550010000263731282142217</t>
  </si>
  <si>
    <t>26230104940750001176550010001679381774952323</t>
  </si>
  <si>
    <t>26230104940750001176550010001680241439042841</t>
  </si>
  <si>
    <t>26230104940750001176550010001681741537656213</t>
  </si>
  <si>
    <t>26230104940750001176550010001682251795515206</t>
  </si>
  <si>
    <t>26230104940750001176550010001682631406504942</t>
  </si>
  <si>
    <t>26230104940750001176550010001683761084167912</t>
  </si>
  <si>
    <t>26230104940750001176550010001684101127173670</t>
  </si>
  <si>
    <t>26230104940750001176550010001686241384920438</t>
  </si>
  <si>
    <t>26230104940750001176550010001686621743259298</t>
  </si>
  <si>
    <t>26230104940750001176550010001687121743002363</t>
  </si>
  <si>
    <t>26230104940750001176550010001688571392904960</t>
  </si>
  <si>
    <t>26230104940750001176550010001690361959571810</t>
  </si>
  <si>
    <t>26230104940750001176550010001691131773092599</t>
  </si>
  <si>
    <t>26230104940750001176550010001693041399097541</t>
  </si>
  <si>
    <t>26230104940750001176550010001693831023105479</t>
  </si>
  <si>
    <t>26230104940750001176550010001695131533609149</t>
  </si>
  <si>
    <t>26230104940750001176550010001695441913790984</t>
  </si>
  <si>
    <t>26230104940750001176550010001696271925714549</t>
  </si>
  <si>
    <t>26230107844788001729550550000014811202003167</t>
  </si>
  <si>
    <t>26230107844788001729550550000014831041405344</t>
  </si>
  <si>
    <t>08.035.528/0001-08</t>
  </si>
  <si>
    <t>VG ATACADO</t>
  </si>
  <si>
    <t>VILMA GOMES FREITAS DE OLIVEIRA EIRELI</t>
  </si>
  <si>
    <t>26230108035528000108550030000017971587166979</t>
  </si>
  <si>
    <t>08.104.986/0001-51</t>
  </si>
  <si>
    <t>CASA DAS TINTAS</t>
  </si>
  <si>
    <t>26230108104986000151550010000128501006719235</t>
  </si>
  <si>
    <t>26230109104065000151550010001817401802258914</t>
  </si>
  <si>
    <t>26230109166344000654550010000561531858523357</t>
  </si>
  <si>
    <t>26230109166344000654550010000562111159652617</t>
  </si>
  <si>
    <t>26230109166344000654550010000562851933033306</t>
  </si>
  <si>
    <t>26230109166344000654550010000563411067231393</t>
  </si>
  <si>
    <t>26230109581439000120550010000053491987760499</t>
  </si>
  <si>
    <t>26230110572014000133558900012788421232662647</t>
  </si>
  <si>
    <t>26230110572014000133558900012806491638759914</t>
  </si>
  <si>
    <t>26230110572014000133558900012828711781967283</t>
  </si>
  <si>
    <t>26230110572014000133558900012846761140888870</t>
  </si>
  <si>
    <t>26230110572014000133558900012848441278854158</t>
  </si>
  <si>
    <t>26230110572014000133558900012861631571196459</t>
  </si>
  <si>
    <t>26230110572014000133558900012883101570744092</t>
  </si>
  <si>
    <t>26230110572014000133558900012926351436745219</t>
  </si>
  <si>
    <t>26230110572014000133558900012941481699371018</t>
  </si>
  <si>
    <t>26230110572014000133558900012963591505775944</t>
  </si>
  <si>
    <t>26230110572014000133558900012983891984467321</t>
  </si>
  <si>
    <t>26230110572014000133558900013005251833396643</t>
  </si>
  <si>
    <t>26230110572014000133558900013005561658190537</t>
  </si>
  <si>
    <t>26230110572014000133558900013026341350425065</t>
  </si>
  <si>
    <t>11.009.656/0002-72</t>
  </si>
  <si>
    <t>AZEVEDO PESCADOS</t>
  </si>
  <si>
    <t>C. M. AZEVEDO PESCADOS LTDA</t>
  </si>
  <si>
    <t>26230111009656000272550010000000091549641180</t>
  </si>
  <si>
    <t>26230111840014000130550010004123531737053713</t>
  </si>
  <si>
    <t>26230111840014000130550010004148271309510047</t>
  </si>
  <si>
    <t>26230111840014000130550010004148291139739922</t>
  </si>
  <si>
    <t>26230111840014000130550010004149511009898490</t>
  </si>
  <si>
    <t>26230112701734000349550550000887581207463149</t>
  </si>
  <si>
    <t>26230112701734000349550550000889101857416738</t>
  </si>
  <si>
    <t>26230112701734000349550550000890821933517344</t>
  </si>
  <si>
    <t>26230112701734000349550550000890831645436141</t>
  </si>
  <si>
    <t>26230112701734000349550550000891151369904005</t>
  </si>
  <si>
    <t>26230112701734000349550550000892301663446096</t>
  </si>
  <si>
    <t>26230112701734000349550550000893681039281823</t>
  </si>
  <si>
    <t>26230112701734000349550550000894241456317316</t>
  </si>
  <si>
    <t>26230112701734000349550550000895491226192737</t>
  </si>
  <si>
    <t>26230112701734000349550550000895721084193842</t>
  </si>
  <si>
    <t>26230112701734000349550550000895741994104100</t>
  </si>
  <si>
    <t>26230112701734000349550550000897051568573064</t>
  </si>
  <si>
    <t>26230112701734000349550550000898591301499884</t>
  </si>
  <si>
    <t>26230112701734000349550550000898601562872407</t>
  </si>
  <si>
    <t>26230112701734000349550550000900651291740874</t>
  </si>
  <si>
    <t>26230112701734000349550550000900671639435472</t>
  </si>
  <si>
    <t>26230112701734000349550550000901081099467609</t>
  </si>
  <si>
    <t>26230112988833000191550000000328761000108037</t>
  </si>
  <si>
    <t>26230112988833000191550000000329551000128238</t>
  </si>
  <si>
    <t>26230112988833000191550000000329881000260560</t>
  </si>
  <si>
    <t>26230112988833000191550000000330071000119555</t>
  </si>
  <si>
    <t>26230112988833000191550000000330221000284455</t>
  </si>
  <si>
    <t>26230112988833000191550000000330561000000560</t>
  </si>
  <si>
    <t>26230112988833000191550000000331311000047393</t>
  </si>
  <si>
    <t>26230113004510002556557000000017541322775454</t>
  </si>
  <si>
    <t>26230113004510004257557000000018361501670061</t>
  </si>
  <si>
    <t>26230113004510004842557000000033841603523551</t>
  </si>
  <si>
    <t>26230113004510004842557000000034061349112663</t>
  </si>
  <si>
    <t>26230113004510004842557000000034351095612220</t>
  </si>
  <si>
    <t>26230113004510004842557000000034681220815349</t>
  </si>
  <si>
    <t>26230113004510004842557000000034791681006875</t>
  </si>
  <si>
    <t>26230113004510004842557000000035021206878588</t>
  </si>
  <si>
    <t>26230113004510025416557000000013811010252575</t>
  </si>
  <si>
    <t>26230113004510025840557000003808781970164404</t>
  </si>
  <si>
    <t>26230113004510040482557000000018851045811746</t>
  </si>
  <si>
    <t>26230113004510040482557000000019071566981118</t>
  </si>
  <si>
    <t>26230113004510040482557000000019091892273575</t>
  </si>
  <si>
    <t>26230113004510040482557000000019311367385820</t>
  </si>
  <si>
    <t>26230113124400000150550020000017761237510966</t>
  </si>
  <si>
    <t>26230113124400000150550020000018341893451909</t>
  </si>
  <si>
    <t>26230113124400000150550020000018471259232210</t>
  </si>
  <si>
    <t>26230113124400000150550020000018861862225180</t>
  </si>
  <si>
    <t>26230113124400000150550020000019221912880673</t>
  </si>
  <si>
    <t>13.261.525/0001-22</t>
  </si>
  <si>
    <t>MARQUES PLASTIC</t>
  </si>
  <si>
    <t>26230113261525000122550010000067121263815293</t>
  </si>
  <si>
    <t>26230113261525000122550010000067131027629160</t>
  </si>
  <si>
    <t>26230113897212000165550010003086711360017240</t>
  </si>
  <si>
    <t>26230113897212000165550010003087041370010276</t>
  </si>
  <si>
    <t>26230113897212000165550010003088581380015277</t>
  </si>
  <si>
    <t>26230113897212000165550010003088761380017219</t>
  </si>
  <si>
    <t>26230113897212000165550010003089401390014231</t>
  </si>
  <si>
    <t>26230113897212000165550010003089811390018221</t>
  </si>
  <si>
    <t>26230113897212000165550010003091351310013277</t>
  </si>
  <si>
    <t>26230113897212000165550010003091691310016290</t>
  </si>
  <si>
    <t>26230113897212000165550010003092131320011267</t>
  </si>
  <si>
    <t>26230113897212000165550010003093621330016261</t>
  </si>
  <si>
    <t>26230113897212000165550010003094001340010269</t>
  </si>
  <si>
    <t>26230113897212000165550010003094331340013285</t>
  </si>
  <si>
    <t>26230113897212000165550010003094771340017277</t>
  </si>
  <si>
    <t>26230113897212000165550010003095011350010205</t>
  </si>
  <si>
    <t>26230113897212000165550010003095491350014298</t>
  </si>
  <si>
    <t>26230113897212000165550010003095571350015261</t>
  </si>
  <si>
    <t>26230113897212000165550010003095671350016230</t>
  </si>
  <si>
    <t>26230114256097000102550010000101391274242483</t>
  </si>
  <si>
    <t>26230114256097000102550010000101401150651790</t>
  </si>
  <si>
    <t>26230114256097000102550010000101411978295507</t>
  </si>
  <si>
    <t>26230114256097000102550010000101631770088832</t>
  </si>
  <si>
    <t>26230114256097000102550010000101641197882340</t>
  </si>
  <si>
    <t>26230114256097000102550010000101651460159876</t>
  </si>
  <si>
    <t>26230114256097000102550010000101871908583464</t>
  </si>
  <si>
    <t>26230114256097000102550010000101881103076010</t>
  </si>
  <si>
    <t>26230114256097000102550010000102021563969442</t>
  </si>
  <si>
    <t>26230114256097000102550010000102301934846755</t>
  </si>
  <si>
    <t>26230114256097000102550010000102311718559503</t>
  </si>
  <si>
    <t>26230114256097000102550010000102321909702189</t>
  </si>
  <si>
    <t>26230114256097000102550010000102541752210270</t>
  </si>
  <si>
    <t>26230114256097000102550010000102551109577600</t>
  </si>
  <si>
    <t>26230114256097000102550010000102731911644681</t>
  </si>
  <si>
    <t>26230114256097000102550010000103061437355184</t>
  </si>
  <si>
    <t>26230114256097000102550010000103371674479460</t>
  </si>
  <si>
    <t>26230114256097000102550010000103381895306329</t>
  </si>
  <si>
    <t>26230114256097000102550010000103391370335978</t>
  </si>
  <si>
    <t>26230114256097000102550010000103451510056526</t>
  </si>
  <si>
    <t>26230114256097000102550010000103461744487920</t>
  </si>
  <si>
    <t>26230114256097000102550010000103731477095054</t>
  </si>
  <si>
    <t>26230114256097000102550010000103841264454417</t>
  </si>
  <si>
    <t>26230114256097000102550010000103861594322020</t>
  </si>
  <si>
    <t>26230120300157000905550010000108541767160789</t>
  </si>
  <si>
    <t>26230120300157000905550010000108731823804041</t>
  </si>
  <si>
    <t>26230120300157000905550010000108741614118681</t>
  </si>
  <si>
    <t>26230120300157000905550010000108991377568807</t>
  </si>
  <si>
    <t>26230120300157000905550010000109691716620853</t>
  </si>
  <si>
    <t>26230120300157000905550010000110111604135819</t>
  </si>
  <si>
    <t>26230120300157000905550010000110541451677316</t>
  </si>
  <si>
    <t>26230120300157000905550010000110881414285408</t>
  </si>
  <si>
    <t>26230120300157000905550010000111191482580450</t>
  </si>
  <si>
    <t>26230120300157000905550010000111201277589337</t>
  </si>
  <si>
    <t>26230120300157000905550010000111211258867707</t>
  </si>
  <si>
    <t>26230120300157000905550010000111221616912296</t>
  </si>
  <si>
    <t>26230120300157000905550010000111231334673542</t>
  </si>
  <si>
    <t>26230120300157000905550010000111241439009917</t>
  </si>
  <si>
    <t>26230120300157000905550010000111511139298724</t>
  </si>
  <si>
    <t>26230120300157000905550010000111521900655374</t>
  </si>
  <si>
    <t>26230120300157000905550010000111531248617345</t>
  </si>
  <si>
    <t>26230120300157000905550010000111541124748097</t>
  </si>
  <si>
    <t>26230120300157000905550010000111661873888704</t>
  </si>
  <si>
    <t>26230120300157000905550010000112721155329740</t>
  </si>
  <si>
    <t>26230120300157000905550010000112871953578499</t>
  </si>
  <si>
    <t>26230120300157000905550010000112881943954630</t>
  </si>
  <si>
    <t>26230120300157000905550010000112891588534665</t>
  </si>
  <si>
    <t>26230120300157000905550010000113081324002658</t>
  </si>
  <si>
    <t>26230120300157000905550010000113321140004793</t>
  </si>
  <si>
    <t>26230120300157000905550010000113611884377000</t>
  </si>
  <si>
    <t>26230120300157000905550010000114041242559507</t>
  </si>
  <si>
    <t>26230120300157000905550010000114431573967635</t>
  </si>
  <si>
    <t>26230120300157000905550010000114441508542592</t>
  </si>
  <si>
    <t>26230120300157000905550010000114451938780739</t>
  </si>
  <si>
    <t>26230120300157000905550010000114461963482360</t>
  </si>
  <si>
    <t>26230120300157000905550010000114471568477241</t>
  </si>
  <si>
    <t>26230120300157000905550010000114481919965097</t>
  </si>
  <si>
    <t>26230120300157000905550010000114491790157511</t>
  </si>
  <si>
    <t>26230120300157000905550010000114881687128898</t>
  </si>
  <si>
    <t>26230120300157000905550010000114891976013523</t>
  </si>
  <si>
    <t>26230120300157000905550010000114901950137960</t>
  </si>
  <si>
    <t>26230120300157000905550010000114911184601610</t>
  </si>
  <si>
    <t>26230120300157000905550010000114921365192124</t>
  </si>
  <si>
    <t>26230120300157000905550010000115331773287009</t>
  </si>
  <si>
    <t>26230120300157000905550010000115341168294970</t>
  </si>
  <si>
    <t>26230120300157000905550010000115351284897925</t>
  </si>
  <si>
    <t>26230120300157000905550010000115361868972460</t>
  </si>
  <si>
    <t>26230120300157000905550010000115371509317771</t>
  </si>
  <si>
    <t>26230120300157000905550010000115641824714444</t>
  </si>
  <si>
    <t>26230120300157000905550010000115741400189390</t>
  </si>
  <si>
    <t>26230120300157000905550010000115751341795702</t>
  </si>
  <si>
    <t>26230120300157000905550010000115761948307019</t>
  </si>
  <si>
    <t>26230120300157000905550010000115921528130055</t>
  </si>
  <si>
    <t>26230120300157000905550010000115931031759803</t>
  </si>
  <si>
    <t>26230120300157000905550010000115941562723165</t>
  </si>
  <si>
    <t>26230120300157000905550010000115951708456120</t>
  </si>
  <si>
    <t>26230120300157000905550010000115961913111803</t>
  </si>
  <si>
    <t>26230120300157000905550010000115971744238523</t>
  </si>
  <si>
    <t>26230120300157000905550010000115981531547739</t>
  </si>
  <si>
    <t>26230120300157000905550010000115991998763543</t>
  </si>
  <si>
    <t>26230120300157000905550010000116001297698411</t>
  </si>
  <si>
    <t>26230120300157000905550010000116011569902827</t>
  </si>
  <si>
    <t>26230120300157000905550010000116021296149532</t>
  </si>
  <si>
    <t>26230120300157002193550010000018141336302878</t>
  </si>
  <si>
    <t>26230120300157002193550010000018151492938919</t>
  </si>
  <si>
    <t>26230120300157002193550010000018181778624730</t>
  </si>
  <si>
    <t>26230120300157002193550010000018191555533278</t>
  </si>
  <si>
    <t>26230120300157002193550010000018201596854304</t>
  </si>
  <si>
    <t>26230120300157002193550010000018211187238051</t>
  </si>
  <si>
    <t>26230120300157002193550010000018671964509435</t>
  </si>
  <si>
    <t>26230120300157002193550010000018681691191302</t>
  </si>
  <si>
    <t>26230120300157002193550010000018691129572851</t>
  </si>
  <si>
    <t>26230120300157002193550010000019351607208916</t>
  </si>
  <si>
    <t>26230120300157002193550010000019361253281752</t>
  </si>
  <si>
    <t>26230120300157002193550010000019371105942308</t>
  </si>
  <si>
    <t>26230120300157002193550010000019381905427944</t>
  </si>
  <si>
    <t>26230120300157002193550010000019391372209984</t>
  </si>
  <si>
    <t>26230120300157002193550010000019951399276428</t>
  </si>
  <si>
    <t>26230120300157002193550010000019971925742404</t>
  </si>
  <si>
    <t>26230120300157002193550010000019991497264393</t>
  </si>
  <si>
    <t>26230120300157002193550010000020211152783658</t>
  </si>
  <si>
    <t>26230120300157002193550010000020221540564020</t>
  </si>
  <si>
    <t>26230120300157002193550010000020421300927601</t>
  </si>
  <si>
    <t>26230120300157002193550010000020431334889076</t>
  </si>
  <si>
    <t>26230120300157002193550010000020441876757964</t>
  </si>
  <si>
    <t>26230120300157002193550010000020661882705978</t>
  </si>
  <si>
    <t>26230120300157002193550010000020911850753295</t>
  </si>
  <si>
    <t>26230120300157002193550010000021101859401186</t>
  </si>
  <si>
    <t>26230120300157002193550010000021121927050767</t>
  </si>
  <si>
    <t>26230120300157002193550010000021131365126054</t>
  </si>
  <si>
    <t>26230120300157002193550010000021521964407407</t>
  </si>
  <si>
    <t>26230120300157002193550010000021531159900578</t>
  </si>
  <si>
    <t>26230120300157002193550010000021641958611449</t>
  </si>
  <si>
    <t>26230120300157002193550010000021681412877144</t>
  </si>
  <si>
    <t>26230120300157002193550010000022191648922730</t>
  </si>
  <si>
    <t>26230120300157002193550010000022201430504348</t>
  </si>
  <si>
    <t>26230120300157002193550010000022331763696720</t>
  </si>
  <si>
    <t>26230120300157002193550010000022341902030242</t>
  </si>
  <si>
    <t>26230120300157002193550010000022821268042294</t>
  </si>
  <si>
    <t>26230120300157002193550010000022831498003247</t>
  </si>
  <si>
    <t>26230120300157002193550010000022941552800433</t>
  </si>
  <si>
    <t>26230120300157002193550010000023431141788304</t>
  </si>
  <si>
    <t>26230120300157002193550010000023441838653150</t>
  </si>
  <si>
    <t>26230120300157002193550010000023451929312841</t>
  </si>
  <si>
    <t>26230120300157002193550010000023461585484261</t>
  </si>
  <si>
    <t>26230120300157002193550010000023471732860278</t>
  </si>
  <si>
    <t>26230120300157002193550010000023621131310610</t>
  </si>
  <si>
    <t>26230120300157002193550010000023951358298119</t>
  </si>
  <si>
    <t>26230120300157002193550010000023961959742142</t>
  </si>
  <si>
    <t>26230120300157002193550010000023971772347263</t>
  </si>
  <si>
    <t>26230120300157002193550010000024011900226697</t>
  </si>
  <si>
    <t>26230120300157002193550010000024271114910341</t>
  </si>
  <si>
    <t>26230120300157002193550010000024281543485704</t>
  </si>
  <si>
    <t>26230120300157002193550010000024291079086255</t>
  </si>
  <si>
    <t>26230120300157002193550010000024561858785857</t>
  </si>
  <si>
    <t>26230120300157002193550010000024571505558122</t>
  </si>
  <si>
    <t>26230120300157002193550010000024941909827307</t>
  </si>
  <si>
    <t>26230120300157002193550010000024951575536137</t>
  </si>
  <si>
    <t>26230120300157002193550010000025141178637252</t>
  </si>
  <si>
    <t>26230120300157002193550010000025151311620294</t>
  </si>
  <si>
    <t>26230120300157002193550010000025161324571871</t>
  </si>
  <si>
    <t>26230120300157002193550010000025441185779031</t>
  </si>
  <si>
    <t>22.868.769/0001-69</t>
  </si>
  <si>
    <t>26230122868769000169550010000057811979125075</t>
  </si>
  <si>
    <t>26230124153415000163550010000357761001403881</t>
  </si>
  <si>
    <t>26230124153415000163550010000357871001405063</t>
  </si>
  <si>
    <t>26230124153415000163550010000358031001406464</t>
  </si>
  <si>
    <t>26230124153415000163550010000358101001407279</t>
  </si>
  <si>
    <t>26230124153415000163550010000358221001408420</t>
  </si>
  <si>
    <t>26230124153415000163550010000358241001408440</t>
  </si>
  <si>
    <t>26230124153415000163550010000358571001409138</t>
  </si>
  <si>
    <t>26230124153415000163550010000358671001409282</t>
  </si>
  <si>
    <t>26230124153415000163550010000358921001410828</t>
  </si>
  <si>
    <t>26230124153415000163550010000359141001411807</t>
  </si>
  <si>
    <t>26230124153415000163550010000359381001413119</t>
  </si>
  <si>
    <t>26230124153415000163550010000359581001413545</t>
  </si>
  <si>
    <t>26230124153415000163550010000359871001414144</t>
  </si>
  <si>
    <t>26230124153415000163550010000360171001414846</t>
  </si>
  <si>
    <t>26230126091714000146550010000014951382116369</t>
  </si>
  <si>
    <t>26230126787097000118550010000113231657656797</t>
  </si>
  <si>
    <t>26230126787097000118550010000113981141564890</t>
  </si>
  <si>
    <t>26230126787097000118550010000114451850159859</t>
  </si>
  <si>
    <t>26230127892333000129550010000018531297360021</t>
  </si>
  <si>
    <t>26230127892333000129550010000018541303060940</t>
  </si>
  <si>
    <t>26230127892333000129550010000018561312577237</t>
  </si>
  <si>
    <t>26230127892333000129550010000018571779466890</t>
  </si>
  <si>
    <t>26230127892333000129550010000018611570483430</t>
  </si>
  <si>
    <t>26230127892333000129550010000018621495047620</t>
  </si>
  <si>
    <t>26230127892333000129550010000018631134240759</t>
  </si>
  <si>
    <t>26230127892333000129550010000018651286165266</t>
  </si>
  <si>
    <t>26230127892333000129550010000018661454018749</t>
  </si>
  <si>
    <t>26230127892333000129550010000018681904249279</t>
  </si>
  <si>
    <t>26230127892333000129550010000018691608306600</t>
  </si>
  <si>
    <t>26230127892333000129550010000018711592478877</t>
  </si>
  <si>
    <t>26230127892333000129550010000018721876629761</t>
  </si>
  <si>
    <t>26230127892333000129550010000018741859253958</t>
  </si>
  <si>
    <t>26230127892333000129550010000018751887043676</t>
  </si>
  <si>
    <t>26230127892333000129550010000018771845213144</t>
  </si>
  <si>
    <t>26230127892333000129550010000018781548974563</t>
  </si>
  <si>
    <t>26230127892333000129550010000018801992900265</t>
  </si>
  <si>
    <t>26230127892333000129550010000018821190982671</t>
  </si>
  <si>
    <t>26230127892333000129550010000018831177749281</t>
  </si>
  <si>
    <t>26230127892333000129550010000018841835313736</t>
  </si>
  <si>
    <t>26230127892333000129550010000018851317304214</t>
  </si>
  <si>
    <t>26230127892333000129550010000018861376277039</t>
  </si>
  <si>
    <t>26230127892333000129550010000018881691266255</t>
  </si>
  <si>
    <t>26230127892333000129550010000018891815547240</t>
  </si>
  <si>
    <t>26230127892333000129550010000018921774662118</t>
  </si>
  <si>
    <t>26230127892333000129550010000018931488727260</t>
  </si>
  <si>
    <t>26230127892333000129550010000018951559432040</t>
  </si>
  <si>
    <t>26230127892333000129550010000018961615495100</t>
  </si>
  <si>
    <t>26230127938468000188550010000181761000351346</t>
  </si>
  <si>
    <t>26230127938468000188550010000183701000353834</t>
  </si>
  <si>
    <t>26230130709251000100550010000013261683662134</t>
  </si>
  <si>
    <t>26230130709251000100550010000013391264809657</t>
  </si>
  <si>
    <t>26230130998254001183550020000000181146394655</t>
  </si>
  <si>
    <t>26230130998254001183550020000000191331589219</t>
  </si>
  <si>
    <t>26230130998254001183550020000000211988607606</t>
  </si>
  <si>
    <t>26230130998254001183550020000000221603081860</t>
  </si>
  <si>
    <t>26230130998254001183550020000000231160824564</t>
  </si>
  <si>
    <t>26230130998254001183550020000000241403216260</t>
  </si>
  <si>
    <t>26230130998254005766550020000000491065144203</t>
  </si>
  <si>
    <t>26230130998254005766550020000000511850262941</t>
  </si>
  <si>
    <t>26230130998254005766550020000000521253512031</t>
  </si>
  <si>
    <t>26230130998254005766550020000000531940273700</t>
  </si>
  <si>
    <t>26230130998254005766550020000000551508376113</t>
  </si>
  <si>
    <t>26230130998254005766550020000000561592961431</t>
  </si>
  <si>
    <t>26230130998254007114550020000000281713194509</t>
  </si>
  <si>
    <t>26230130998254007114550020000000291882308819</t>
  </si>
  <si>
    <t>26230130998254007114550020000000301195486832</t>
  </si>
  <si>
    <t>26230130998254007971550020000000311884843649</t>
  </si>
  <si>
    <t>26230130998254007971550020000000411119709929</t>
  </si>
  <si>
    <t>26230130998254007971550020000000421833793842</t>
  </si>
  <si>
    <t>26230130998254007971550020000000441079189808</t>
  </si>
  <si>
    <t>26230130998254007971550020000000451018889211</t>
  </si>
  <si>
    <t>26230130998254007971550020000000471712791870</t>
  </si>
  <si>
    <t>26230130998254007971550020000000481148681701</t>
  </si>
  <si>
    <t>26230130998254010255550020000003571779350070</t>
  </si>
  <si>
    <t>26230130998254010255550020000003601040585967</t>
  </si>
  <si>
    <t>26230130998254010255550020000003711859213923</t>
  </si>
  <si>
    <t>26230130998254010255550020000003761692739320</t>
  </si>
  <si>
    <t>26230130998254010255550020000003881464548016</t>
  </si>
  <si>
    <t>26230130998254010255550020000003891288531800</t>
  </si>
  <si>
    <t>26230130998254010255550020000003941969686995</t>
  </si>
  <si>
    <t>26230130998254010255550020000003971148357604</t>
  </si>
  <si>
    <t>26230130998254010255550020000004081388412680</t>
  </si>
  <si>
    <t>26230130998254010255550020000004161852167580</t>
  </si>
  <si>
    <t>26230130998254010255550020000004171908323805</t>
  </si>
  <si>
    <t>26230130998254010255550020000004271888746109</t>
  </si>
  <si>
    <t>26230130998254010255550020000004281685502520</t>
  </si>
  <si>
    <t>26230130998254010255550020000004331911679198</t>
  </si>
  <si>
    <t>26230130998254010255550020000004461409647607</t>
  </si>
  <si>
    <t>26230130998254010255550020000004471629266774</t>
  </si>
  <si>
    <t>26230130998254010255550020000004481605513876</t>
  </si>
  <si>
    <t>26230130998254010255550020000004491597015709</t>
  </si>
  <si>
    <t>26230130998254010255550020000004661798702410</t>
  </si>
  <si>
    <t>26230131441144000107550010000036231950890314</t>
  </si>
  <si>
    <t>26230131441144000107550010000036241093574130</t>
  </si>
  <si>
    <t>26230131441144000107550010000036251698525402</t>
  </si>
  <si>
    <t>26230131441144000107550010000036351343305916</t>
  </si>
  <si>
    <t>26230131441144000107550010000036361478123171</t>
  </si>
  <si>
    <t>26230131441144000107550010000036371375227419</t>
  </si>
  <si>
    <t>26230131441144000107550010000036421718575567</t>
  </si>
  <si>
    <t>26230131441144000107550010000036451120282025</t>
  </si>
  <si>
    <t>26230131441144000107550010000036461436545333</t>
  </si>
  <si>
    <t>26230131441144000107550010000036541372514019</t>
  </si>
  <si>
    <t>26230131441144000107550010000036551077197099</t>
  </si>
  <si>
    <t>26230131441144000107550010000036621572115004</t>
  </si>
  <si>
    <t>26230131441144000107550010000036631151379690</t>
  </si>
  <si>
    <t>26230131441144000107550010000036691603677972</t>
  </si>
  <si>
    <t>26230131441144000107550010000036701437524505</t>
  </si>
  <si>
    <t>26230131441144000107550010000036711961648231</t>
  </si>
  <si>
    <t>26230131441144000107550010000036741278104255</t>
  </si>
  <si>
    <t>26230131441144000107550010000036751282797801</t>
  </si>
  <si>
    <t>26230131441144000107550010000036761590101210</t>
  </si>
  <si>
    <t>26230131441144000107550010000036791399877057</t>
  </si>
  <si>
    <t>26230131441144000107550010000036801638104844</t>
  </si>
  <si>
    <t>26230131441144000107550010000036811026830100</t>
  </si>
  <si>
    <t>26230131441144000107550010000036901095532855</t>
  </si>
  <si>
    <t>26230131441144000107550010000036911423052835</t>
  </si>
  <si>
    <t>26230131441144000107550010000036921318655263</t>
  </si>
  <si>
    <t>26230131441144000107550010000036951987783529</t>
  </si>
  <si>
    <t>26230131441144000107550010000036961923824817</t>
  </si>
  <si>
    <t>35.577.542/0001-06</t>
  </si>
  <si>
    <t>DA LARANJA</t>
  </si>
  <si>
    <t>Edypo C da Silva Hortifrutigranjeiros</t>
  </si>
  <si>
    <t>00027 COMERCIAL HORTIFRIOS LRDA</t>
  </si>
  <si>
    <t>26230135577542000106550010000300421100300427</t>
  </si>
  <si>
    <t>26230135577542000106550010000303461100303464</t>
  </si>
  <si>
    <t>26230141185455001773550010000136821016286822</t>
  </si>
  <si>
    <t>26230142102316000134550010000005521000066683</t>
  </si>
  <si>
    <t>26230142102316000134550010000005531000066699</t>
  </si>
  <si>
    <t>26230142102316000134550010000005541000067021</t>
  </si>
  <si>
    <t>26230142102316000134550010000005551000067037</t>
  </si>
  <si>
    <t>26230142102316000134550010000005561000067042</t>
  </si>
  <si>
    <t>26230142102316000134550010000005571000067058</t>
  </si>
  <si>
    <t>26230142102316000134550010000005581000067063</t>
  </si>
  <si>
    <t>26230142102316000134550010000005591000067079</t>
  </si>
  <si>
    <t>26230142102316000134550010000005601000067088</t>
  </si>
  <si>
    <t>26230142102316000134550010000005611000067093</t>
  </si>
  <si>
    <t>26230142102316000134550010000005621000067104</t>
  </si>
  <si>
    <t>26230142102316000134550010000005631000067110</t>
  </si>
  <si>
    <t>26230142102316000134550010000005641000067125</t>
  </si>
  <si>
    <t>26230142102316000134550010000005651000067130</t>
  </si>
  <si>
    <t>26230142102316000134550010000005661000067146</t>
  </si>
  <si>
    <t>26230142102316000134550010000005671000067151</t>
  </si>
  <si>
    <t>26230142102316000134550010000005681000067167</t>
  </si>
  <si>
    <t>26230142102316000134550010000005691000067172</t>
  </si>
  <si>
    <t>26230142102316000134550010000005701000067190</t>
  </si>
  <si>
    <t>26230142102316000134550010000005711000067200</t>
  </si>
  <si>
    <t>26230142102316000134550010000005721000067216</t>
  </si>
  <si>
    <t>26230142102316000134550010000005731000067221</t>
  </si>
  <si>
    <t>26230142102316000134550010000005741000067555</t>
  </si>
  <si>
    <t>26230142102316000134550010000005751000067560</t>
  </si>
  <si>
    <t>26230142102316000134550010000005761000067584</t>
  </si>
  <si>
    <t>26230142102316000134550010000005771000067590</t>
  </si>
  <si>
    <t>26230142673834002313550010000002291000660405</t>
  </si>
  <si>
    <t>26230142673834002313550010000002311000688952</t>
  </si>
  <si>
    <t>26230142673834002313550010000002321000694330</t>
  </si>
  <si>
    <t>43.283.811/0158-58</t>
  </si>
  <si>
    <t>Kalunga SA</t>
  </si>
  <si>
    <t>Comercial Horti - Frios Ltda</t>
  </si>
  <si>
    <t>26230143283811015858550010000781991604498527</t>
  </si>
  <si>
    <t>26230143283811015858550010000782001604499160</t>
  </si>
  <si>
    <t>43.283.811/0192-50</t>
  </si>
  <si>
    <t>26230143283811019250550010000235321604702913</t>
  </si>
  <si>
    <t>26230143919839000130550020000013961330299855</t>
  </si>
  <si>
    <t>26230143919839000130550020000013981368244750</t>
  </si>
  <si>
    <t>26230143919839000130550020000014091136982154</t>
  </si>
  <si>
    <t>26230143919839000130550020000014141313628218</t>
  </si>
  <si>
    <t>26230143919839000130550020000014181138581865</t>
  </si>
  <si>
    <t>26230143919839000130550020000014241105160400</t>
  </si>
  <si>
    <t>26230143919839000130550020000014271573578014</t>
  </si>
  <si>
    <t>26230143919839000130550020000014341647487828</t>
  </si>
  <si>
    <t>26230143919839000130550020000014471536675241</t>
  </si>
  <si>
    <t>26230143919839000130550020000014491087321191</t>
  </si>
  <si>
    <t>26230143919839000130550020000014591031629740</t>
  </si>
  <si>
    <t>26230143919839000130550020000014651016279897</t>
  </si>
  <si>
    <t>26230143919839000130550020000014731472112993</t>
  </si>
  <si>
    <t>26230143919839000130550020000014801693289874</t>
  </si>
  <si>
    <t>26230143919839000130550020000014891113882359</t>
  </si>
  <si>
    <t>26230143919839000130550020000014971913725551</t>
  </si>
  <si>
    <t>26230143919839000130550020000015001373298486</t>
  </si>
  <si>
    <t>26230143919839000130550020000015061292985762</t>
  </si>
  <si>
    <t>26230143919839000130550020000015111053389700</t>
  </si>
  <si>
    <t>26230143919839000130550020000015241651582766</t>
  </si>
  <si>
    <t>26230143919839000130550020000015281421038559</t>
  </si>
  <si>
    <t>26230143919839000130550020000015291572191612</t>
  </si>
  <si>
    <t>26230143919839000130550020000015351421099625</t>
  </si>
  <si>
    <t>26230143919839000130550020000015451038916175</t>
  </si>
  <si>
    <t>26230143919839000130550020000015581316945788</t>
  </si>
  <si>
    <t>26230143919839000130550020000015631134156206</t>
  </si>
  <si>
    <t>26230143919839000130550020000015741361129750</t>
  </si>
  <si>
    <t>JR HORTIFRUTI</t>
  </si>
  <si>
    <t>26230145455446000149550010000000501991515204</t>
  </si>
  <si>
    <t>26230145455446000149550010000000571584230945</t>
  </si>
  <si>
    <t>26230145455446000149550010000000591643992103</t>
  </si>
  <si>
    <t>26230145455446000149550010000000701336410562</t>
  </si>
  <si>
    <t>26230145455446000149550010000000761522512705</t>
  </si>
  <si>
    <t>26230145455446000149550010000000821290442522</t>
  </si>
  <si>
    <t>26230145543915041880550020000563351926008791</t>
  </si>
  <si>
    <t>26230145543915041880550020000568211724435097</t>
  </si>
  <si>
    <t>26230145543915041880550020000570771196400236</t>
  </si>
  <si>
    <t>26230145543915041880550020000574581839688675</t>
  </si>
  <si>
    <t>26230145543915041880550020000576821972498675</t>
  </si>
  <si>
    <t>26230145854636000139550010000005091580881755</t>
  </si>
  <si>
    <t>26230145854636000139550010000005101581378420</t>
  </si>
  <si>
    <t>26230145854636000139550010000005291583385395</t>
  </si>
  <si>
    <t>26230145854636000139550010000005341584424254</t>
  </si>
  <si>
    <t>26230145854636000139550010000005391584852880</t>
  </si>
  <si>
    <t>26230145854636000139550010000005481585925350</t>
  </si>
  <si>
    <t>26230145854636000139550010000005581588538973</t>
  </si>
  <si>
    <t>26230145854636000139550010000005681590197807</t>
  </si>
  <si>
    <t>26230145854636000139550010000005791592086151</t>
  </si>
  <si>
    <t>26230145854636000139550010000005811000000173</t>
  </si>
  <si>
    <t>26230145854636000139550010000005961000000362</t>
  </si>
  <si>
    <t>26230145854636000139550010000005991000000399</t>
  </si>
  <si>
    <t>26230145854636000139550010000006051000000460</t>
  </si>
  <si>
    <t>26230146316028000133550010000003191024384520</t>
  </si>
  <si>
    <t>26230147508411018012551020000576311129453220</t>
  </si>
  <si>
    <t>26230147508411018012551020000576321129416640</t>
  </si>
  <si>
    <t>26230147508411018012551020000576451129441510</t>
  </si>
  <si>
    <t>26230147508411018012551020000576461129414111</t>
  </si>
  <si>
    <t>26230147508411018012551020000576571129415758</t>
  </si>
  <si>
    <t>26230147508411018012551020000577331129442198</t>
  </si>
  <si>
    <t>26230147508411018012551020000577341129413349</t>
  </si>
  <si>
    <t>26230147508411018012551020000577351129487641</t>
  </si>
  <si>
    <t>26230147508411018012551020000577901129487678</t>
  </si>
  <si>
    <t>26230147508411018012551020000578001129491193</t>
  </si>
  <si>
    <t>26230147508411018012551020000578421129426529</t>
  </si>
  <si>
    <t>26230147508411018012551020000578431129430787</t>
  </si>
  <si>
    <t>26230147508411018012551020000579331129427653</t>
  </si>
  <si>
    <t>26230147508411018012551020000579341129498248</t>
  </si>
  <si>
    <t>26230147508411018012551020000579351129438374</t>
  </si>
  <si>
    <t>26230147508411018012551020000579771129439834</t>
  </si>
  <si>
    <t>26230147508411038048551100000959571181883709</t>
  </si>
  <si>
    <t>26230147508411038048551100000964741182165786</t>
  </si>
  <si>
    <t>26230147508411038048551100000973221182674560</t>
  </si>
  <si>
    <t>26230147508411038048551100000979971182940697</t>
  </si>
  <si>
    <t>26230147508411038048551100000981421183060413</t>
  </si>
  <si>
    <t>26230147508411038048551100000985851183200001</t>
  </si>
  <si>
    <t>26230147508411038048551100000991021183498671</t>
  </si>
  <si>
    <t>26230147508411038048551100000994821183637598</t>
  </si>
  <si>
    <t>26230147508411038048551100000994831183637609</t>
  </si>
  <si>
    <t>26230147508411038048551100000994841183638360</t>
  </si>
  <si>
    <t>26230147508411038048551100001004031184040582</t>
  </si>
  <si>
    <t>26230147508411038048551100001007091184191017</t>
  </si>
  <si>
    <t>26230147508411038048551100001010241184494543</t>
  </si>
  <si>
    <t>26230147508411038048551100001010251184494559</t>
  </si>
  <si>
    <t>26230147508411038048551100001011711184613203</t>
  </si>
  <si>
    <t>26230147508411038048551100001014061184748115</t>
  </si>
  <si>
    <t>26230147508411038048551100001016021184895632</t>
  </si>
  <si>
    <t>26230147508411038048551100001017981185037547</t>
  </si>
  <si>
    <t>26230147508411038048551100001017991185037552</t>
  </si>
  <si>
    <t>26230147508411117851551020000540181237794473</t>
  </si>
  <si>
    <t>26230147508411117851551020000540301237758080</t>
  </si>
  <si>
    <t>26230147508411117851551020000540381237754024</t>
  </si>
  <si>
    <t>26230147508411117851551020000540411237786410</t>
  </si>
  <si>
    <t>26230147508411117851551020000540551237763830</t>
  </si>
  <si>
    <t>26230147508411117851551020000540681237737064</t>
  </si>
  <si>
    <t>26230147508411117851551020000540751237730307</t>
  </si>
  <si>
    <t>26230147508411117851551020000540811237789970</t>
  </si>
  <si>
    <t>26230147508411117851551020000540851237796770</t>
  </si>
  <si>
    <t>26230147508411117851551020000540871237748363</t>
  </si>
  <si>
    <t>26230147508411117851551020000540981237721930</t>
  </si>
  <si>
    <t>26230147508411117851551020000541131237744289</t>
  </si>
  <si>
    <t>26230147508411117851551020000541141237763698</t>
  </si>
  <si>
    <t>26230147508411117851551020000541371237757730</t>
  </si>
  <si>
    <t>26230147508411117851551020000541441237728190</t>
  </si>
  <si>
    <t>26230147508411117851551020000541541237737790</t>
  </si>
  <si>
    <t>26230147508411117851551020000541621237795139</t>
  </si>
  <si>
    <t>26230147508411117851551020000541681237784750</t>
  </si>
  <si>
    <t>26230147508411117851551020000541741237765290</t>
  </si>
  <si>
    <t>26230147508411117851551020000541791237793311</t>
  </si>
  <si>
    <t>26230147508411117851551020000542461237758588</t>
  </si>
  <si>
    <t>26230147508411117851551020000542491237766876</t>
  </si>
  <si>
    <t>26230147508411117851551020000542561237792863</t>
  </si>
  <si>
    <t>26230147508411117851551020000542581237744766</t>
  </si>
  <si>
    <t>26230147508411117851551020000542601237772954</t>
  </si>
  <si>
    <t>26230147508411117851551020000542731237703020</t>
  </si>
  <si>
    <t>26230147508411117851551020000542801237735490</t>
  </si>
  <si>
    <t>26230147508411123150551020000378851235782320</t>
  </si>
  <si>
    <t>26230147508411123150551020000379171235797306</t>
  </si>
  <si>
    <t>26230147508411123150551020000379471235786664</t>
  </si>
  <si>
    <t>26230147508411123150551020000380111235757233</t>
  </si>
  <si>
    <t>26230147508411160439551020000363451100377890</t>
  </si>
  <si>
    <t>26230147508411160439551020000363461100397872</t>
  </si>
  <si>
    <t>26230147508411160439551020000363471100387424</t>
  </si>
  <si>
    <t>26230147508411160439551020000363981100371837</t>
  </si>
  <si>
    <t>26230147508411160439551020000363991100397981</t>
  </si>
  <si>
    <t>26230147508411160439551020000364001100333803</t>
  </si>
  <si>
    <t>26230147508411160439551020000364011100395296</t>
  </si>
  <si>
    <t>26230147508411160439551020000364021100323225</t>
  </si>
  <si>
    <t>26230147508411160439551020000364041100360354</t>
  </si>
  <si>
    <t>26230147508411160439551020000364351100304272</t>
  </si>
  <si>
    <t>26230147508411160439551020000364361100342902</t>
  </si>
  <si>
    <t>26230147508411160439551020000364371100353880</t>
  </si>
  <si>
    <t>26230147508411160439551020000364381100359710</t>
  </si>
  <si>
    <t>26230147508411160439551020000364391100388246</t>
  </si>
  <si>
    <t>26230147508411160439551020000364401100392686</t>
  </si>
  <si>
    <t>26230147508411160439551020000364501100393549</t>
  </si>
  <si>
    <t>26230147508411160439551020000364661100360381</t>
  </si>
  <si>
    <t>26230147508411160439551020000364671100386744</t>
  </si>
  <si>
    <t>26230147508411160439551020000364681100315739</t>
  </si>
  <si>
    <t>26230147508411160439551020000364691100300712</t>
  </si>
  <si>
    <t>26230147508411160439551020000365471100310546</t>
  </si>
  <si>
    <t>26230147508411160439551020000365481100321391</t>
  </si>
  <si>
    <t>26230147508411160439551020000365651100344945</t>
  </si>
  <si>
    <t>26230147508411160439551020000365661100324925</t>
  </si>
  <si>
    <t>SSB SITIO SAO BENTO</t>
  </si>
  <si>
    <t>17 - COMERCIAL HORTI-FRIOS</t>
  </si>
  <si>
    <t>26230148900495000131550010000000211262731291</t>
  </si>
  <si>
    <t>26230148900495000131550010000000271092028238</t>
  </si>
  <si>
    <t>26230148900495000131550010000000401597976003</t>
  </si>
  <si>
    <t>26230148900495000131550010000000621950397842</t>
  </si>
  <si>
    <t>26230148900495000131550010000000671543659615</t>
  </si>
  <si>
    <t>26230148900495000131550010000000831298213919</t>
  </si>
  <si>
    <t>26230148900495000131550010000000971121348082</t>
  </si>
  <si>
    <t>26230148900495000131550010000000981846300270</t>
  </si>
  <si>
    <t>26230148900495000131550010000001051482577536</t>
  </si>
  <si>
    <t>26230148900495000131550010000001301185804522</t>
  </si>
  <si>
    <t>26230148900495000131550010000001321966047222</t>
  </si>
  <si>
    <t>26230148900495000131550010000001391819580377</t>
  </si>
  <si>
    <t>69.922.953/0001-03</t>
  </si>
  <si>
    <t>CASA DO MERCEDES</t>
  </si>
  <si>
    <t>26230169922953000103550010000498401866966820</t>
  </si>
  <si>
    <t>92.660.406/0006-23</t>
  </si>
  <si>
    <t>26230192660406000623550050007190201000321174</t>
  </si>
  <si>
    <t>FRUTINOR</t>
  </si>
  <si>
    <t>29230103183099000100550010000077041125183185</t>
  </si>
  <si>
    <t>29230103183099000100550010000077151237019305</t>
  </si>
  <si>
    <t>29230103183099000100550010000077231961890031</t>
  </si>
  <si>
    <t>29230103183099000100550010000077271000639846</t>
  </si>
  <si>
    <t>32230112701734000187550550001530241479161490</t>
  </si>
  <si>
    <t>32230112701734000187550550001531301943699718</t>
  </si>
  <si>
    <t>32230112701734000187550550001532131096903865</t>
  </si>
  <si>
    <t>32230112701734000187550550001532141786454863</t>
  </si>
  <si>
    <t>32230112701734000187550550001532691334550005</t>
  </si>
  <si>
    <t>32230112701734000187550550001533871757066453</t>
  </si>
  <si>
    <t>32230112701734000187550550001534141157222275</t>
  </si>
  <si>
    <t>32230112701734000187550550001534151017097696</t>
  </si>
  <si>
    <t>32230112701734000187550550001535201596162636</t>
  </si>
  <si>
    <t>32230112701734000187550550001536341662492121</t>
  </si>
  <si>
    <t>32230112701734000187550550001536721689391467</t>
  </si>
  <si>
    <t>32230112701734000187550550001536731108728499</t>
  </si>
  <si>
    <t>32230112701734000187550550001537541485125901</t>
  </si>
  <si>
    <t>32230112701734000187550550001537611153050867</t>
  </si>
  <si>
    <t>32230112701734000187550550001538541111147693</t>
  </si>
  <si>
    <t>32230112701734000187550550001538941175023672</t>
  </si>
  <si>
    <t>32230112701734000187550550001538951780882791</t>
  </si>
  <si>
    <t>32230112701734000187550550001538961988560697</t>
  </si>
  <si>
    <t>32230112701734000187550550001539371089183208</t>
  </si>
  <si>
    <t>32230112701734000187550550001540111408303077</t>
  </si>
  <si>
    <t>32230112701734000187550550001540121328295474</t>
  </si>
  <si>
    <t>32230112701734000187550550001540261527936890</t>
  </si>
  <si>
    <t>Peso das Despesas Administrativas e Gerais s/ Receita Liquida</t>
  </si>
  <si>
    <t>LUCRO OU PREJUÍZO DO EXERCÍCIO</t>
  </si>
  <si>
    <t>PESO DO LUCRO SOBRE A RECEITA LIQUIDA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</si>
</sst>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37ACF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6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44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4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" fillId="0" borderId="1" xfId="0" applyNumberFormat="1" applyFont="1" applyBorder="1"/>
    <xf numFmtId="0" fontId="0" fillId="0" borderId="0" xfId="0" applyAlignment="1">
      <alignment vertic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/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/>
    </xf>
    <xf numFmtId="44" fontId="5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2" fontId="2" fillId="3" borderId="1" xfId="0" applyNumberFormat="1" applyFont="1" applyFill="1" applyBorder="1" applyAlignment="1">
      <alignment horizontal="center" vertical="center"/>
    </xf>
    <xf numFmtId="44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44" fontId="8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44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14" fontId="1" fillId="2" borderId="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44" fontId="1" fillId="2" borderId="1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0" xfId="0" applyNumberFormat="1"/>
    <xf numFmtId="14" fontId="9" fillId="0" borderId="0" xfId="0" applyNumberFormat="1" applyFont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0" applyNumberFormat="1" applyFont="1"/>
    <xf numFmtId="44" fontId="2" fillId="3" borderId="1" xfId="0" applyNumberFormat="1" applyFont="1" applyFill="1" applyBorder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3" fillId="0" borderId="0" xfId="0" applyNumberFormat="1" applyFont="1"/>
    <xf numFmtId="0" fontId="11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horizontal="left"/>
    </xf>
    <xf numFmtId="0" fontId="11" fillId="0" borderId="0" xfId="0" applyFont="1" applyAlignment="1">
      <alignment horizontal="center" vertical="center"/>
    </xf>
    <xf numFmtId="0" fontId="0" fillId="4" borderId="1" xfId="0" applyFill="1" applyBorder="1"/>
    <xf numFmtId="0" fontId="12" fillId="2" borderId="2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4" fontId="15" fillId="0" borderId="1" xfId="0" applyNumberFormat="1" applyFont="1" applyBorder="1"/>
    <xf numFmtId="44" fontId="0" fillId="3" borderId="0" xfId="0" applyNumberFormat="1" applyFill="1"/>
    <xf numFmtId="44" fontId="2" fillId="3" borderId="0" xfId="0" applyNumberFormat="1" applyFont="1" applyFill="1"/>
    <xf numFmtId="44" fontId="2" fillId="4" borderId="0" xfId="0" applyNumberFormat="1" applyFont="1" applyFill="1"/>
    <xf numFmtId="0" fontId="0" fillId="4" borderId="0" xfId="0" applyFill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7793D7A6-13BB-4BB2-92E6-E844697B1E36}"/>
  </cellStyles>
  <dxfs count="5">
    <dxf>
      <alignment horizont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0056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56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Balancete!A1"/><Relationship Id="rId3" Type="http://schemas.openxmlformats.org/officeDocument/2006/relationships/image" Target="../media/image2.png"/><Relationship Id="rId7" Type="http://schemas.openxmlformats.org/officeDocument/2006/relationships/hyperlink" Target="#Patrimonial!A1"/><Relationship Id="rId2" Type="http://schemas.openxmlformats.org/officeDocument/2006/relationships/image" Target="../media/image1.png"/><Relationship Id="rId1" Type="http://schemas.openxmlformats.org/officeDocument/2006/relationships/hyperlink" Target="#Movimento!A1"/><Relationship Id="rId6" Type="http://schemas.openxmlformats.org/officeDocument/2006/relationships/hyperlink" Target="#'DRE, DFC E Indices'!A1"/><Relationship Id="rId5" Type="http://schemas.openxmlformats.org/officeDocument/2006/relationships/hyperlink" Target="#Resultado!A1"/><Relationship Id="rId4" Type="http://schemas.openxmlformats.org/officeDocument/2006/relationships/hyperlink" Target="#SIE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583406</xdr:colOff>
      <xdr:row>0</xdr:row>
      <xdr:rowOff>117448</xdr:rowOff>
    </xdr:from>
    <xdr:to>
      <xdr:col>6</xdr:col>
      <xdr:colOff>107156</xdr:colOff>
      <xdr:row>24</xdr:row>
      <xdr:rowOff>47625</xdr:rowOff>
    </xdr:to>
    <xdr:sp macro="" textlink="">
      <xdr:nvSpPr>
        <xdr:cNvPr id="8" name="Fluxograma: Conector fora de Página 7">
          <a:extLst>
            <a:ext uri="{FF2B5EF4-FFF2-40B4-BE49-F238E27FC236}">
              <a16:creationId xmlns:a16="http://schemas.microsoft.com/office/drawing/2014/main" id="{87B91D09-6D2E-387E-E224-DC064E7530A5}"/>
            </a:ext>
          </a:extLst>
        </xdr:cNvPr>
        <xdr:cNvSpPr/>
      </xdr:nvSpPr>
      <xdr:spPr>
        <a:xfrm>
          <a:off x="583406" y="117448"/>
          <a:ext cx="3167063" cy="4502177"/>
        </a:xfrm>
        <a:prstGeom prst="flowChartOffpageConnector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319676</xdr:colOff>
      <xdr:row>1</xdr:row>
      <xdr:rowOff>41627</xdr:rowOff>
    </xdr:from>
    <xdr:to>
      <xdr:col>6</xdr:col>
      <xdr:colOff>416718</xdr:colOff>
      <xdr:row>3</xdr:row>
      <xdr:rowOff>92959</xdr:rowOff>
    </xdr:to>
    <xdr:sp macro="" textlink="">
      <xdr:nvSpPr>
        <xdr:cNvPr id="2" name="Retângulo: Cantos Diagonai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C3603F-9FE1-AFA7-ADBD-CBF0E2A1F5A7}"/>
            </a:ext>
          </a:extLst>
        </xdr:cNvPr>
        <xdr:cNvSpPr/>
      </xdr:nvSpPr>
      <xdr:spPr>
        <a:xfrm>
          <a:off x="319676" y="232127"/>
          <a:ext cx="3740355" cy="432332"/>
        </a:xfrm>
        <a:prstGeom prst="round2DiagRect">
          <a:avLst/>
        </a:prstGeom>
        <a:solidFill>
          <a:srgbClr val="0056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" panose="020B0604020104020204" pitchFamily="34" charset="0"/>
            </a:rPr>
            <a:t>MOVIMENTO</a:t>
          </a:r>
        </a:p>
      </xdr:txBody>
    </xdr:sp>
    <xdr:clientData/>
  </xdr:twoCellAnchor>
  <xdr:twoCellAnchor editAs="oneCell">
    <xdr:from>
      <xdr:col>7</xdr:col>
      <xdr:colOff>461758</xdr:colOff>
      <xdr:row>1</xdr:row>
      <xdr:rowOff>81552</xdr:rowOff>
    </xdr:from>
    <xdr:to>
      <xdr:col>20</xdr:col>
      <xdr:colOff>552853</xdr:colOff>
      <xdr:row>10</xdr:row>
      <xdr:rowOff>153165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4B346D-4B29-424A-BF3B-C3E5A1DF7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2289" y="272052"/>
          <a:ext cx="7984939" cy="178611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337079</xdr:colOff>
      <xdr:row>12</xdr:row>
      <xdr:rowOff>121208</xdr:rowOff>
    </xdr:from>
    <xdr:to>
      <xdr:col>18</xdr:col>
      <xdr:colOff>356146</xdr:colOff>
      <xdr:row>23</xdr:row>
      <xdr:rowOff>177417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77965FF-3040-6E76-8479-BC46130E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2048" y="2407208"/>
          <a:ext cx="5484036" cy="21517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0</xdr:col>
      <xdr:colOff>302389</xdr:colOff>
      <xdr:row>16</xdr:row>
      <xdr:rowOff>107507</xdr:rowOff>
    </xdr:from>
    <xdr:to>
      <xdr:col>6</xdr:col>
      <xdr:colOff>399431</xdr:colOff>
      <xdr:row>18</xdr:row>
      <xdr:rowOff>156886</xdr:rowOff>
    </xdr:to>
    <xdr:sp macro="" textlink="">
      <xdr:nvSpPr>
        <xdr:cNvPr id="12" name="Retângulo: Cantos Diagonai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7EF918-523C-4A5B-B736-D8B0D471C42D}"/>
            </a:ext>
          </a:extLst>
        </xdr:cNvPr>
        <xdr:cNvSpPr/>
      </xdr:nvSpPr>
      <xdr:spPr>
        <a:xfrm>
          <a:off x="302389" y="3155507"/>
          <a:ext cx="3740355" cy="430379"/>
        </a:xfrm>
        <a:prstGeom prst="round2DiagRect">
          <a:avLst/>
        </a:prstGeom>
        <a:solidFill>
          <a:srgbClr val="0056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Abadi" panose="020B0604020104020204" pitchFamily="34" charset="0"/>
              <a:ea typeface="+mn-ea"/>
              <a:cs typeface="+mn-cs"/>
            </a:rPr>
            <a:t>SIEG</a:t>
          </a:r>
        </a:p>
      </xdr:txBody>
    </xdr:sp>
    <xdr:clientData/>
  </xdr:twoCellAnchor>
  <xdr:twoCellAnchor>
    <xdr:from>
      <xdr:col>0</xdr:col>
      <xdr:colOff>302859</xdr:colOff>
      <xdr:row>10</xdr:row>
      <xdr:rowOff>81994</xdr:rowOff>
    </xdr:from>
    <xdr:to>
      <xdr:col>6</xdr:col>
      <xdr:colOff>399901</xdr:colOff>
      <xdr:row>12</xdr:row>
      <xdr:rowOff>131373</xdr:rowOff>
    </xdr:to>
    <xdr:sp macro="" textlink="">
      <xdr:nvSpPr>
        <xdr:cNvPr id="16" name="Retângulo: Cantos Diagonai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E9BE6E-30C2-8A30-0DC4-45869D00B1F8}"/>
            </a:ext>
          </a:extLst>
        </xdr:cNvPr>
        <xdr:cNvSpPr/>
      </xdr:nvSpPr>
      <xdr:spPr>
        <a:xfrm>
          <a:off x="302859" y="1986994"/>
          <a:ext cx="3740355" cy="430379"/>
        </a:xfrm>
        <a:prstGeom prst="round2DiagRect">
          <a:avLst/>
        </a:prstGeom>
        <a:solidFill>
          <a:srgbClr val="0056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Abadi" panose="020B0604020104020204" pitchFamily="34" charset="0"/>
              <a:ea typeface="+mn-ea"/>
              <a:cs typeface="+mn-cs"/>
            </a:rPr>
            <a:t>RESULTADO</a:t>
          </a:r>
        </a:p>
      </xdr:txBody>
    </xdr:sp>
    <xdr:clientData/>
  </xdr:twoCellAnchor>
  <xdr:twoCellAnchor>
    <xdr:from>
      <xdr:col>0</xdr:col>
      <xdr:colOff>293628</xdr:colOff>
      <xdr:row>13</xdr:row>
      <xdr:rowOff>107894</xdr:rowOff>
    </xdr:from>
    <xdr:to>
      <xdr:col>6</xdr:col>
      <xdr:colOff>390670</xdr:colOff>
      <xdr:row>15</xdr:row>
      <xdr:rowOff>157273</xdr:rowOff>
    </xdr:to>
    <xdr:sp macro="" textlink="">
      <xdr:nvSpPr>
        <xdr:cNvPr id="18" name="Retângulo: Cantos Diagonais Arredondados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5F740D-83A2-F741-6F6D-CB23D8E21A54}"/>
            </a:ext>
          </a:extLst>
        </xdr:cNvPr>
        <xdr:cNvSpPr/>
      </xdr:nvSpPr>
      <xdr:spPr>
        <a:xfrm>
          <a:off x="293628" y="2584394"/>
          <a:ext cx="3740355" cy="430379"/>
        </a:xfrm>
        <a:prstGeom prst="round2DiagRect">
          <a:avLst/>
        </a:prstGeom>
        <a:solidFill>
          <a:srgbClr val="0056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Abadi" panose="020B0604020104020204" pitchFamily="34" charset="0"/>
              <a:ea typeface="+mn-ea"/>
              <a:cs typeface="+mn-cs"/>
            </a:rPr>
            <a:t>DRE E INDICES</a:t>
          </a:r>
        </a:p>
      </xdr:txBody>
    </xdr:sp>
    <xdr:clientData/>
  </xdr:twoCellAnchor>
  <xdr:twoCellAnchor>
    <xdr:from>
      <xdr:col>0</xdr:col>
      <xdr:colOff>319676</xdr:colOff>
      <xdr:row>7</xdr:row>
      <xdr:rowOff>69683</xdr:rowOff>
    </xdr:from>
    <xdr:to>
      <xdr:col>6</xdr:col>
      <xdr:colOff>416718</xdr:colOff>
      <xdr:row>9</xdr:row>
      <xdr:rowOff>119062</xdr:rowOff>
    </xdr:to>
    <xdr:sp macro="" textlink="">
      <xdr:nvSpPr>
        <xdr:cNvPr id="19" name="Retângulo: Cantos Diagonais Arredondados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91A64D-3E9A-3DC3-0341-AF59B720F3C2}"/>
            </a:ext>
          </a:extLst>
        </xdr:cNvPr>
        <xdr:cNvSpPr/>
      </xdr:nvSpPr>
      <xdr:spPr>
        <a:xfrm>
          <a:off x="319676" y="1403183"/>
          <a:ext cx="3740355" cy="430379"/>
        </a:xfrm>
        <a:prstGeom prst="round2DiagRect">
          <a:avLst/>
        </a:prstGeom>
        <a:solidFill>
          <a:srgbClr val="0056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Abadi" panose="020B0604020104020204" pitchFamily="34" charset="0"/>
              <a:ea typeface="+mn-ea"/>
              <a:cs typeface="+mn-cs"/>
            </a:rPr>
            <a:t>PATRIMONIAL</a:t>
          </a:r>
        </a:p>
      </xdr:txBody>
    </xdr:sp>
    <xdr:clientData/>
  </xdr:twoCellAnchor>
  <xdr:twoCellAnchor>
    <xdr:from>
      <xdr:col>0</xdr:col>
      <xdr:colOff>326414</xdr:colOff>
      <xdr:row>4</xdr:row>
      <xdr:rowOff>50812</xdr:rowOff>
    </xdr:from>
    <xdr:to>
      <xdr:col>6</xdr:col>
      <xdr:colOff>423456</xdr:colOff>
      <xdr:row>6</xdr:row>
      <xdr:rowOff>100192</xdr:rowOff>
    </xdr:to>
    <xdr:sp macro="" textlink="">
      <xdr:nvSpPr>
        <xdr:cNvPr id="20" name="Retângulo: Cantos Diagonais Arredondados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003FEB7-BDCC-74E7-DB73-778F8FDA27ED}"/>
            </a:ext>
          </a:extLst>
        </xdr:cNvPr>
        <xdr:cNvSpPr/>
      </xdr:nvSpPr>
      <xdr:spPr>
        <a:xfrm>
          <a:off x="326414" y="812812"/>
          <a:ext cx="3740355" cy="430380"/>
        </a:xfrm>
        <a:prstGeom prst="round2DiagRect">
          <a:avLst/>
        </a:prstGeom>
        <a:solidFill>
          <a:srgbClr val="0056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>
              <a:solidFill>
                <a:schemeClr val="lt1"/>
              </a:solidFill>
              <a:latin typeface="Abadi" panose="020B0604020104020204" pitchFamily="34" charset="0"/>
              <a:ea typeface="+mn-ea"/>
              <a:cs typeface="+mn-cs"/>
            </a:rPr>
            <a:t>BALANCETE</a:t>
          </a:r>
        </a:p>
        <a:p>
          <a:pPr marL="0" indent="0" algn="ctr"/>
          <a:endParaRPr lang="pt-BR" sz="1600">
            <a:solidFill>
              <a:schemeClr val="lt1"/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D6B34-4513-43CB-AABB-77D5FD472897}" name="Table1" displayName="Table1" ref="A2:Q811" headerRowDxfId="4" headerRowBorderDxfId="3">
  <autoFilter ref="A2:Q811" xr:uid="{02FD6B34-4513-43CB-AABB-77D5FD472897}"/>
  <tableColumns count="17">
    <tableColumn id="1" xr3:uid="{B072192B-58C2-4214-8F20-43EED71A4E87}" name="Num NFe" dataDxfId="2"/>
    <tableColumn id="2" xr3:uid="{A51F1202-AFF0-43BF-8B19-17C448E5D427}" name="Valor" dataDxfId="1"/>
    <tableColumn id="3" xr3:uid="{18546C1A-AA80-4BCA-9891-B2A7F1655DC4}" name="Data Emissão" dataDxfId="0"/>
    <tableColumn id="4" xr3:uid="{0A69C12D-4DFF-4CDF-9D60-1819DB3750A8}" name="CNPJ Emit"/>
    <tableColumn id="5" xr3:uid="{8954CAEA-FA30-4D1E-824B-3FFABD5B1799}" name="Nome Fant. Emit"/>
    <tableColumn id="6" xr3:uid="{DC1B131B-41C9-4848-A126-F856884611B9}" name="Razão Soc. Emit"/>
    <tableColumn id="7" xr3:uid="{5323D70C-3F44-4CEE-B681-CC23DD2A1017}" name="CNPJ Dest"/>
    <tableColumn id="8" xr3:uid="{180ADC2C-158B-41AC-BF50-44F53591A357}" name="Nome Fant. Dest"/>
    <tableColumn id="9" xr3:uid="{8B20807F-9237-48FA-845B-E21AA1813A75}" name="Razão Soc. Dest"/>
    <tableColumn id="10" xr3:uid="{F24980A5-2F0F-402E-AE20-B881379BC94D}" name="Data de Envio ao Cofre"/>
    <tableColumn id="11" xr3:uid="{09B185F3-FBB3-4538-A425-3072990DB0FE}" name="Chave da NFe"/>
    <tableColumn id="12" xr3:uid="{3EA179BE-1076-4AA8-B276-388E24722B2C}" name="Tags"/>
    <tableColumn id="13" xr3:uid="{5754A26C-5B20-46C3-AD41-7689075278A6}" name="Código do Evento"/>
    <tableColumn id="14" xr3:uid="{DF675842-532D-4BAC-96E0-9A33623A34F8}" name="Tipo do Evento"/>
    <tableColumn id="15" xr3:uid="{7EE1C14C-6EF5-4B02-B977-798FA0A9293E}" name="Status"/>
    <tableColumn id="16" xr3:uid="{D9FB016D-E8BD-4D5D-BE97-401F9A5CC182}" name="Danfe"/>
    <tableColumn id="17" xr3:uid="{0FE9EAAE-A4E6-4D8B-B4FD-0DD658786ECF}" name="Xm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6877-A05C-4832-808D-61470A69EB07}">
  <dimension ref="A1"/>
  <sheetViews>
    <sheetView showGridLines="0" showRowColHeaders="0" tabSelected="1" zoomScale="80" zoomScaleNormal="80" workbookViewId="0">
      <selection activeCell="T20" sqref="T20"/>
    </sheetView>
  </sheetViews>
  <sheetFormatPr defaultRowHeight="14.75" x14ac:dyDescent="0.7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9FE5-4457-40EE-9AC1-4EDAC17DE11D}">
  <sheetPr filterMode="1"/>
  <dimension ref="A1:G8632"/>
  <sheetViews>
    <sheetView showGridLines="0" zoomScaleNormal="100" workbookViewId="0">
      <selection activeCell="C5664" sqref="C5664"/>
    </sheetView>
  </sheetViews>
  <sheetFormatPr defaultColWidth="9.1328125" defaultRowHeight="14.75" x14ac:dyDescent="0.75"/>
  <cols>
    <col min="1" max="1" width="10.7265625" style="39" bestFit="1" customWidth="1"/>
    <col min="2" max="2" width="11.7265625" style="40" bestFit="1" customWidth="1"/>
    <col min="3" max="3" width="62.40625" style="41" customWidth="1"/>
    <col min="4" max="4" width="29.86328125" style="42" customWidth="1"/>
    <col min="5" max="5" width="14.86328125" style="40" bestFit="1" customWidth="1"/>
    <col min="6" max="7" width="14.26953125" style="43" bestFit="1" customWidth="1"/>
    <col min="8" max="8" width="13.40625" style="41" bestFit="1" customWidth="1"/>
    <col min="9" max="16384" width="9.1328125" style="41"/>
  </cols>
  <sheetData>
    <row r="1" spans="1:7" s="20" customFormat="1" x14ac:dyDescent="0.75">
      <c r="A1" s="34" t="s">
        <v>945</v>
      </c>
      <c r="B1" s="35" t="s">
        <v>0</v>
      </c>
      <c r="C1" s="35" t="s">
        <v>946</v>
      </c>
      <c r="D1" s="35" t="s">
        <v>948</v>
      </c>
      <c r="E1" s="35" t="s">
        <v>947</v>
      </c>
      <c r="F1" s="36" t="s">
        <v>4</v>
      </c>
      <c r="G1" s="36" t="s">
        <v>5</v>
      </c>
    </row>
    <row r="2" spans="1:7" hidden="1" x14ac:dyDescent="0.75">
      <c r="A2" s="51">
        <v>44928</v>
      </c>
      <c r="B2" s="52">
        <v>5</v>
      </c>
      <c r="C2" s="8" t="s">
        <v>1368</v>
      </c>
      <c r="D2" s="8" t="s">
        <v>16</v>
      </c>
      <c r="E2" s="52">
        <v>788</v>
      </c>
      <c r="F2" s="13"/>
      <c r="G2" s="13">
        <v>95.13</v>
      </c>
    </row>
    <row r="3" spans="1:7" hidden="1" x14ac:dyDescent="0.75">
      <c r="A3" s="51">
        <v>44928</v>
      </c>
      <c r="B3" s="52">
        <v>5</v>
      </c>
      <c r="C3" s="8" t="s">
        <v>1369</v>
      </c>
      <c r="D3" s="8" t="s">
        <v>16</v>
      </c>
      <c r="E3" s="52">
        <v>788</v>
      </c>
      <c r="F3" s="13"/>
      <c r="G3" s="13">
        <v>56</v>
      </c>
    </row>
    <row r="4" spans="1:7" hidden="1" x14ac:dyDescent="0.75">
      <c r="A4" s="51">
        <v>44928</v>
      </c>
      <c r="B4" s="52">
        <v>5</v>
      </c>
      <c r="C4" s="8" t="s">
        <v>1370</v>
      </c>
      <c r="D4" s="8" t="s">
        <v>16</v>
      </c>
      <c r="E4" s="52">
        <v>788</v>
      </c>
      <c r="F4" s="13"/>
      <c r="G4" s="13">
        <v>200</v>
      </c>
    </row>
    <row r="5" spans="1:7" hidden="1" x14ac:dyDescent="0.75">
      <c r="A5" s="51">
        <v>44928</v>
      </c>
      <c r="B5" s="52">
        <v>5</v>
      </c>
      <c r="C5" s="8" t="s">
        <v>1371</v>
      </c>
      <c r="D5" s="8" t="s">
        <v>16</v>
      </c>
      <c r="E5" s="52">
        <v>677</v>
      </c>
      <c r="F5" s="13"/>
      <c r="G5" s="13">
        <v>10</v>
      </c>
    </row>
    <row r="6" spans="1:7" hidden="1" x14ac:dyDescent="0.75">
      <c r="A6" s="51">
        <v>44928</v>
      </c>
      <c r="B6" s="52">
        <v>5</v>
      </c>
      <c r="C6" s="8" t="s">
        <v>1372</v>
      </c>
      <c r="D6" s="8" t="s">
        <v>16</v>
      </c>
      <c r="E6" s="52">
        <v>788</v>
      </c>
      <c r="F6" s="13"/>
      <c r="G6" s="13">
        <v>35</v>
      </c>
    </row>
    <row r="7" spans="1:7" hidden="1" x14ac:dyDescent="0.75">
      <c r="A7" s="51">
        <v>44928</v>
      </c>
      <c r="B7" s="52">
        <v>5</v>
      </c>
      <c r="C7" s="8" t="s">
        <v>1373</v>
      </c>
      <c r="D7" s="8" t="s">
        <v>16</v>
      </c>
      <c r="E7" s="52">
        <v>794</v>
      </c>
      <c r="F7" s="13"/>
      <c r="G7" s="13">
        <v>23</v>
      </c>
    </row>
    <row r="8" spans="1:7" hidden="1" x14ac:dyDescent="0.75">
      <c r="A8" s="51">
        <v>44929</v>
      </c>
      <c r="B8" s="52">
        <v>5</v>
      </c>
      <c r="C8" s="8" t="s">
        <v>1369</v>
      </c>
      <c r="D8" s="8" t="s">
        <v>16</v>
      </c>
      <c r="E8" s="52">
        <v>788</v>
      </c>
      <c r="F8" s="13"/>
      <c r="G8" s="13">
        <v>47.6</v>
      </c>
    </row>
    <row r="9" spans="1:7" hidden="1" x14ac:dyDescent="0.75">
      <c r="A9" s="51">
        <v>44929</v>
      </c>
      <c r="B9" s="52">
        <v>5</v>
      </c>
      <c r="C9" s="8" t="s">
        <v>1374</v>
      </c>
      <c r="D9" s="8" t="s">
        <v>16</v>
      </c>
      <c r="E9" s="52">
        <v>1283</v>
      </c>
      <c r="F9" s="13"/>
      <c r="G9" s="13">
        <v>66.650000000000006</v>
      </c>
    </row>
    <row r="10" spans="1:7" hidden="1" x14ac:dyDescent="0.75">
      <c r="A10" s="51">
        <v>44929</v>
      </c>
      <c r="B10" s="52">
        <v>5</v>
      </c>
      <c r="C10" s="8" t="s">
        <v>1375</v>
      </c>
      <c r="D10" s="8" t="s">
        <v>16</v>
      </c>
      <c r="E10" s="52">
        <v>788</v>
      </c>
      <c r="F10" s="13"/>
      <c r="G10" s="13">
        <v>250</v>
      </c>
    </row>
    <row r="11" spans="1:7" hidden="1" x14ac:dyDescent="0.75">
      <c r="A11" s="51">
        <v>44929</v>
      </c>
      <c r="B11" s="52">
        <v>5</v>
      </c>
      <c r="C11" s="8" t="s">
        <v>1376</v>
      </c>
      <c r="D11" s="8" t="s">
        <v>16</v>
      </c>
      <c r="E11" s="52">
        <v>788</v>
      </c>
      <c r="F11" s="13"/>
      <c r="G11" s="13">
        <v>200</v>
      </c>
    </row>
    <row r="12" spans="1:7" hidden="1" x14ac:dyDescent="0.75">
      <c r="A12" s="51">
        <v>44929</v>
      </c>
      <c r="B12" s="52">
        <v>5</v>
      </c>
      <c r="C12" s="8" t="s">
        <v>1370</v>
      </c>
      <c r="D12" s="8" t="s">
        <v>16</v>
      </c>
      <c r="E12" s="52">
        <v>788</v>
      </c>
      <c r="F12" s="13"/>
      <c r="G12" s="13">
        <v>200</v>
      </c>
    </row>
    <row r="13" spans="1:7" hidden="1" x14ac:dyDescent="0.75">
      <c r="A13" s="51">
        <v>44930</v>
      </c>
      <c r="B13" s="52">
        <v>5</v>
      </c>
      <c r="C13" s="8" t="s">
        <v>1377</v>
      </c>
      <c r="D13" s="8" t="s">
        <v>16</v>
      </c>
      <c r="E13" s="52">
        <v>788</v>
      </c>
      <c r="F13" s="13"/>
      <c r="G13" s="13">
        <v>35.700000000000003</v>
      </c>
    </row>
    <row r="14" spans="1:7" hidden="1" x14ac:dyDescent="0.75">
      <c r="A14" s="51">
        <v>44930</v>
      </c>
      <c r="B14" s="52">
        <v>5</v>
      </c>
      <c r="C14" s="8" t="s">
        <v>1378</v>
      </c>
      <c r="D14" s="8" t="s">
        <v>16</v>
      </c>
      <c r="E14" s="52">
        <v>360</v>
      </c>
      <c r="F14" s="13"/>
      <c r="G14" s="13">
        <v>34</v>
      </c>
    </row>
    <row r="15" spans="1:7" hidden="1" x14ac:dyDescent="0.75">
      <c r="A15" s="51">
        <v>44930</v>
      </c>
      <c r="B15" s="52">
        <v>5</v>
      </c>
      <c r="C15" s="8" t="s">
        <v>1379</v>
      </c>
      <c r="D15" s="8" t="s">
        <v>16</v>
      </c>
      <c r="E15" s="52">
        <v>585</v>
      </c>
      <c r="F15" s="13"/>
      <c r="G15" s="13">
        <v>18</v>
      </c>
    </row>
    <row r="16" spans="1:7" hidden="1" x14ac:dyDescent="0.75">
      <c r="A16" s="51">
        <v>44931</v>
      </c>
      <c r="B16" s="52">
        <v>5</v>
      </c>
      <c r="C16" s="8" t="s">
        <v>1380</v>
      </c>
      <c r="D16" s="8" t="s">
        <v>16</v>
      </c>
      <c r="E16" s="52">
        <v>1283</v>
      </c>
      <c r="F16" s="13"/>
      <c r="G16" s="13">
        <v>15.1</v>
      </c>
    </row>
    <row r="17" spans="1:7" hidden="1" x14ac:dyDescent="0.75">
      <c r="A17" s="51">
        <v>44931</v>
      </c>
      <c r="B17" s="52">
        <v>5</v>
      </c>
      <c r="C17" s="8" t="s">
        <v>1380</v>
      </c>
      <c r="D17" s="8" t="s">
        <v>16</v>
      </c>
      <c r="E17" s="52">
        <v>1283</v>
      </c>
      <c r="F17" s="13"/>
      <c r="G17" s="13">
        <v>8</v>
      </c>
    </row>
    <row r="18" spans="1:7" hidden="1" x14ac:dyDescent="0.75">
      <c r="A18" s="51">
        <v>44931</v>
      </c>
      <c r="B18" s="52">
        <v>5</v>
      </c>
      <c r="C18" s="8" t="s">
        <v>1372</v>
      </c>
      <c r="D18" s="8" t="s">
        <v>16</v>
      </c>
      <c r="E18" s="52">
        <v>788</v>
      </c>
      <c r="F18" s="13"/>
      <c r="G18" s="13">
        <v>44</v>
      </c>
    </row>
    <row r="19" spans="1:7" hidden="1" x14ac:dyDescent="0.75">
      <c r="A19" s="51">
        <v>44931</v>
      </c>
      <c r="B19" s="52">
        <v>5</v>
      </c>
      <c r="C19" s="8" t="s">
        <v>1381</v>
      </c>
      <c r="D19" s="8" t="s">
        <v>16</v>
      </c>
      <c r="E19" s="52">
        <v>788</v>
      </c>
      <c r="F19" s="13"/>
      <c r="G19" s="13">
        <v>500</v>
      </c>
    </row>
    <row r="20" spans="1:7" hidden="1" x14ac:dyDescent="0.75">
      <c r="A20" s="51">
        <v>44931</v>
      </c>
      <c r="B20" s="52">
        <v>5</v>
      </c>
      <c r="C20" s="8" t="s">
        <v>1382</v>
      </c>
      <c r="D20" s="8" t="s">
        <v>16</v>
      </c>
      <c r="E20" s="52">
        <v>788</v>
      </c>
      <c r="F20" s="13"/>
      <c r="G20" s="13">
        <v>115</v>
      </c>
    </row>
    <row r="21" spans="1:7" hidden="1" x14ac:dyDescent="0.75">
      <c r="A21" s="51">
        <v>44932</v>
      </c>
      <c r="B21" s="52">
        <v>5</v>
      </c>
      <c r="C21" s="8" t="s">
        <v>1383</v>
      </c>
      <c r="D21" s="8" t="s">
        <v>16</v>
      </c>
      <c r="E21" s="52">
        <v>788</v>
      </c>
      <c r="F21" s="13"/>
      <c r="G21" s="13">
        <v>150</v>
      </c>
    </row>
    <row r="22" spans="1:7" hidden="1" x14ac:dyDescent="0.75">
      <c r="A22" s="51">
        <v>44932</v>
      </c>
      <c r="B22" s="52">
        <v>5</v>
      </c>
      <c r="C22" s="8" t="s">
        <v>1384</v>
      </c>
      <c r="D22" s="8" t="s">
        <v>16</v>
      </c>
      <c r="E22" s="52">
        <v>1283</v>
      </c>
      <c r="F22" s="13"/>
      <c r="G22" s="13">
        <v>47.87</v>
      </c>
    </row>
    <row r="23" spans="1:7" hidden="1" x14ac:dyDescent="0.75">
      <c r="A23" s="51">
        <v>44932</v>
      </c>
      <c r="B23" s="52">
        <v>5</v>
      </c>
      <c r="C23" s="8" t="s">
        <v>1385</v>
      </c>
      <c r="D23" s="8" t="s">
        <v>16</v>
      </c>
      <c r="E23" s="52">
        <v>788</v>
      </c>
      <c r="F23" s="13"/>
      <c r="G23" s="13">
        <v>20</v>
      </c>
    </row>
    <row r="24" spans="1:7" hidden="1" x14ac:dyDescent="0.75">
      <c r="A24" s="51">
        <v>44932</v>
      </c>
      <c r="B24" s="52">
        <v>5</v>
      </c>
      <c r="C24" s="8" t="s">
        <v>1386</v>
      </c>
      <c r="D24" s="8" t="s">
        <v>16</v>
      </c>
      <c r="E24" s="52">
        <v>788</v>
      </c>
      <c r="F24" s="13"/>
      <c r="G24" s="13">
        <v>11.5</v>
      </c>
    </row>
    <row r="25" spans="1:7" hidden="1" x14ac:dyDescent="0.75">
      <c r="A25" s="51">
        <v>44932</v>
      </c>
      <c r="B25" s="52">
        <v>5</v>
      </c>
      <c r="C25" s="8" t="s">
        <v>1372</v>
      </c>
      <c r="D25" s="8" t="s">
        <v>16</v>
      </c>
      <c r="E25" s="52">
        <v>788</v>
      </c>
      <c r="F25" s="13"/>
      <c r="G25" s="13">
        <v>38</v>
      </c>
    </row>
    <row r="26" spans="1:7" hidden="1" x14ac:dyDescent="0.75">
      <c r="A26" s="51">
        <v>44932</v>
      </c>
      <c r="B26" s="52">
        <v>5</v>
      </c>
      <c r="C26" s="8" t="s">
        <v>1368</v>
      </c>
      <c r="D26" s="8" t="s">
        <v>16</v>
      </c>
      <c r="E26" s="52">
        <v>788</v>
      </c>
      <c r="F26" s="13"/>
      <c r="G26" s="13">
        <v>90.45</v>
      </c>
    </row>
    <row r="27" spans="1:7" hidden="1" x14ac:dyDescent="0.75">
      <c r="A27" s="51">
        <v>44932</v>
      </c>
      <c r="B27" s="52">
        <v>5</v>
      </c>
      <c r="C27" s="8" t="s">
        <v>1387</v>
      </c>
      <c r="D27" s="8" t="s">
        <v>16</v>
      </c>
      <c r="E27" s="52">
        <v>788</v>
      </c>
      <c r="F27" s="13"/>
      <c r="G27" s="13">
        <v>70</v>
      </c>
    </row>
    <row r="28" spans="1:7" hidden="1" x14ac:dyDescent="0.75">
      <c r="A28" s="51">
        <v>44932</v>
      </c>
      <c r="B28" s="52">
        <v>5</v>
      </c>
      <c r="C28" s="8" t="s">
        <v>1388</v>
      </c>
      <c r="D28" s="8" t="s">
        <v>16</v>
      </c>
      <c r="E28" s="52">
        <v>1316</v>
      </c>
      <c r="F28" s="13"/>
      <c r="G28" s="13">
        <v>90</v>
      </c>
    </row>
    <row r="29" spans="1:7" hidden="1" x14ac:dyDescent="0.75">
      <c r="A29" s="51">
        <v>44932</v>
      </c>
      <c r="B29" s="52">
        <v>5</v>
      </c>
      <c r="C29" s="8" t="s">
        <v>1389</v>
      </c>
      <c r="D29" s="8" t="s">
        <v>16</v>
      </c>
      <c r="E29" s="52">
        <v>788</v>
      </c>
      <c r="F29" s="13"/>
      <c r="G29" s="13">
        <v>125</v>
      </c>
    </row>
    <row r="30" spans="1:7" hidden="1" x14ac:dyDescent="0.75">
      <c r="A30" s="51">
        <v>44932</v>
      </c>
      <c r="B30" s="52">
        <v>5</v>
      </c>
      <c r="C30" s="8" t="s">
        <v>1368</v>
      </c>
      <c r="D30" s="8" t="s">
        <v>16</v>
      </c>
      <c r="E30" s="52">
        <v>788</v>
      </c>
      <c r="F30" s="13"/>
      <c r="G30" s="13">
        <v>104</v>
      </c>
    </row>
    <row r="31" spans="1:7" hidden="1" x14ac:dyDescent="0.75">
      <c r="A31" s="51">
        <v>44932</v>
      </c>
      <c r="B31" s="52">
        <v>5</v>
      </c>
      <c r="C31" s="8" t="s">
        <v>1373</v>
      </c>
      <c r="D31" s="8" t="s">
        <v>16</v>
      </c>
      <c r="E31" s="52">
        <v>794</v>
      </c>
      <c r="F31" s="13"/>
      <c r="G31" s="13">
        <v>25</v>
      </c>
    </row>
    <row r="32" spans="1:7" hidden="1" x14ac:dyDescent="0.75">
      <c r="A32" s="51">
        <v>44935</v>
      </c>
      <c r="B32" s="52">
        <v>5</v>
      </c>
      <c r="C32" s="8" t="s">
        <v>1390</v>
      </c>
      <c r="D32" s="8" t="s">
        <v>16</v>
      </c>
      <c r="E32" s="52">
        <v>968</v>
      </c>
      <c r="F32" s="13"/>
      <c r="G32" s="13">
        <v>130</v>
      </c>
    </row>
    <row r="33" spans="1:7" hidden="1" x14ac:dyDescent="0.75">
      <c r="A33" s="51">
        <v>44935</v>
      </c>
      <c r="B33" s="52">
        <v>5</v>
      </c>
      <c r="C33" s="8" t="s">
        <v>1391</v>
      </c>
      <c r="D33" s="8" t="s">
        <v>16</v>
      </c>
      <c r="E33" s="52">
        <v>788</v>
      </c>
      <c r="F33" s="13"/>
      <c r="G33" s="13">
        <v>50</v>
      </c>
    </row>
    <row r="34" spans="1:7" hidden="1" x14ac:dyDescent="0.75">
      <c r="A34" s="51">
        <v>44935</v>
      </c>
      <c r="B34" s="52">
        <v>5</v>
      </c>
      <c r="C34" s="8" t="s">
        <v>1392</v>
      </c>
      <c r="D34" s="8" t="s">
        <v>16</v>
      </c>
      <c r="E34" s="52">
        <v>1283</v>
      </c>
      <c r="F34" s="13"/>
      <c r="G34" s="13">
        <v>36.4</v>
      </c>
    </row>
    <row r="35" spans="1:7" hidden="1" x14ac:dyDescent="0.75">
      <c r="A35" s="51">
        <v>44935</v>
      </c>
      <c r="B35" s="52">
        <v>5</v>
      </c>
      <c r="C35" s="8" t="s">
        <v>1393</v>
      </c>
      <c r="D35" s="8" t="s">
        <v>16</v>
      </c>
      <c r="E35" s="52">
        <v>788</v>
      </c>
      <c r="F35" s="13"/>
      <c r="G35" s="13">
        <v>200</v>
      </c>
    </row>
    <row r="36" spans="1:7" hidden="1" x14ac:dyDescent="0.75">
      <c r="A36" s="51">
        <v>44936</v>
      </c>
      <c r="B36" s="52">
        <v>5</v>
      </c>
      <c r="C36" s="8" t="s">
        <v>1394</v>
      </c>
      <c r="D36" s="8" t="s">
        <v>16</v>
      </c>
      <c r="E36" s="52">
        <v>788</v>
      </c>
      <c r="F36" s="13"/>
      <c r="G36" s="13">
        <v>60</v>
      </c>
    </row>
    <row r="37" spans="1:7" hidden="1" x14ac:dyDescent="0.75">
      <c r="A37" s="51">
        <v>44936</v>
      </c>
      <c r="B37" s="52">
        <v>5</v>
      </c>
      <c r="C37" s="8" t="s">
        <v>1395</v>
      </c>
      <c r="D37" s="8" t="s">
        <v>16</v>
      </c>
      <c r="E37" s="52">
        <v>788</v>
      </c>
      <c r="F37" s="13"/>
      <c r="G37" s="13">
        <v>112</v>
      </c>
    </row>
    <row r="38" spans="1:7" hidden="1" x14ac:dyDescent="0.75">
      <c r="A38" s="51">
        <v>44936</v>
      </c>
      <c r="B38" s="52">
        <v>5</v>
      </c>
      <c r="C38" s="8" t="s">
        <v>1396</v>
      </c>
      <c r="D38" s="8" t="s">
        <v>16</v>
      </c>
      <c r="E38" s="52">
        <v>1283</v>
      </c>
      <c r="F38" s="13"/>
      <c r="G38" s="13">
        <v>178.5</v>
      </c>
    </row>
    <row r="39" spans="1:7" hidden="1" x14ac:dyDescent="0.75">
      <c r="A39" s="51">
        <v>44936</v>
      </c>
      <c r="B39" s="52">
        <v>5</v>
      </c>
      <c r="C39" s="8" t="s">
        <v>1397</v>
      </c>
      <c r="D39" s="8" t="s">
        <v>16</v>
      </c>
      <c r="E39" s="52">
        <v>788</v>
      </c>
      <c r="F39" s="13"/>
      <c r="G39" s="13">
        <v>10.3</v>
      </c>
    </row>
    <row r="40" spans="1:7" hidden="1" x14ac:dyDescent="0.75">
      <c r="A40" s="51">
        <v>44936</v>
      </c>
      <c r="B40" s="52">
        <v>5</v>
      </c>
      <c r="C40" s="8" t="s">
        <v>1398</v>
      </c>
      <c r="D40" s="8" t="s">
        <v>16</v>
      </c>
      <c r="E40" s="52">
        <v>360</v>
      </c>
      <c r="F40" s="13"/>
      <c r="G40" s="13">
        <v>25.75</v>
      </c>
    </row>
    <row r="41" spans="1:7" hidden="1" x14ac:dyDescent="0.75">
      <c r="A41" s="51">
        <v>44936</v>
      </c>
      <c r="B41" s="52">
        <v>5</v>
      </c>
      <c r="C41" s="8" t="s">
        <v>1373</v>
      </c>
      <c r="D41" s="8" t="s">
        <v>16</v>
      </c>
      <c r="E41" s="52">
        <v>794</v>
      </c>
      <c r="F41" s="13"/>
      <c r="G41" s="13">
        <v>20</v>
      </c>
    </row>
    <row r="42" spans="1:7" hidden="1" x14ac:dyDescent="0.75">
      <c r="A42" s="51">
        <v>44937</v>
      </c>
      <c r="B42" s="52">
        <v>5</v>
      </c>
      <c r="C42" s="8" t="s">
        <v>1374</v>
      </c>
      <c r="D42" s="8" t="s">
        <v>16</v>
      </c>
      <c r="E42" s="52">
        <v>1283</v>
      </c>
      <c r="F42" s="13"/>
      <c r="G42" s="13">
        <v>47.17</v>
      </c>
    </row>
    <row r="43" spans="1:7" hidden="1" x14ac:dyDescent="0.75">
      <c r="A43" s="51">
        <v>44937</v>
      </c>
      <c r="B43" s="52">
        <v>5</v>
      </c>
      <c r="C43" s="8" t="s">
        <v>1399</v>
      </c>
      <c r="D43" s="8" t="s">
        <v>16</v>
      </c>
      <c r="E43" s="52">
        <v>1283</v>
      </c>
      <c r="F43" s="13"/>
      <c r="G43" s="13">
        <v>9.94</v>
      </c>
    </row>
    <row r="44" spans="1:7" hidden="1" x14ac:dyDescent="0.75">
      <c r="A44" s="51">
        <v>44937</v>
      </c>
      <c r="B44" s="52">
        <v>5</v>
      </c>
      <c r="C44" s="8" t="s">
        <v>1400</v>
      </c>
      <c r="D44" s="8" t="s">
        <v>16</v>
      </c>
      <c r="E44" s="52">
        <v>1413</v>
      </c>
      <c r="F44" s="13"/>
      <c r="G44" s="13">
        <v>90</v>
      </c>
    </row>
    <row r="45" spans="1:7" hidden="1" x14ac:dyDescent="0.75">
      <c r="A45" s="51">
        <v>44937</v>
      </c>
      <c r="B45" s="52">
        <v>5</v>
      </c>
      <c r="C45" s="8" t="s">
        <v>1383</v>
      </c>
      <c r="D45" s="8" t="s">
        <v>16</v>
      </c>
      <c r="E45" s="52">
        <v>788</v>
      </c>
      <c r="F45" s="13"/>
      <c r="G45" s="13">
        <v>100</v>
      </c>
    </row>
    <row r="46" spans="1:7" hidden="1" x14ac:dyDescent="0.75">
      <c r="A46" s="51">
        <v>44937</v>
      </c>
      <c r="B46" s="52">
        <v>5</v>
      </c>
      <c r="C46" s="8" t="s">
        <v>1401</v>
      </c>
      <c r="D46" s="8" t="s">
        <v>16</v>
      </c>
      <c r="E46" s="52">
        <v>585</v>
      </c>
      <c r="F46" s="13"/>
      <c r="G46" s="13">
        <v>189.5</v>
      </c>
    </row>
    <row r="47" spans="1:7" hidden="1" x14ac:dyDescent="0.75">
      <c r="A47" s="51">
        <v>44937</v>
      </c>
      <c r="B47" s="52">
        <v>5</v>
      </c>
      <c r="C47" s="8" t="s">
        <v>1402</v>
      </c>
      <c r="D47" s="8" t="s">
        <v>16</v>
      </c>
      <c r="E47" s="52">
        <v>1316</v>
      </c>
      <c r="F47" s="13"/>
      <c r="G47" s="13">
        <v>22</v>
      </c>
    </row>
    <row r="48" spans="1:7" hidden="1" x14ac:dyDescent="0.75">
      <c r="A48" s="51">
        <v>44938</v>
      </c>
      <c r="B48" s="52">
        <v>5</v>
      </c>
      <c r="C48" s="8" t="s">
        <v>1403</v>
      </c>
      <c r="D48" s="8" t="s">
        <v>16</v>
      </c>
      <c r="E48" s="52">
        <v>1789</v>
      </c>
      <c r="F48" s="13">
        <v>298.5</v>
      </c>
      <c r="G48" s="13"/>
    </row>
    <row r="49" spans="1:7" hidden="1" x14ac:dyDescent="0.75">
      <c r="A49" s="51">
        <v>44938</v>
      </c>
      <c r="B49" s="52">
        <v>5</v>
      </c>
      <c r="C49" s="8" t="s">
        <v>1404</v>
      </c>
      <c r="D49" s="8" t="s">
        <v>16</v>
      </c>
      <c r="E49" s="52">
        <v>1789</v>
      </c>
      <c r="F49" s="13">
        <v>680.5</v>
      </c>
      <c r="G49" s="13"/>
    </row>
    <row r="50" spans="1:7" hidden="1" x14ac:dyDescent="0.75">
      <c r="A50" s="51">
        <v>44938</v>
      </c>
      <c r="B50" s="52">
        <v>5</v>
      </c>
      <c r="C50" s="8" t="s">
        <v>1405</v>
      </c>
      <c r="D50" s="8" t="s">
        <v>16</v>
      </c>
      <c r="E50" s="52">
        <v>1789</v>
      </c>
      <c r="F50" s="13">
        <v>364.5</v>
      </c>
      <c r="G50" s="13"/>
    </row>
    <row r="51" spans="1:7" hidden="1" x14ac:dyDescent="0.75">
      <c r="A51" s="51">
        <v>44938</v>
      </c>
      <c r="B51" s="52">
        <v>5</v>
      </c>
      <c r="C51" s="8" t="s">
        <v>1406</v>
      </c>
      <c r="D51" s="8" t="s">
        <v>16</v>
      </c>
      <c r="E51" s="52">
        <v>1789</v>
      </c>
      <c r="F51" s="13">
        <v>314.5</v>
      </c>
      <c r="G51" s="13"/>
    </row>
    <row r="52" spans="1:7" hidden="1" x14ac:dyDescent="0.75">
      <c r="A52" s="51">
        <v>44938</v>
      </c>
      <c r="B52" s="52">
        <v>5</v>
      </c>
      <c r="C52" s="8" t="s">
        <v>1407</v>
      </c>
      <c r="D52" s="8" t="s">
        <v>16</v>
      </c>
      <c r="E52" s="52">
        <v>1789</v>
      </c>
      <c r="F52" s="13">
        <v>314.5</v>
      </c>
      <c r="G52" s="13"/>
    </row>
    <row r="53" spans="1:7" hidden="1" x14ac:dyDescent="0.75">
      <c r="A53" s="51">
        <v>44938</v>
      </c>
      <c r="B53" s="52">
        <v>5</v>
      </c>
      <c r="C53" s="8" t="s">
        <v>1408</v>
      </c>
      <c r="D53" s="8" t="s">
        <v>16</v>
      </c>
      <c r="E53" s="52">
        <v>1789</v>
      </c>
      <c r="F53" s="13">
        <v>314.5</v>
      </c>
      <c r="G53" s="13"/>
    </row>
    <row r="54" spans="1:7" hidden="1" x14ac:dyDescent="0.75">
      <c r="A54" s="51">
        <v>44938</v>
      </c>
      <c r="B54" s="52">
        <v>5</v>
      </c>
      <c r="C54" s="8" t="s">
        <v>1409</v>
      </c>
      <c r="D54" s="8" t="s">
        <v>16</v>
      </c>
      <c r="E54" s="52">
        <v>1789</v>
      </c>
      <c r="F54" s="13">
        <v>364.5</v>
      </c>
      <c r="G54" s="13"/>
    </row>
    <row r="55" spans="1:7" hidden="1" x14ac:dyDescent="0.75">
      <c r="A55" s="51">
        <v>44938</v>
      </c>
      <c r="B55" s="52">
        <v>5</v>
      </c>
      <c r="C55" s="8" t="s">
        <v>1410</v>
      </c>
      <c r="D55" s="8" t="s">
        <v>16</v>
      </c>
      <c r="E55" s="52">
        <v>1789</v>
      </c>
      <c r="F55" s="13">
        <v>306</v>
      </c>
      <c r="G55" s="13"/>
    </row>
    <row r="56" spans="1:7" hidden="1" x14ac:dyDescent="0.75">
      <c r="A56" s="51">
        <v>44938</v>
      </c>
      <c r="B56" s="52">
        <v>5</v>
      </c>
      <c r="C56" s="8" t="s">
        <v>1411</v>
      </c>
      <c r="D56" s="8" t="s">
        <v>16</v>
      </c>
      <c r="E56" s="52">
        <v>1789</v>
      </c>
      <c r="F56" s="13">
        <v>384.5</v>
      </c>
      <c r="G56" s="13"/>
    </row>
    <row r="57" spans="1:7" hidden="1" x14ac:dyDescent="0.75">
      <c r="A57" s="51">
        <v>44938</v>
      </c>
      <c r="B57" s="52">
        <v>5</v>
      </c>
      <c r="C57" s="8" t="s">
        <v>1412</v>
      </c>
      <c r="D57" s="8" t="s">
        <v>16</v>
      </c>
      <c r="E57" s="52">
        <v>1788</v>
      </c>
      <c r="F57" s="13">
        <v>314.5</v>
      </c>
      <c r="G57" s="13"/>
    </row>
    <row r="58" spans="1:7" hidden="1" x14ac:dyDescent="0.75">
      <c r="A58" s="51">
        <v>44938</v>
      </c>
      <c r="B58" s="52">
        <v>5</v>
      </c>
      <c r="C58" s="8" t="s">
        <v>1413</v>
      </c>
      <c r="D58" s="8" t="s">
        <v>16</v>
      </c>
      <c r="E58" s="52">
        <v>1788</v>
      </c>
      <c r="F58" s="13">
        <v>680.5</v>
      </c>
      <c r="G58" s="13"/>
    </row>
    <row r="59" spans="1:7" hidden="1" x14ac:dyDescent="0.75">
      <c r="A59" s="51">
        <v>44938</v>
      </c>
      <c r="B59" s="52">
        <v>5</v>
      </c>
      <c r="C59" s="8" t="s">
        <v>1414</v>
      </c>
      <c r="D59" s="8" t="s">
        <v>16</v>
      </c>
      <c r="E59" s="52">
        <v>1788</v>
      </c>
      <c r="F59" s="13">
        <v>364.5</v>
      </c>
      <c r="G59" s="13"/>
    </row>
    <row r="60" spans="1:7" hidden="1" x14ac:dyDescent="0.75">
      <c r="A60" s="51">
        <v>44938</v>
      </c>
      <c r="B60" s="52">
        <v>5</v>
      </c>
      <c r="C60" s="8" t="s">
        <v>1415</v>
      </c>
      <c r="D60" s="8" t="s">
        <v>16</v>
      </c>
      <c r="E60" s="52">
        <v>1788</v>
      </c>
      <c r="F60" s="13">
        <v>314.5</v>
      </c>
      <c r="G60" s="13"/>
    </row>
    <row r="61" spans="1:7" hidden="1" x14ac:dyDescent="0.75">
      <c r="A61" s="51">
        <v>44938</v>
      </c>
      <c r="B61" s="52">
        <v>5</v>
      </c>
      <c r="C61" s="8" t="s">
        <v>1416</v>
      </c>
      <c r="D61" s="8" t="s">
        <v>16</v>
      </c>
      <c r="E61" s="52">
        <v>1788</v>
      </c>
      <c r="F61" s="13">
        <v>314.5</v>
      </c>
      <c r="G61" s="13"/>
    </row>
    <row r="62" spans="1:7" hidden="1" x14ac:dyDescent="0.75">
      <c r="A62" s="51">
        <v>44938</v>
      </c>
      <c r="B62" s="52">
        <v>5</v>
      </c>
      <c r="C62" s="8" t="s">
        <v>1417</v>
      </c>
      <c r="D62" s="8" t="s">
        <v>16</v>
      </c>
      <c r="E62" s="52">
        <v>1788</v>
      </c>
      <c r="F62" s="13">
        <v>314.5</v>
      </c>
      <c r="G62" s="13"/>
    </row>
    <row r="63" spans="1:7" hidden="1" x14ac:dyDescent="0.75">
      <c r="A63" s="51">
        <v>44938</v>
      </c>
      <c r="B63" s="52">
        <v>5</v>
      </c>
      <c r="C63" s="8" t="s">
        <v>1418</v>
      </c>
      <c r="D63" s="8" t="s">
        <v>16</v>
      </c>
      <c r="E63" s="52">
        <v>1788</v>
      </c>
      <c r="F63" s="13">
        <v>364.5</v>
      </c>
      <c r="G63" s="13"/>
    </row>
    <row r="64" spans="1:7" hidden="1" x14ac:dyDescent="0.75">
      <c r="A64" s="51">
        <v>44938</v>
      </c>
      <c r="B64" s="52">
        <v>5</v>
      </c>
      <c r="C64" s="8" t="s">
        <v>1419</v>
      </c>
      <c r="D64" s="8" t="s">
        <v>16</v>
      </c>
      <c r="E64" s="52">
        <v>1788</v>
      </c>
      <c r="F64" s="13">
        <v>306</v>
      </c>
      <c r="G64" s="13"/>
    </row>
    <row r="65" spans="1:7" hidden="1" x14ac:dyDescent="0.75">
      <c r="A65" s="51">
        <v>44938</v>
      </c>
      <c r="B65" s="52">
        <v>5</v>
      </c>
      <c r="C65" s="8" t="s">
        <v>1420</v>
      </c>
      <c r="D65" s="8" t="s">
        <v>16</v>
      </c>
      <c r="E65" s="52">
        <v>1788</v>
      </c>
      <c r="F65" s="13">
        <v>384.5</v>
      </c>
      <c r="G65" s="13"/>
    </row>
    <row r="66" spans="1:7" hidden="1" x14ac:dyDescent="0.75">
      <c r="A66" s="51">
        <v>44938</v>
      </c>
      <c r="B66" s="52">
        <v>5</v>
      </c>
      <c r="C66" s="8" t="s">
        <v>1399</v>
      </c>
      <c r="D66" s="8" t="s">
        <v>16</v>
      </c>
      <c r="E66" s="52">
        <v>1283</v>
      </c>
      <c r="F66" s="13"/>
      <c r="G66" s="13">
        <v>59.4</v>
      </c>
    </row>
    <row r="67" spans="1:7" hidden="1" x14ac:dyDescent="0.75">
      <c r="A67" s="51">
        <v>44939</v>
      </c>
      <c r="B67" s="52">
        <v>5</v>
      </c>
      <c r="C67" s="8" t="s">
        <v>1380</v>
      </c>
      <c r="D67" s="8" t="s">
        <v>16</v>
      </c>
      <c r="E67" s="52">
        <v>1283</v>
      </c>
      <c r="F67" s="13"/>
      <c r="G67" s="13">
        <v>8</v>
      </c>
    </row>
    <row r="68" spans="1:7" hidden="1" x14ac:dyDescent="0.75">
      <c r="A68" s="51">
        <v>44939</v>
      </c>
      <c r="B68" s="52">
        <v>5</v>
      </c>
      <c r="C68" s="8" t="s">
        <v>1380</v>
      </c>
      <c r="D68" s="8" t="s">
        <v>16</v>
      </c>
      <c r="E68" s="52">
        <v>1283</v>
      </c>
      <c r="F68" s="13"/>
      <c r="G68" s="13">
        <v>8</v>
      </c>
    </row>
    <row r="69" spans="1:7" hidden="1" x14ac:dyDescent="0.75">
      <c r="A69" s="51">
        <v>44939</v>
      </c>
      <c r="B69" s="52">
        <v>5</v>
      </c>
      <c r="C69" s="8" t="s">
        <v>1380</v>
      </c>
      <c r="D69" s="8" t="s">
        <v>16</v>
      </c>
      <c r="E69" s="52">
        <v>1283</v>
      </c>
      <c r="F69" s="13"/>
      <c r="G69" s="13">
        <v>16.579999999999998</v>
      </c>
    </row>
    <row r="70" spans="1:7" hidden="1" x14ac:dyDescent="0.75">
      <c r="A70" s="51">
        <v>44939</v>
      </c>
      <c r="B70" s="52">
        <v>5</v>
      </c>
      <c r="C70" s="8" t="s">
        <v>1380</v>
      </c>
      <c r="D70" s="8" t="s">
        <v>16</v>
      </c>
      <c r="E70" s="52">
        <v>1283</v>
      </c>
      <c r="F70" s="13"/>
      <c r="G70" s="13">
        <v>8</v>
      </c>
    </row>
    <row r="71" spans="1:7" hidden="1" x14ac:dyDescent="0.75">
      <c r="A71" s="51">
        <v>44939</v>
      </c>
      <c r="B71" s="52">
        <v>5</v>
      </c>
      <c r="C71" s="8" t="s">
        <v>1380</v>
      </c>
      <c r="D71" s="8" t="s">
        <v>16</v>
      </c>
      <c r="E71" s="52">
        <v>1283</v>
      </c>
      <c r="F71" s="13"/>
      <c r="G71" s="13">
        <v>14.36</v>
      </c>
    </row>
    <row r="72" spans="1:7" hidden="1" x14ac:dyDescent="0.75">
      <c r="A72" s="51">
        <v>44939</v>
      </c>
      <c r="B72" s="52">
        <v>5</v>
      </c>
      <c r="C72" s="8" t="s">
        <v>1380</v>
      </c>
      <c r="D72" s="8" t="s">
        <v>16</v>
      </c>
      <c r="E72" s="52">
        <v>1283</v>
      </c>
      <c r="F72" s="13"/>
      <c r="G72" s="13">
        <v>16.260000000000002</v>
      </c>
    </row>
    <row r="73" spans="1:7" hidden="1" x14ac:dyDescent="0.75">
      <c r="A73" s="51">
        <v>44939</v>
      </c>
      <c r="B73" s="52">
        <v>5</v>
      </c>
      <c r="C73" s="8" t="s">
        <v>1380</v>
      </c>
      <c r="D73" s="8" t="s">
        <v>16</v>
      </c>
      <c r="E73" s="52">
        <v>1283</v>
      </c>
      <c r="F73" s="13"/>
      <c r="G73" s="13">
        <v>12.6</v>
      </c>
    </row>
    <row r="74" spans="1:7" hidden="1" x14ac:dyDescent="0.75">
      <c r="A74" s="51">
        <v>44939</v>
      </c>
      <c r="B74" s="52">
        <v>5</v>
      </c>
      <c r="C74" s="8" t="s">
        <v>1372</v>
      </c>
      <c r="D74" s="8" t="s">
        <v>16</v>
      </c>
      <c r="E74" s="52">
        <v>788</v>
      </c>
      <c r="F74" s="13"/>
      <c r="G74" s="13">
        <v>40</v>
      </c>
    </row>
    <row r="75" spans="1:7" hidden="1" x14ac:dyDescent="0.75">
      <c r="A75" s="51">
        <v>44939</v>
      </c>
      <c r="B75" s="52">
        <v>5</v>
      </c>
      <c r="C75" s="8" t="s">
        <v>1385</v>
      </c>
      <c r="D75" s="8" t="s">
        <v>16</v>
      </c>
      <c r="E75" s="52">
        <v>788</v>
      </c>
      <c r="F75" s="13"/>
      <c r="G75" s="13">
        <v>20</v>
      </c>
    </row>
    <row r="76" spans="1:7" hidden="1" x14ac:dyDescent="0.75">
      <c r="A76" s="51">
        <v>44939</v>
      </c>
      <c r="B76" s="52">
        <v>5</v>
      </c>
      <c r="C76" s="8" t="s">
        <v>1386</v>
      </c>
      <c r="D76" s="8" t="s">
        <v>16</v>
      </c>
      <c r="E76" s="52">
        <v>788</v>
      </c>
      <c r="F76" s="13"/>
      <c r="G76" s="13">
        <v>11.5</v>
      </c>
    </row>
    <row r="77" spans="1:7" hidden="1" x14ac:dyDescent="0.75">
      <c r="A77" s="51">
        <v>44939</v>
      </c>
      <c r="B77" s="52">
        <v>5</v>
      </c>
      <c r="C77" s="8" t="s">
        <v>1421</v>
      </c>
      <c r="D77" s="8" t="s">
        <v>16</v>
      </c>
      <c r="E77" s="52">
        <v>55</v>
      </c>
      <c r="F77" s="13"/>
      <c r="G77" s="13">
        <v>84.75</v>
      </c>
    </row>
    <row r="78" spans="1:7" hidden="1" x14ac:dyDescent="0.75">
      <c r="A78" s="51">
        <v>44942</v>
      </c>
      <c r="B78" s="52">
        <v>5</v>
      </c>
      <c r="C78" s="8" t="s">
        <v>1422</v>
      </c>
      <c r="D78" s="8" t="s">
        <v>16</v>
      </c>
      <c r="E78" s="52">
        <v>1711</v>
      </c>
      <c r="F78" s="13"/>
      <c r="G78" s="13">
        <v>400</v>
      </c>
    </row>
    <row r="79" spans="1:7" hidden="1" x14ac:dyDescent="0.75">
      <c r="A79" s="51">
        <v>44942</v>
      </c>
      <c r="B79" s="52">
        <v>5</v>
      </c>
      <c r="C79" s="8" t="s">
        <v>1373</v>
      </c>
      <c r="D79" s="8" t="s">
        <v>16</v>
      </c>
      <c r="E79" s="52">
        <v>794</v>
      </c>
      <c r="F79" s="13"/>
      <c r="G79" s="13">
        <v>21</v>
      </c>
    </row>
    <row r="80" spans="1:7" hidden="1" x14ac:dyDescent="0.75">
      <c r="A80" s="51">
        <v>44942</v>
      </c>
      <c r="B80" s="52">
        <v>5</v>
      </c>
      <c r="C80" s="8" t="s">
        <v>1393</v>
      </c>
      <c r="D80" s="8" t="s">
        <v>16</v>
      </c>
      <c r="E80" s="52">
        <v>788</v>
      </c>
      <c r="F80" s="13"/>
      <c r="G80" s="13">
        <v>200</v>
      </c>
    </row>
    <row r="81" spans="1:7" hidden="1" x14ac:dyDescent="0.75">
      <c r="A81" s="51">
        <v>44942</v>
      </c>
      <c r="B81" s="52">
        <v>5</v>
      </c>
      <c r="C81" s="8" t="s">
        <v>1374</v>
      </c>
      <c r="D81" s="8" t="s">
        <v>16</v>
      </c>
      <c r="E81" s="52">
        <v>1283</v>
      </c>
      <c r="F81" s="13"/>
      <c r="G81" s="13">
        <v>48.05</v>
      </c>
    </row>
    <row r="82" spans="1:7" hidden="1" x14ac:dyDescent="0.75">
      <c r="A82" s="51">
        <v>44942</v>
      </c>
      <c r="B82" s="52">
        <v>5</v>
      </c>
      <c r="C82" s="8" t="s">
        <v>1423</v>
      </c>
      <c r="D82" s="8" t="s">
        <v>16</v>
      </c>
      <c r="E82" s="52">
        <v>1283</v>
      </c>
      <c r="F82" s="13"/>
      <c r="G82" s="13">
        <v>42.9</v>
      </c>
    </row>
    <row r="83" spans="1:7" hidden="1" x14ac:dyDescent="0.75">
      <c r="A83" s="51">
        <v>44942</v>
      </c>
      <c r="B83" s="52">
        <v>5</v>
      </c>
      <c r="C83" s="8" t="s">
        <v>1424</v>
      </c>
      <c r="D83" s="8" t="s">
        <v>16</v>
      </c>
      <c r="E83" s="52">
        <v>788</v>
      </c>
      <c r="F83" s="13"/>
      <c r="G83" s="13">
        <v>13</v>
      </c>
    </row>
    <row r="84" spans="1:7" hidden="1" x14ac:dyDescent="0.75">
      <c r="A84" s="51">
        <v>44942</v>
      </c>
      <c r="B84" s="52">
        <v>5</v>
      </c>
      <c r="C84" s="8" t="s">
        <v>1380</v>
      </c>
      <c r="D84" s="8" t="s">
        <v>16</v>
      </c>
      <c r="E84" s="52">
        <v>1283</v>
      </c>
      <c r="F84" s="13"/>
      <c r="G84" s="13">
        <v>11.1</v>
      </c>
    </row>
    <row r="85" spans="1:7" hidden="1" x14ac:dyDescent="0.75">
      <c r="A85" s="51">
        <v>44942</v>
      </c>
      <c r="B85" s="52">
        <v>5</v>
      </c>
      <c r="C85" s="8" t="s">
        <v>1425</v>
      </c>
      <c r="D85" s="8" t="s">
        <v>16</v>
      </c>
      <c r="E85" s="52">
        <v>788</v>
      </c>
      <c r="F85" s="13"/>
      <c r="G85" s="13">
        <v>192</v>
      </c>
    </row>
    <row r="86" spans="1:7" hidden="1" x14ac:dyDescent="0.75">
      <c r="A86" s="51">
        <v>44942</v>
      </c>
      <c r="B86" s="52">
        <v>5</v>
      </c>
      <c r="C86" s="8" t="s">
        <v>1426</v>
      </c>
      <c r="D86" s="8" t="s">
        <v>16</v>
      </c>
      <c r="E86" s="52">
        <v>794</v>
      </c>
      <c r="F86" s="13"/>
      <c r="G86" s="13">
        <v>39</v>
      </c>
    </row>
    <row r="87" spans="1:7" hidden="1" x14ac:dyDescent="0.75">
      <c r="A87" s="51">
        <v>44942</v>
      </c>
      <c r="B87" s="52">
        <v>5</v>
      </c>
      <c r="C87" s="8" t="s">
        <v>1427</v>
      </c>
      <c r="D87" s="8" t="s">
        <v>16</v>
      </c>
      <c r="E87" s="52">
        <v>794</v>
      </c>
      <c r="F87" s="13"/>
      <c r="G87" s="13">
        <v>32</v>
      </c>
    </row>
    <row r="88" spans="1:7" hidden="1" x14ac:dyDescent="0.75">
      <c r="A88" s="51">
        <v>44943</v>
      </c>
      <c r="B88" s="52">
        <v>5</v>
      </c>
      <c r="C88" s="8" t="s">
        <v>1428</v>
      </c>
      <c r="D88" s="8" t="s">
        <v>16</v>
      </c>
      <c r="E88" s="52">
        <v>788</v>
      </c>
      <c r="F88" s="13"/>
      <c r="G88" s="13">
        <v>114</v>
      </c>
    </row>
    <row r="89" spans="1:7" hidden="1" x14ac:dyDescent="0.75">
      <c r="A89" s="51">
        <v>44943</v>
      </c>
      <c r="B89" s="52">
        <v>5</v>
      </c>
      <c r="C89" s="8" t="s">
        <v>1429</v>
      </c>
      <c r="D89" s="8" t="s">
        <v>16</v>
      </c>
      <c r="E89" s="52">
        <v>360</v>
      </c>
      <c r="F89" s="13"/>
      <c r="G89" s="13">
        <v>47.1</v>
      </c>
    </row>
    <row r="90" spans="1:7" hidden="1" x14ac:dyDescent="0.75">
      <c r="A90" s="51">
        <v>44943</v>
      </c>
      <c r="B90" s="52">
        <v>5</v>
      </c>
      <c r="C90" s="8" t="s">
        <v>1430</v>
      </c>
      <c r="D90" s="8" t="s">
        <v>16</v>
      </c>
      <c r="E90" s="52">
        <v>788</v>
      </c>
      <c r="F90" s="13"/>
      <c r="G90" s="13">
        <v>14</v>
      </c>
    </row>
    <row r="91" spans="1:7" hidden="1" x14ac:dyDescent="0.75">
      <c r="A91" s="51">
        <v>44943</v>
      </c>
      <c r="B91" s="52">
        <v>5</v>
      </c>
      <c r="C91" s="8" t="s">
        <v>1401</v>
      </c>
      <c r="D91" s="8" t="s">
        <v>16</v>
      </c>
      <c r="E91" s="52">
        <v>585</v>
      </c>
      <c r="F91" s="13"/>
      <c r="G91" s="13">
        <v>72</v>
      </c>
    </row>
    <row r="92" spans="1:7" hidden="1" x14ac:dyDescent="0.75">
      <c r="A92" s="51">
        <v>44944</v>
      </c>
      <c r="B92" s="52">
        <v>5</v>
      </c>
      <c r="C92" s="8" t="s">
        <v>1393</v>
      </c>
      <c r="D92" s="8" t="s">
        <v>16</v>
      </c>
      <c r="E92" s="52">
        <v>788</v>
      </c>
      <c r="F92" s="13"/>
      <c r="G92" s="13">
        <v>150</v>
      </c>
    </row>
    <row r="93" spans="1:7" hidden="1" x14ac:dyDescent="0.75">
      <c r="A93" s="51">
        <v>44944</v>
      </c>
      <c r="B93" s="52">
        <v>5</v>
      </c>
      <c r="C93" s="8" t="s">
        <v>1431</v>
      </c>
      <c r="D93" s="8" t="s">
        <v>16</v>
      </c>
      <c r="E93" s="52">
        <v>585</v>
      </c>
      <c r="F93" s="13"/>
      <c r="G93" s="13">
        <v>81.2</v>
      </c>
    </row>
    <row r="94" spans="1:7" hidden="1" x14ac:dyDescent="0.75">
      <c r="A94" s="51">
        <v>44944</v>
      </c>
      <c r="B94" s="52">
        <v>5</v>
      </c>
      <c r="C94" s="8" t="s">
        <v>1432</v>
      </c>
      <c r="D94" s="8" t="s">
        <v>16</v>
      </c>
      <c r="E94" s="52">
        <v>788</v>
      </c>
      <c r="F94" s="13"/>
      <c r="G94" s="13">
        <v>35</v>
      </c>
    </row>
    <row r="95" spans="1:7" hidden="1" x14ac:dyDescent="0.75">
      <c r="A95" s="51">
        <v>44944</v>
      </c>
      <c r="B95" s="52">
        <v>5</v>
      </c>
      <c r="C95" s="8" t="s">
        <v>1433</v>
      </c>
      <c r="D95" s="8" t="s">
        <v>16</v>
      </c>
      <c r="E95" s="52">
        <v>794</v>
      </c>
      <c r="F95" s="13"/>
      <c r="G95" s="13">
        <v>25</v>
      </c>
    </row>
    <row r="96" spans="1:7" hidden="1" x14ac:dyDescent="0.75">
      <c r="A96" s="51">
        <v>44944</v>
      </c>
      <c r="B96" s="52">
        <v>5</v>
      </c>
      <c r="C96" s="8" t="s">
        <v>1373</v>
      </c>
      <c r="D96" s="8" t="s">
        <v>16</v>
      </c>
      <c r="E96" s="52">
        <v>794</v>
      </c>
      <c r="F96" s="13"/>
      <c r="G96" s="13">
        <v>25</v>
      </c>
    </row>
    <row r="97" spans="1:7" hidden="1" x14ac:dyDescent="0.75">
      <c r="A97" s="51">
        <v>44944</v>
      </c>
      <c r="B97" s="52">
        <v>5</v>
      </c>
      <c r="C97" s="8" t="s">
        <v>1434</v>
      </c>
      <c r="D97" s="8" t="s">
        <v>16</v>
      </c>
      <c r="E97" s="52">
        <v>1316</v>
      </c>
      <c r="F97" s="13"/>
      <c r="G97" s="13">
        <v>50</v>
      </c>
    </row>
    <row r="98" spans="1:7" hidden="1" x14ac:dyDescent="0.75">
      <c r="A98" s="51">
        <v>44945</v>
      </c>
      <c r="B98" s="52">
        <v>5</v>
      </c>
      <c r="C98" s="8" t="s">
        <v>1393</v>
      </c>
      <c r="D98" s="8" t="s">
        <v>16</v>
      </c>
      <c r="E98" s="52">
        <v>788</v>
      </c>
      <c r="F98" s="13"/>
      <c r="G98" s="13">
        <v>200</v>
      </c>
    </row>
    <row r="99" spans="1:7" hidden="1" x14ac:dyDescent="0.75">
      <c r="A99" s="51">
        <v>44945</v>
      </c>
      <c r="B99" s="52">
        <v>5</v>
      </c>
      <c r="C99" s="8" t="s">
        <v>1435</v>
      </c>
      <c r="D99" s="8" t="s">
        <v>16</v>
      </c>
      <c r="E99" s="52">
        <v>1283</v>
      </c>
      <c r="F99" s="13"/>
      <c r="G99" s="13">
        <v>3.99</v>
      </c>
    </row>
    <row r="100" spans="1:7" hidden="1" x14ac:dyDescent="0.75">
      <c r="A100" s="51">
        <v>44946</v>
      </c>
      <c r="B100" s="52">
        <v>5</v>
      </c>
      <c r="C100" s="8" t="s">
        <v>1393</v>
      </c>
      <c r="D100" s="8" t="s">
        <v>16</v>
      </c>
      <c r="E100" s="52">
        <v>788</v>
      </c>
      <c r="F100" s="13"/>
      <c r="G100" s="13">
        <v>200</v>
      </c>
    </row>
    <row r="101" spans="1:7" hidden="1" x14ac:dyDescent="0.75">
      <c r="A101" s="51">
        <v>44946</v>
      </c>
      <c r="B101" s="52">
        <v>5</v>
      </c>
      <c r="C101" s="8" t="s">
        <v>1436</v>
      </c>
      <c r="D101" s="8" t="s">
        <v>16</v>
      </c>
      <c r="E101" s="52">
        <v>794</v>
      </c>
      <c r="F101" s="13"/>
      <c r="G101" s="13">
        <v>16</v>
      </c>
    </row>
    <row r="102" spans="1:7" hidden="1" x14ac:dyDescent="0.75">
      <c r="A102" s="51">
        <v>44946</v>
      </c>
      <c r="B102" s="52">
        <v>5</v>
      </c>
      <c r="C102" s="8" t="s">
        <v>1437</v>
      </c>
      <c r="D102" s="8" t="s">
        <v>16</v>
      </c>
      <c r="E102" s="52">
        <v>788</v>
      </c>
      <c r="F102" s="13"/>
      <c r="G102" s="13">
        <v>30</v>
      </c>
    </row>
    <row r="103" spans="1:7" hidden="1" x14ac:dyDescent="0.75">
      <c r="A103" s="51">
        <v>44946</v>
      </c>
      <c r="B103" s="52">
        <v>5</v>
      </c>
      <c r="C103" s="8" t="s">
        <v>1385</v>
      </c>
      <c r="D103" s="8" t="s">
        <v>16</v>
      </c>
      <c r="E103" s="52">
        <v>788</v>
      </c>
      <c r="F103" s="13"/>
      <c r="G103" s="13">
        <v>20</v>
      </c>
    </row>
    <row r="104" spans="1:7" hidden="1" x14ac:dyDescent="0.75">
      <c r="A104" s="51">
        <v>44946</v>
      </c>
      <c r="B104" s="52">
        <v>5</v>
      </c>
      <c r="C104" s="8" t="s">
        <v>1438</v>
      </c>
      <c r="D104" s="8" t="s">
        <v>16</v>
      </c>
      <c r="E104" s="52">
        <v>788</v>
      </c>
      <c r="F104" s="13"/>
      <c r="G104" s="13">
        <v>90</v>
      </c>
    </row>
    <row r="105" spans="1:7" hidden="1" x14ac:dyDescent="0.75">
      <c r="A105" s="51">
        <v>44946</v>
      </c>
      <c r="B105" s="52">
        <v>5</v>
      </c>
      <c r="C105" s="8" t="s">
        <v>1439</v>
      </c>
      <c r="D105" s="8" t="s">
        <v>16</v>
      </c>
      <c r="E105" s="52">
        <v>788</v>
      </c>
      <c r="F105" s="13"/>
      <c r="G105" s="13">
        <v>105</v>
      </c>
    </row>
    <row r="106" spans="1:7" hidden="1" x14ac:dyDescent="0.75">
      <c r="A106" s="51">
        <v>44946</v>
      </c>
      <c r="B106" s="52">
        <v>5</v>
      </c>
      <c r="C106" s="8" t="s">
        <v>1440</v>
      </c>
      <c r="D106" s="8" t="s">
        <v>16</v>
      </c>
      <c r="E106" s="52">
        <v>788</v>
      </c>
      <c r="F106" s="13"/>
      <c r="G106" s="13">
        <v>240</v>
      </c>
    </row>
    <row r="107" spans="1:7" hidden="1" x14ac:dyDescent="0.75">
      <c r="A107" s="51">
        <v>44946</v>
      </c>
      <c r="B107" s="52">
        <v>5</v>
      </c>
      <c r="C107" s="8" t="s">
        <v>1441</v>
      </c>
      <c r="D107" s="8" t="s">
        <v>16</v>
      </c>
      <c r="E107" s="52">
        <v>788</v>
      </c>
      <c r="F107" s="13"/>
      <c r="G107" s="13">
        <v>40</v>
      </c>
    </row>
    <row r="108" spans="1:7" hidden="1" x14ac:dyDescent="0.75">
      <c r="A108" s="51">
        <v>44946</v>
      </c>
      <c r="B108" s="52">
        <v>5</v>
      </c>
      <c r="C108" s="8" t="s">
        <v>1374</v>
      </c>
      <c r="D108" s="8" t="s">
        <v>16</v>
      </c>
      <c r="E108" s="52">
        <v>1283</v>
      </c>
      <c r="F108" s="13"/>
      <c r="G108" s="13">
        <v>72.55</v>
      </c>
    </row>
    <row r="109" spans="1:7" hidden="1" x14ac:dyDescent="0.75">
      <c r="A109" s="51">
        <v>44946</v>
      </c>
      <c r="B109" s="52">
        <v>5</v>
      </c>
      <c r="C109" s="8" t="s">
        <v>1442</v>
      </c>
      <c r="D109" s="8" t="s">
        <v>16</v>
      </c>
      <c r="E109" s="52">
        <v>788</v>
      </c>
      <c r="F109" s="13"/>
      <c r="G109" s="13">
        <v>24.5</v>
      </c>
    </row>
    <row r="110" spans="1:7" hidden="1" x14ac:dyDescent="0.75">
      <c r="A110" s="51">
        <v>44949</v>
      </c>
      <c r="B110" s="52">
        <v>5</v>
      </c>
      <c r="C110" s="8" t="s">
        <v>1443</v>
      </c>
      <c r="D110" s="8" t="s">
        <v>16</v>
      </c>
      <c r="E110" s="52">
        <v>788</v>
      </c>
      <c r="F110" s="13"/>
      <c r="G110" s="13">
        <v>100</v>
      </c>
    </row>
    <row r="111" spans="1:7" hidden="1" x14ac:dyDescent="0.75">
      <c r="A111" s="51">
        <v>44949</v>
      </c>
      <c r="B111" s="52">
        <v>5</v>
      </c>
      <c r="C111" s="8" t="s">
        <v>1388</v>
      </c>
      <c r="D111" s="8" t="s">
        <v>16</v>
      </c>
      <c r="E111" s="52">
        <v>1316</v>
      </c>
      <c r="F111" s="13"/>
      <c r="G111" s="13">
        <v>84</v>
      </c>
    </row>
    <row r="112" spans="1:7" hidden="1" x14ac:dyDescent="0.75">
      <c r="A112" s="51">
        <v>44949</v>
      </c>
      <c r="B112" s="52">
        <v>5</v>
      </c>
      <c r="C112" s="8" t="s">
        <v>1444</v>
      </c>
      <c r="D112" s="8" t="s">
        <v>16</v>
      </c>
      <c r="E112" s="52">
        <v>788</v>
      </c>
      <c r="F112" s="13"/>
      <c r="G112" s="13">
        <v>20</v>
      </c>
    </row>
    <row r="113" spans="1:7" hidden="1" x14ac:dyDescent="0.75">
      <c r="A113" s="51">
        <v>44949</v>
      </c>
      <c r="B113" s="52">
        <v>5</v>
      </c>
      <c r="C113" s="8" t="s">
        <v>1445</v>
      </c>
      <c r="D113" s="8" t="s">
        <v>16</v>
      </c>
      <c r="E113" s="52">
        <v>788</v>
      </c>
      <c r="F113" s="13"/>
      <c r="G113" s="13">
        <v>55</v>
      </c>
    </row>
    <row r="114" spans="1:7" hidden="1" x14ac:dyDescent="0.75">
      <c r="A114" s="51">
        <v>44949</v>
      </c>
      <c r="B114" s="52">
        <v>5</v>
      </c>
      <c r="C114" s="8" t="s">
        <v>1446</v>
      </c>
      <c r="D114" s="8" t="s">
        <v>16</v>
      </c>
      <c r="E114" s="52">
        <v>788</v>
      </c>
      <c r="F114" s="13"/>
      <c r="G114" s="13">
        <v>29</v>
      </c>
    </row>
    <row r="115" spans="1:7" hidden="1" x14ac:dyDescent="0.75">
      <c r="A115" s="51">
        <v>44949</v>
      </c>
      <c r="B115" s="52">
        <v>5</v>
      </c>
      <c r="C115" s="8" t="s">
        <v>1447</v>
      </c>
      <c r="D115" s="8" t="s">
        <v>16</v>
      </c>
      <c r="E115" s="52">
        <v>788</v>
      </c>
      <c r="F115" s="13"/>
      <c r="G115" s="13">
        <v>172</v>
      </c>
    </row>
    <row r="116" spans="1:7" hidden="1" x14ac:dyDescent="0.75">
      <c r="A116" s="51">
        <v>44949</v>
      </c>
      <c r="B116" s="52">
        <v>5</v>
      </c>
      <c r="C116" s="8" t="s">
        <v>1393</v>
      </c>
      <c r="D116" s="8" t="s">
        <v>16</v>
      </c>
      <c r="E116" s="52">
        <v>788</v>
      </c>
      <c r="F116" s="13"/>
      <c r="G116" s="13">
        <v>200</v>
      </c>
    </row>
    <row r="117" spans="1:7" hidden="1" x14ac:dyDescent="0.75">
      <c r="A117" s="51">
        <v>44950</v>
      </c>
      <c r="B117" s="52">
        <v>5</v>
      </c>
      <c r="C117" s="8" t="s">
        <v>1448</v>
      </c>
      <c r="D117" s="8" t="s">
        <v>16</v>
      </c>
      <c r="E117" s="52">
        <v>788</v>
      </c>
      <c r="F117" s="13"/>
      <c r="G117" s="13">
        <v>40</v>
      </c>
    </row>
    <row r="118" spans="1:7" hidden="1" x14ac:dyDescent="0.75">
      <c r="A118" s="51">
        <v>44950</v>
      </c>
      <c r="B118" s="52">
        <v>5</v>
      </c>
      <c r="C118" s="8" t="s">
        <v>1399</v>
      </c>
      <c r="D118" s="8" t="s">
        <v>16</v>
      </c>
      <c r="E118" s="52">
        <v>1283</v>
      </c>
      <c r="F118" s="13"/>
      <c r="G118" s="13">
        <v>51.36</v>
      </c>
    </row>
    <row r="119" spans="1:7" hidden="1" x14ac:dyDescent="0.75">
      <c r="A119" s="51">
        <v>44950</v>
      </c>
      <c r="B119" s="52">
        <v>5</v>
      </c>
      <c r="C119" s="8" t="s">
        <v>1378</v>
      </c>
      <c r="D119" s="8" t="s">
        <v>16</v>
      </c>
      <c r="E119" s="52">
        <v>360</v>
      </c>
      <c r="F119" s="13"/>
      <c r="G119" s="13">
        <v>34</v>
      </c>
    </row>
    <row r="120" spans="1:7" hidden="1" x14ac:dyDescent="0.75">
      <c r="A120" s="51">
        <v>44950</v>
      </c>
      <c r="B120" s="52">
        <v>5</v>
      </c>
      <c r="C120" s="8" t="s">
        <v>1393</v>
      </c>
      <c r="D120" s="8" t="s">
        <v>16</v>
      </c>
      <c r="E120" s="52">
        <v>788</v>
      </c>
      <c r="F120" s="13"/>
      <c r="G120" s="13">
        <v>150</v>
      </c>
    </row>
    <row r="121" spans="1:7" hidden="1" x14ac:dyDescent="0.75">
      <c r="A121" s="51">
        <v>44950</v>
      </c>
      <c r="B121" s="52">
        <v>5</v>
      </c>
      <c r="C121" s="8" t="s">
        <v>1449</v>
      </c>
      <c r="D121" s="8" t="s">
        <v>16</v>
      </c>
      <c r="E121" s="52">
        <v>788</v>
      </c>
      <c r="F121" s="13"/>
      <c r="G121" s="13">
        <v>76</v>
      </c>
    </row>
    <row r="122" spans="1:7" hidden="1" x14ac:dyDescent="0.75">
      <c r="A122" s="51">
        <v>44951</v>
      </c>
      <c r="B122" s="52">
        <v>5</v>
      </c>
      <c r="C122" s="8" t="s">
        <v>1450</v>
      </c>
      <c r="D122" s="8" t="s">
        <v>16</v>
      </c>
      <c r="E122" s="52">
        <v>788</v>
      </c>
      <c r="F122" s="13"/>
      <c r="G122" s="13">
        <v>22</v>
      </c>
    </row>
    <row r="123" spans="1:7" hidden="1" x14ac:dyDescent="0.75">
      <c r="A123" s="51">
        <v>44951</v>
      </c>
      <c r="B123" s="52">
        <v>5</v>
      </c>
      <c r="C123" s="8" t="s">
        <v>1374</v>
      </c>
      <c r="D123" s="8" t="s">
        <v>16</v>
      </c>
      <c r="E123" s="52">
        <v>1283</v>
      </c>
      <c r="F123" s="13"/>
      <c r="G123" s="13">
        <v>26</v>
      </c>
    </row>
    <row r="124" spans="1:7" hidden="1" x14ac:dyDescent="0.75">
      <c r="A124" s="51">
        <v>44951</v>
      </c>
      <c r="B124" s="52">
        <v>5</v>
      </c>
      <c r="C124" s="8" t="s">
        <v>1451</v>
      </c>
      <c r="D124" s="8" t="s">
        <v>16</v>
      </c>
      <c r="E124" s="52">
        <v>788</v>
      </c>
      <c r="F124" s="13"/>
      <c r="G124" s="13">
        <v>20</v>
      </c>
    </row>
    <row r="125" spans="1:7" hidden="1" x14ac:dyDescent="0.75">
      <c r="A125" s="51">
        <v>44951</v>
      </c>
      <c r="B125" s="52">
        <v>5</v>
      </c>
      <c r="C125" s="8" t="s">
        <v>1452</v>
      </c>
      <c r="D125" s="8" t="s">
        <v>16</v>
      </c>
      <c r="E125" s="52">
        <v>560</v>
      </c>
      <c r="F125" s="13"/>
      <c r="G125" s="13">
        <v>52</v>
      </c>
    </row>
    <row r="126" spans="1:7" hidden="1" x14ac:dyDescent="0.75">
      <c r="A126" s="51">
        <v>44953</v>
      </c>
      <c r="B126" s="52">
        <v>5</v>
      </c>
      <c r="C126" s="8" t="s">
        <v>1453</v>
      </c>
      <c r="D126" s="8" t="s">
        <v>16</v>
      </c>
      <c r="E126" s="52">
        <v>1283</v>
      </c>
      <c r="F126" s="13"/>
      <c r="G126" s="13">
        <v>52</v>
      </c>
    </row>
    <row r="127" spans="1:7" hidden="1" x14ac:dyDescent="0.75">
      <c r="A127" s="51">
        <v>44953</v>
      </c>
      <c r="B127" s="52">
        <v>5</v>
      </c>
      <c r="C127" s="8" t="s">
        <v>1454</v>
      </c>
      <c r="D127" s="8" t="s">
        <v>16</v>
      </c>
      <c r="E127" s="52">
        <v>788</v>
      </c>
      <c r="F127" s="13"/>
      <c r="G127" s="13">
        <v>170</v>
      </c>
    </row>
    <row r="128" spans="1:7" hidden="1" x14ac:dyDescent="0.75">
      <c r="A128" s="51">
        <v>44953</v>
      </c>
      <c r="B128" s="52">
        <v>5</v>
      </c>
      <c r="C128" s="8" t="s">
        <v>1455</v>
      </c>
      <c r="D128" s="8" t="s">
        <v>16</v>
      </c>
      <c r="E128" s="52">
        <v>788</v>
      </c>
      <c r="F128" s="13"/>
      <c r="G128" s="13">
        <v>120</v>
      </c>
    </row>
    <row r="129" spans="1:7" hidden="1" x14ac:dyDescent="0.75">
      <c r="A129" s="51">
        <v>44953</v>
      </c>
      <c r="B129" s="52">
        <v>5</v>
      </c>
      <c r="C129" s="8" t="s">
        <v>1456</v>
      </c>
      <c r="D129" s="8" t="s">
        <v>16</v>
      </c>
      <c r="E129" s="52">
        <v>788</v>
      </c>
      <c r="F129" s="13"/>
      <c r="G129" s="13">
        <v>37</v>
      </c>
    </row>
    <row r="130" spans="1:7" hidden="1" x14ac:dyDescent="0.75">
      <c r="A130" s="51">
        <v>44953</v>
      </c>
      <c r="B130" s="52">
        <v>5</v>
      </c>
      <c r="C130" s="8" t="s">
        <v>1385</v>
      </c>
      <c r="D130" s="8" t="s">
        <v>16</v>
      </c>
      <c r="E130" s="52">
        <v>788</v>
      </c>
      <c r="F130" s="13"/>
      <c r="G130" s="13">
        <v>20</v>
      </c>
    </row>
    <row r="131" spans="1:7" hidden="1" x14ac:dyDescent="0.75">
      <c r="A131" s="51">
        <v>44956</v>
      </c>
      <c r="B131" s="52">
        <v>5</v>
      </c>
      <c r="C131" s="8" t="s">
        <v>1446</v>
      </c>
      <c r="D131" s="8" t="s">
        <v>16</v>
      </c>
      <c r="E131" s="52">
        <v>788</v>
      </c>
      <c r="F131" s="13"/>
      <c r="G131" s="13">
        <v>35</v>
      </c>
    </row>
    <row r="132" spans="1:7" hidden="1" x14ac:dyDescent="0.75">
      <c r="A132" s="51">
        <v>44956</v>
      </c>
      <c r="B132" s="52">
        <v>5</v>
      </c>
      <c r="C132" s="8" t="s">
        <v>1457</v>
      </c>
      <c r="D132" s="8" t="s">
        <v>16</v>
      </c>
      <c r="E132" s="52">
        <v>788</v>
      </c>
      <c r="F132" s="13"/>
      <c r="G132" s="13">
        <v>30</v>
      </c>
    </row>
    <row r="133" spans="1:7" hidden="1" x14ac:dyDescent="0.75">
      <c r="A133" s="51">
        <v>44956</v>
      </c>
      <c r="B133" s="52">
        <v>5</v>
      </c>
      <c r="C133" s="8" t="s">
        <v>1393</v>
      </c>
      <c r="D133" s="8" t="s">
        <v>16</v>
      </c>
      <c r="E133" s="52">
        <v>788</v>
      </c>
      <c r="F133" s="13"/>
      <c r="G133" s="13">
        <v>200</v>
      </c>
    </row>
    <row r="134" spans="1:7" hidden="1" x14ac:dyDescent="0.75">
      <c r="A134" s="51">
        <v>44956</v>
      </c>
      <c r="B134" s="52">
        <v>5</v>
      </c>
      <c r="C134" s="8" t="s">
        <v>1368</v>
      </c>
      <c r="D134" s="8" t="s">
        <v>16</v>
      </c>
      <c r="E134" s="52">
        <v>788</v>
      </c>
      <c r="F134" s="13"/>
      <c r="G134" s="13">
        <v>210</v>
      </c>
    </row>
    <row r="135" spans="1:7" hidden="1" x14ac:dyDescent="0.75">
      <c r="A135" s="51">
        <v>44957</v>
      </c>
      <c r="B135" s="52">
        <v>5</v>
      </c>
      <c r="C135" s="8" t="s">
        <v>1458</v>
      </c>
      <c r="D135" s="8" t="s">
        <v>16</v>
      </c>
      <c r="E135" s="52">
        <v>1789</v>
      </c>
      <c r="F135" s="13">
        <v>297</v>
      </c>
      <c r="G135" s="13"/>
    </row>
    <row r="136" spans="1:7" hidden="1" x14ac:dyDescent="0.75">
      <c r="A136" s="51">
        <v>44957</v>
      </c>
      <c r="B136" s="52">
        <v>5</v>
      </c>
      <c r="C136" s="8" t="s">
        <v>1459</v>
      </c>
      <c r="D136" s="8" t="s">
        <v>16</v>
      </c>
      <c r="E136" s="52">
        <v>1789</v>
      </c>
      <c r="F136" s="13">
        <v>350.5</v>
      </c>
      <c r="G136" s="13"/>
    </row>
    <row r="137" spans="1:7" hidden="1" x14ac:dyDescent="0.75">
      <c r="A137" s="51">
        <v>44957</v>
      </c>
      <c r="B137" s="52">
        <v>5</v>
      </c>
      <c r="C137" s="8" t="s">
        <v>1460</v>
      </c>
      <c r="D137" s="8" t="s">
        <v>16</v>
      </c>
      <c r="E137" s="52">
        <v>1789</v>
      </c>
      <c r="F137" s="13">
        <v>325</v>
      </c>
      <c r="G137" s="13"/>
    </row>
    <row r="138" spans="1:7" hidden="1" x14ac:dyDescent="0.75">
      <c r="A138" s="51">
        <v>44957</v>
      </c>
      <c r="B138" s="52">
        <v>5</v>
      </c>
      <c r="C138" s="8" t="s">
        <v>1461</v>
      </c>
      <c r="D138" s="8" t="s">
        <v>16</v>
      </c>
      <c r="E138" s="52">
        <v>1789</v>
      </c>
      <c r="F138" s="13">
        <v>325</v>
      </c>
      <c r="G138" s="13"/>
    </row>
    <row r="139" spans="1:7" hidden="1" x14ac:dyDescent="0.75">
      <c r="A139" s="51">
        <v>44957</v>
      </c>
      <c r="B139" s="52">
        <v>5</v>
      </c>
      <c r="C139" s="8" t="s">
        <v>1462</v>
      </c>
      <c r="D139" s="8" t="s">
        <v>16</v>
      </c>
      <c r="E139" s="52">
        <v>1789</v>
      </c>
      <c r="F139" s="13">
        <v>325</v>
      </c>
      <c r="G139" s="13"/>
    </row>
    <row r="140" spans="1:7" hidden="1" x14ac:dyDescent="0.75">
      <c r="A140" s="51">
        <v>44957</v>
      </c>
      <c r="B140" s="52">
        <v>5</v>
      </c>
      <c r="C140" s="8" t="s">
        <v>1463</v>
      </c>
      <c r="D140" s="8" t="s">
        <v>16</v>
      </c>
      <c r="E140" s="52">
        <v>1789</v>
      </c>
      <c r="F140" s="13">
        <v>384.5</v>
      </c>
      <c r="G140" s="13"/>
    </row>
    <row r="141" spans="1:7" hidden="1" x14ac:dyDescent="0.75">
      <c r="A141" s="51">
        <v>44957</v>
      </c>
      <c r="B141" s="52">
        <v>5</v>
      </c>
      <c r="C141" s="8" t="s">
        <v>1464</v>
      </c>
      <c r="D141" s="8" t="s">
        <v>16</v>
      </c>
      <c r="E141" s="52">
        <v>1789</v>
      </c>
      <c r="F141" s="13">
        <v>384.5</v>
      </c>
      <c r="G141" s="13"/>
    </row>
    <row r="142" spans="1:7" hidden="1" x14ac:dyDescent="0.75">
      <c r="A142" s="51">
        <v>44957</v>
      </c>
      <c r="B142" s="52">
        <v>5</v>
      </c>
      <c r="C142" s="8" t="s">
        <v>1465</v>
      </c>
      <c r="D142" s="8" t="s">
        <v>16</v>
      </c>
      <c r="E142" s="52">
        <v>1789</v>
      </c>
      <c r="F142" s="13">
        <v>384.5</v>
      </c>
      <c r="G142" s="13"/>
    </row>
    <row r="143" spans="1:7" hidden="1" x14ac:dyDescent="0.75">
      <c r="A143" s="51">
        <v>44957</v>
      </c>
      <c r="B143" s="52">
        <v>5</v>
      </c>
      <c r="C143" s="8" t="s">
        <v>1466</v>
      </c>
      <c r="D143" s="8" t="s">
        <v>16</v>
      </c>
      <c r="E143" s="52">
        <v>1789</v>
      </c>
      <c r="F143" s="13">
        <v>384.5</v>
      </c>
      <c r="G143" s="13"/>
    </row>
    <row r="144" spans="1:7" hidden="1" x14ac:dyDescent="0.75">
      <c r="A144" s="51">
        <v>44957</v>
      </c>
      <c r="B144" s="52">
        <v>5</v>
      </c>
      <c r="C144" s="8" t="s">
        <v>1467</v>
      </c>
      <c r="D144" s="8" t="s">
        <v>16</v>
      </c>
      <c r="E144" s="52">
        <v>1788</v>
      </c>
      <c r="F144" s="13">
        <v>306</v>
      </c>
      <c r="G144" s="13"/>
    </row>
    <row r="145" spans="1:7" hidden="1" x14ac:dyDescent="0.75">
      <c r="A145" s="51">
        <v>44957</v>
      </c>
      <c r="B145" s="52">
        <v>5</v>
      </c>
      <c r="C145" s="8" t="s">
        <v>1468</v>
      </c>
      <c r="D145" s="8" t="s">
        <v>16</v>
      </c>
      <c r="E145" s="52">
        <v>1788</v>
      </c>
      <c r="F145" s="13">
        <v>350.5</v>
      </c>
      <c r="G145" s="13"/>
    </row>
    <row r="146" spans="1:7" hidden="1" x14ac:dyDescent="0.75">
      <c r="A146" s="51">
        <v>44957</v>
      </c>
      <c r="B146" s="52">
        <v>5</v>
      </c>
      <c r="C146" s="8" t="s">
        <v>1469</v>
      </c>
      <c r="D146" s="8" t="s">
        <v>16</v>
      </c>
      <c r="E146" s="52">
        <v>1788</v>
      </c>
      <c r="F146" s="13">
        <v>325</v>
      </c>
      <c r="G146" s="13"/>
    </row>
    <row r="147" spans="1:7" hidden="1" x14ac:dyDescent="0.75">
      <c r="A147" s="51">
        <v>44957</v>
      </c>
      <c r="B147" s="52">
        <v>5</v>
      </c>
      <c r="C147" s="8" t="s">
        <v>1470</v>
      </c>
      <c r="D147" s="8" t="s">
        <v>16</v>
      </c>
      <c r="E147" s="52">
        <v>1788</v>
      </c>
      <c r="F147" s="13">
        <v>325</v>
      </c>
      <c r="G147" s="13"/>
    </row>
    <row r="148" spans="1:7" hidden="1" x14ac:dyDescent="0.75">
      <c r="A148" s="51">
        <v>44957</v>
      </c>
      <c r="B148" s="52">
        <v>5</v>
      </c>
      <c r="C148" s="8" t="s">
        <v>1471</v>
      </c>
      <c r="D148" s="8" t="s">
        <v>16</v>
      </c>
      <c r="E148" s="52">
        <v>1788</v>
      </c>
      <c r="F148" s="13">
        <v>325</v>
      </c>
      <c r="G148" s="13"/>
    </row>
    <row r="149" spans="1:7" hidden="1" x14ac:dyDescent="0.75">
      <c r="A149" s="51">
        <v>44957</v>
      </c>
      <c r="B149" s="52">
        <v>5</v>
      </c>
      <c r="C149" s="8" t="s">
        <v>1472</v>
      </c>
      <c r="D149" s="8" t="s">
        <v>16</v>
      </c>
      <c r="E149" s="52">
        <v>1788</v>
      </c>
      <c r="F149" s="13">
        <v>384.5</v>
      </c>
      <c r="G149" s="13"/>
    </row>
    <row r="150" spans="1:7" hidden="1" x14ac:dyDescent="0.75">
      <c r="A150" s="51">
        <v>44957</v>
      </c>
      <c r="B150" s="52">
        <v>5</v>
      </c>
      <c r="C150" s="8" t="s">
        <v>1473</v>
      </c>
      <c r="D150" s="8" t="s">
        <v>16</v>
      </c>
      <c r="E150" s="52">
        <v>1788</v>
      </c>
      <c r="F150" s="13">
        <v>384.5</v>
      </c>
      <c r="G150" s="13"/>
    </row>
    <row r="151" spans="1:7" hidden="1" x14ac:dyDescent="0.75">
      <c r="A151" s="51">
        <v>44957</v>
      </c>
      <c r="B151" s="52">
        <v>5</v>
      </c>
      <c r="C151" s="8" t="s">
        <v>1474</v>
      </c>
      <c r="D151" s="8" t="s">
        <v>16</v>
      </c>
      <c r="E151" s="52">
        <v>1788</v>
      </c>
      <c r="F151" s="13">
        <v>384.5</v>
      </c>
      <c r="G151" s="13"/>
    </row>
    <row r="152" spans="1:7" hidden="1" x14ac:dyDescent="0.75">
      <c r="A152" s="51">
        <v>44957</v>
      </c>
      <c r="B152" s="52">
        <v>5</v>
      </c>
      <c r="C152" s="8" t="s">
        <v>1475</v>
      </c>
      <c r="D152" s="8" t="s">
        <v>16</v>
      </c>
      <c r="E152" s="52">
        <v>1788</v>
      </c>
      <c r="F152" s="13">
        <v>384.5</v>
      </c>
      <c r="G152" s="13"/>
    </row>
    <row r="153" spans="1:7" hidden="1" x14ac:dyDescent="0.75">
      <c r="A153" s="51">
        <v>44957</v>
      </c>
      <c r="B153" s="52">
        <v>5</v>
      </c>
      <c r="C153" s="8" t="s">
        <v>1453</v>
      </c>
      <c r="D153" s="8" t="s">
        <v>16</v>
      </c>
      <c r="E153" s="52">
        <v>1283</v>
      </c>
      <c r="F153" s="13"/>
      <c r="G153" s="13">
        <v>44.4</v>
      </c>
    </row>
    <row r="154" spans="1:7" hidden="1" x14ac:dyDescent="0.75">
      <c r="A154" s="51">
        <v>44957</v>
      </c>
      <c r="B154" s="52">
        <v>5</v>
      </c>
      <c r="C154" s="8" t="s">
        <v>1368</v>
      </c>
      <c r="D154" s="8" t="s">
        <v>16</v>
      </c>
      <c r="E154" s="52">
        <v>788</v>
      </c>
      <c r="F154" s="13"/>
      <c r="G154" s="13">
        <v>102</v>
      </c>
    </row>
    <row r="155" spans="1:7" hidden="1" x14ac:dyDescent="0.75">
      <c r="A155" s="51">
        <v>44957</v>
      </c>
      <c r="B155" s="52">
        <v>5</v>
      </c>
      <c r="C155" s="8" t="s">
        <v>1476</v>
      </c>
      <c r="D155" s="8" t="s">
        <v>16</v>
      </c>
      <c r="E155" s="52">
        <v>788</v>
      </c>
      <c r="F155" s="13"/>
      <c r="G155" s="13">
        <v>185</v>
      </c>
    </row>
    <row r="156" spans="1:7" hidden="1" x14ac:dyDescent="0.75">
      <c r="A156" s="51">
        <v>44957</v>
      </c>
      <c r="B156" s="52">
        <v>5</v>
      </c>
      <c r="C156" s="8" t="s">
        <v>1477</v>
      </c>
      <c r="D156" s="8" t="s">
        <v>16</v>
      </c>
      <c r="E156" s="52">
        <v>788</v>
      </c>
      <c r="F156" s="13"/>
      <c r="G156" s="13">
        <v>240</v>
      </c>
    </row>
    <row r="157" spans="1:7" hidden="1" x14ac:dyDescent="0.75">
      <c r="A157" s="51">
        <v>44957</v>
      </c>
      <c r="B157" s="52">
        <v>5</v>
      </c>
      <c r="C157" s="8" t="s">
        <v>1478</v>
      </c>
      <c r="D157" s="8" t="s">
        <v>16</v>
      </c>
      <c r="E157" s="52">
        <v>788</v>
      </c>
      <c r="F157" s="13"/>
      <c r="G157" s="13">
        <v>50</v>
      </c>
    </row>
    <row r="158" spans="1:7" hidden="1" x14ac:dyDescent="0.75">
      <c r="A158" s="51">
        <v>44957</v>
      </c>
      <c r="B158" s="52">
        <v>5</v>
      </c>
      <c r="C158" s="8" t="s">
        <v>1373</v>
      </c>
      <c r="D158" s="8" t="s">
        <v>16</v>
      </c>
      <c r="E158" s="52">
        <v>794</v>
      </c>
      <c r="F158" s="13"/>
      <c r="G158" s="13">
        <v>15</v>
      </c>
    </row>
    <row r="159" spans="1:7" hidden="1" x14ac:dyDescent="0.75">
      <c r="A159" s="51">
        <v>44957</v>
      </c>
      <c r="B159" s="52">
        <v>5</v>
      </c>
      <c r="C159" s="8" t="s">
        <v>1479</v>
      </c>
      <c r="D159" s="8" t="s">
        <v>16</v>
      </c>
      <c r="E159" s="52">
        <v>794</v>
      </c>
      <c r="F159" s="13"/>
      <c r="G159" s="13">
        <v>30</v>
      </c>
    </row>
    <row r="160" spans="1:7" hidden="1" x14ac:dyDescent="0.75">
      <c r="A160" s="51">
        <v>44957</v>
      </c>
      <c r="B160" s="52">
        <v>5</v>
      </c>
      <c r="C160" s="8" t="s">
        <v>1380</v>
      </c>
      <c r="D160" s="8" t="s">
        <v>16</v>
      </c>
      <c r="E160" s="52">
        <v>1283</v>
      </c>
      <c r="F160" s="13"/>
      <c r="G160" s="13">
        <v>11.1</v>
      </c>
    </row>
    <row r="161" spans="1:7" hidden="1" x14ac:dyDescent="0.75">
      <c r="A161" s="51">
        <v>44957</v>
      </c>
      <c r="B161" s="52">
        <v>5</v>
      </c>
      <c r="C161" s="8" t="s">
        <v>1380</v>
      </c>
      <c r="D161" s="8" t="s">
        <v>16</v>
      </c>
      <c r="E161" s="52">
        <v>1283</v>
      </c>
      <c r="F161" s="13"/>
      <c r="G161" s="13">
        <v>8</v>
      </c>
    </row>
    <row r="162" spans="1:7" hidden="1" x14ac:dyDescent="0.75">
      <c r="A162" s="51">
        <v>44957</v>
      </c>
      <c r="B162" s="52">
        <v>5</v>
      </c>
      <c r="C162" s="8" t="s">
        <v>1380</v>
      </c>
      <c r="D162" s="8" t="s">
        <v>16</v>
      </c>
      <c r="E162" s="52">
        <v>1283</v>
      </c>
      <c r="F162" s="13"/>
      <c r="G162" s="13">
        <v>3.59</v>
      </c>
    </row>
    <row r="163" spans="1:7" hidden="1" x14ac:dyDescent="0.75">
      <c r="A163" s="51">
        <v>44957</v>
      </c>
      <c r="B163" s="52">
        <v>5</v>
      </c>
      <c r="C163" s="8" t="s">
        <v>1380</v>
      </c>
      <c r="D163" s="8" t="s">
        <v>16</v>
      </c>
      <c r="E163" s="52">
        <v>1283</v>
      </c>
      <c r="F163" s="13"/>
      <c r="G163" s="13">
        <v>8</v>
      </c>
    </row>
    <row r="164" spans="1:7" hidden="1" x14ac:dyDescent="0.75">
      <c r="A164" s="51">
        <v>44957</v>
      </c>
      <c r="B164" s="52">
        <v>5</v>
      </c>
      <c r="C164" s="8" t="s">
        <v>1380</v>
      </c>
      <c r="D164" s="8" t="s">
        <v>16</v>
      </c>
      <c r="E164" s="52">
        <v>1283</v>
      </c>
      <c r="F164" s="13"/>
      <c r="G164" s="13">
        <v>10</v>
      </c>
    </row>
    <row r="165" spans="1:7" hidden="1" x14ac:dyDescent="0.75">
      <c r="A165" s="51">
        <v>44957</v>
      </c>
      <c r="B165" s="52">
        <v>5</v>
      </c>
      <c r="C165" s="8" t="s">
        <v>1380</v>
      </c>
      <c r="D165" s="8" t="s">
        <v>16</v>
      </c>
      <c r="E165" s="52">
        <v>1283</v>
      </c>
      <c r="F165" s="13"/>
      <c r="G165" s="13">
        <v>8</v>
      </c>
    </row>
    <row r="166" spans="1:7" hidden="1" x14ac:dyDescent="0.75">
      <c r="A166" s="51">
        <v>44957</v>
      </c>
      <c r="B166" s="52">
        <v>5</v>
      </c>
      <c r="C166" s="8" t="s">
        <v>1380</v>
      </c>
      <c r="D166" s="8" t="s">
        <v>16</v>
      </c>
      <c r="E166" s="52">
        <v>1283</v>
      </c>
      <c r="F166" s="13"/>
      <c r="G166" s="13">
        <v>14.05</v>
      </c>
    </row>
    <row r="167" spans="1:7" hidden="1" x14ac:dyDescent="0.75">
      <c r="A167" s="51">
        <v>44957</v>
      </c>
      <c r="B167" s="52">
        <v>5</v>
      </c>
      <c r="C167" s="8" t="s">
        <v>1380</v>
      </c>
      <c r="D167" s="8" t="s">
        <v>16</v>
      </c>
      <c r="E167" s="52">
        <v>1283</v>
      </c>
      <c r="F167" s="13"/>
      <c r="G167" s="13">
        <v>16.600000000000001</v>
      </c>
    </row>
    <row r="168" spans="1:7" hidden="1" x14ac:dyDescent="0.75">
      <c r="A168" s="51">
        <v>44957</v>
      </c>
      <c r="B168" s="52">
        <v>5</v>
      </c>
      <c r="C168" s="8" t="s">
        <v>1380</v>
      </c>
      <c r="D168" s="8" t="s">
        <v>16</v>
      </c>
      <c r="E168" s="52">
        <v>1283</v>
      </c>
      <c r="F168" s="13"/>
      <c r="G168" s="13">
        <v>8</v>
      </c>
    </row>
    <row r="169" spans="1:7" hidden="1" x14ac:dyDescent="0.75">
      <c r="A169" s="51">
        <v>44928</v>
      </c>
      <c r="B169" s="52">
        <v>8</v>
      </c>
      <c r="C169" s="8" t="s">
        <v>1480</v>
      </c>
      <c r="D169" s="8" t="s">
        <v>20</v>
      </c>
      <c r="E169" s="52">
        <v>1852</v>
      </c>
      <c r="F169" s="13">
        <v>2155.37</v>
      </c>
      <c r="G169" s="13"/>
    </row>
    <row r="170" spans="1:7" hidden="1" x14ac:dyDescent="0.75">
      <c r="A170" s="51">
        <v>44928</v>
      </c>
      <c r="B170" s="52">
        <v>8</v>
      </c>
      <c r="C170" s="8" t="s">
        <v>1481</v>
      </c>
      <c r="D170" s="8" t="s">
        <v>20</v>
      </c>
      <c r="E170" s="52">
        <v>1362</v>
      </c>
      <c r="F170" s="13">
        <v>158267.87</v>
      </c>
      <c r="G170" s="13"/>
    </row>
    <row r="171" spans="1:7" hidden="1" x14ac:dyDescent="0.75">
      <c r="A171" s="51">
        <v>44928</v>
      </c>
      <c r="B171" s="52">
        <v>8</v>
      </c>
      <c r="C171" s="8" t="s">
        <v>1482</v>
      </c>
      <c r="D171" s="8" t="s">
        <v>20</v>
      </c>
      <c r="E171" s="52">
        <v>806</v>
      </c>
      <c r="F171" s="13">
        <v>56.57</v>
      </c>
      <c r="G171" s="13"/>
    </row>
    <row r="172" spans="1:7" hidden="1" x14ac:dyDescent="0.75">
      <c r="A172" s="51">
        <v>44928</v>
      </c>
      <c r="B172" s="52">
        <v>8</v>
      </c>
      <c r="C172" s="8" t="s">
        <v>1483</v>
      </c>
      <c r="D172" s="8" t="s">
        <v>20</v>
      </c>
      <c r="E172" s="52">
        <v>1372</v>
      </c>
      <c r="F172" s="13"/>
      <c r="G172" s="13">
        <v>2808.27</v>
      </c>
    </row>
    <row r="173" spans="1:7" hidden="1" x14ac:dyDescent="0.75">
      <c r="A173" s="51">
        <v>44928</v>
      </c>
      <c r="B173" s="52">
        <v>8</v>
      </c>
      <c r="C173" s="8" t="s">
        <v>1484</v>
      </c>
      <c r="D173" s="8" t="s">
        <v>20</v>
      </c>
      <c r="E173" s="52">
        <v>1721</v>
      </c>
      <c r="F173" s="13"/>
      <c r="G173" s="13">
        <v>405</v>
      </c>
    </row>
    <row r="174" spans="1:7" hidden="1" x14ac:dyDescent="0.75">
      <c r="A174" s="51">
        <v>44928</v>
      </c>
      <c r="B174" s="52">
        <v>8</v>
      </c>
      <c r="C174" s="8" t="s">
        <v>1485</v>
      </c>
      <c r="D174" s="8" t="s">
        <v>20</v>
      </c>
      <c r="E174" s="52">
        <v>762</v>
      </c>
      <c r="F174" s="13"/>
      <c r="G174" s="13">
        <v>3000</v>
      </c>
    </row>
    <row r="175" spans="1:7" hidden="1" x14ac:dyDescent="0.75">
      <c r="A175" s="51">
        <v>44928</v>
      </c>
      <c r="B175" s="52">
        <v>8</v>
      </c>
      <c r="C175" s="8" t="s">
        <v>1486</v>
      </c>
      <c r="D175" s="8" t="s">
        <v>20</v>
      </c>
      <c r="E175" s="52">
        <v>1366</v>
      </c>
      <c r="F175" s="13"/>
      <c r="G175" s="13">
        <v>863.5</v>
      </c>
    </row>
    <row r="176" spans="1:7" hidden="1" x14ac:dyDescent="0.75">
      <c r="A176" s="51">
        <v>44928</v>
      </c>
      <c r="B176" s="52">
        <v>8</v>
      </c>
      <c r="C176" s="8" t="s">
        <v>1487</v>
      </c>
      <c r="D176" s="8" t="s">
        <v>20</v>
      </c>
      <c r="E176" s="52">
        <v>1366</v>
      </c>
      <c r="F176" s="13"/>
      <c r="G176" s="13">
        <v>832</v>
      </c>
    </row>
    <row r="177" spans="1:7" hidden="1" x14ac:dyDescent="0.75">
      <c r="A177" s="51">
        <v>44928</v>
      </c>
      <c r="B177" s="52">
        <v>8</v>
      </c>
      <c r="C177" s="8" t="s">
        <v>1488</v>
      </c>
      <c r="D177" s="8" t="s">
        <v>20</v>
      </c>
      <c r="E177" s="52">
        <v>1366</v>
      </c>
      <c r="F177" s="13"/>
      <c r="G177" s="13">
        <v>128</v>
      </c>
    </row>
    <row r="178" spans="1:7" hidden="1" x14ac:dyDescent="0.75">
      <c r="A178" s="51">
        <v>44928</v>
      </c>
      <c r="B178" s="52">
        <v>8</v>
      </c>
      <c r="C178" s="8" t="s">
        <v>1489</v>
      </c>
      <c r="D178" s="8" t="s">
        <v>20</v>
      </c>
      <c r="E178" s="52">
        <v>1366</v>
      </c>
      <c r="F178" s="13"/>
      <c r="G178" s="13">
        <v>384</v>
      </c>
    </row>
    <row r="179" spans="1:7" hidden="1" x14ac:dyDescent="0.75">
      <c r="A179" s="51">
        <v>44928</v>
      </c>
      <c r="B179" s="52">
        <v>8</v>
      </c>
      <c r="C179" s="8" t="s">
        <v>1490</v>
      </c>
      <c r="D179" s="8" t="s">
        <v>20</v>
      </c>
      <c r="E179" s="52">
        <v>1366</v>
      </c>
      <c r="F179" s="13"/>
      <c r="G179" s="13">
        <v>576</v>
      </c>
    </row>
    <row r="180" spans="1:7" hidden="1" x14ac:dyDescent="0.75">
      <c r="A180" s="51">
        <v>44928</v>
      </c>
      <c r="B180" s="52">
        <v>8</v>
      </c>
      <c r="C180" s="8" t="s">
        <v>1491</v>
      </c>
      <c r="D180" s="8" t="s">
        <v>20</v>
      </c>
      <c r="E180" s="52">
        <v>1366</v>
      </c>
      <c r="F180" s="13"/>
      <c r="G180" s="13">
        <v>1200</v>
      </c>
    </row>
    <row r="181" spans="1:7" hidden="1" x14ac:dyDescent="0.75">
      <c r="A181" s="51">
        <v>44928</v>
      </c>
      <c r="B181" s="52">
        <v>8</v>
      </c>
      <c r="C181" s="8" t="s">
        <v>1492</v>
      </c>
      <c r="D181" s="8" t="s">
        <v>20</v>
      </c>
      <c r="E181" s="52">
        <v>1350</v>
      </c>
      <c r="F181" s="13"/>
      <c r="G181" s="13">
        <v>235</v>
      </c>
    </row>
    <row r="182" spans="1:7" hidden="1" x14ac:dyDescent="0.75">
      <c r="A182" s="51">
        <v>44928</v>
      </c>
      <c r="B182" s="52">
        <v>8</v>
      </c>
      <c r="C182" s="8" t="s">
        <v>1493</v>
      </c>
      <c r="D182" s="8" t="s">
        <v>20</v>
      </c>
      <c r="E182" s="52">
        <v>757</v>
      </c>
      <c r="F182" s="13"/>
      <c r="G182" s="13">
        <v>1049.74</v>
      </c>
    </row>
    <row r="183" spans="1:7" hidden="1" x14ac:dyDescent="0.75">
      <c r="A183" s="51">
        <v>44928</v>
      </c>
      <c r="B183" s="52">
        <v>8</v>
      </c>
      <c r="C183" s="8" t="s">
        <v>1494</v>
      </c>
      <c r="D183" s="8" t="s">
        <v>20</v>
      </c>
      <c r="E183" s="52">
        <v>1947</v>
      </c>
      <c r="F183" s="13"/>
      <c r="G183" s="13">
        <v>2199</v>
      </c>
    </row>
    <row r="184" spans="1:7" hidden="1" x14ac:dyDescent="0.75">
      <c r="A184" s="51">
        <v>44928</v>
      </c>
      <c r="B184" s="52">
        <v>8</v>
      </c>
      <c r="C184" s="8" t="s">
        <v>1495</v>
      </c>
      <c r="D184" s="8" t="s">
        <v>20</v>
      </c>
      <c r="E184" s="52">
        <v>356</v>
      </c>
      <c r="F184" s="13"/>
      <c r="G184" s="13">
        <v>139.82</v>
      </c>
    </row>
    <row r="185" spans="1:7" hidden="1" x14ac:dyDescent="0.75">
      <c r="A185" s="51">
        <v>44928</v>
      </c>
      <c r="B185" s="52">
        <v>8</v>
      </c>
      <c r="C185" s="8" t="s">
        <v>1496</v>
      </c>
      <c r="D185" s="8" t="s">
        <v>20</v>
      </c>
      <c r="E185" s="52">
        <v>1365</v>
      </c>
      <c r="F185" s="13"/>
      <c r="G185" s="13">
        <v>265</v>
      </c>
    </row>
    <row r="186" spans="1:7" hidden="1" x14ac:dyDescent="0.75">
      <c r="A186" s="51">
        <v>44928</v>
      </c>
      <c r="B186" s="52">
        <v>8</v>
      </c>
      <c r="C186" s="8" t="s">
        <v>1497</v>
      </c>
      <c r="D186" s="8" t="s">
        <v>20</v>
      </c>
      <c r="E186" s="52">
        <v>774</v>
      </c>
      <c r="F186" s="13"/>
      <c r="G186" s="13">
        <v>812</v>
      </c>
    </row>
    <row r="187" spans="1:7" hidden="1" x14ac:dyDescent="0.75">
      <c r="A187" s="51">
        <v>44928</v>
      </c>
      <c r="B187" s="52">
        <v>8</v>
      </c>
      <c r="C187" s="8" t="s">
        <v>1498</v>
      </c>
      <c r="D187" s="8" t="s">
        <v>20</v>
      </c>
      <c r="E187" s="52">
        <v>1348</v>
      </c>
      <c r="F187" s="13"/>
      <c r="G187" s="13">
        <v>330</v>
      </c>
    </row>
    <row r="188" spans="1:7" hidden="1" x14ac:dyDescent="0.75">
      <c r="A188" s="51">
        <v>44928</v>
      </c>
      <c r="B188" s="52">
        <v>8</v>
      </c>
      <c r="C188" s="8" t="s">
        <v>1499</v>
      </c>
      <c r="D188" s="8" t="s">
        <v>20</v>
      </c>
      <c r="E188" s="52">
        <v>769</v>
      </c>
      <c r="F188" s="13"/>
      <c r="G188" s="13">
        <v>11250</v>
      </c>
    </row>
    <row r="189" spans="1:7" hidden="1" x14ac:dyDescent="0.75">
      <c r="A189" s="51">
        <v>44928</v>
      </c>
      <c r="B189" s="52">
        <v>8</v>
      </c>
      <c r="C189" s="8" t="s">
        <v>1500</v>
      </c>
      <c r="D189" s="8" t="s">
        <v>20</v>
      </c>
      <c r="E189" s="52">
        <v>1721</v>
      </c>
      <c r="F189" s="13"/>
      <c r="G189" s="13">
        <v>879</v>
      </c>
    </row>
    <row r="190" spans="1:7" hidden="1" x14ac:dyDescent="0.75">
      <c r="A190" s="51">
        <v>44928</v>
      </c>
      <c r="B190" s="52">
        <v>8</v>
      </c>
      <c r="C190" s="8" t="s">
        <v>1501</v>
      </c>
      <c r="D190" s="8" t="s">
        <v>20</v>
      </c>
      <c r="E190" s="52">
        <v>1721</v>
      </c>
      <c r="F190" s="13"/>
      <c r="G190" s="13">
        <v>431</v>
      </c>
    </row>
    <row r="191" spans="1:7" hidden="1" x14ac:dyDescent="0.75">
      <c r="A191" s="51">
        <v>44928</v>
      </c>
      <c r="B191" s="52">
        <v>8</v>
      </c>
      <c r="C191" s="8" t="s">
        <v>1502</v>
      </c>
      <c r="D191" s="8" t="s">
        <v>20</v>
      </c>
      <c r="E191" s="52">
        <v>1721</v>
      </c>
      <c r="F191" s="13"/>
      <c r="G191" s="13">
        <v>563.79999999999995</v>
      </c>
    </row>
    <row r="192" spans="1:7" hidden="1" x14ac:dyDescent="0.75">
      <c r="A192" s="51">
        <v>44928</v>
      </c>
      <c r="B192" s="52">
        <v>8</v>
      </c>
      <c r="C192" s="8" t="s">
        <v>1503</v>
      </c>
      <c r="D192" s="8" t="s">
        <v>20</v>
      </c>
      <c r="E192" s="52">
        <v>1721</v>
      </c>
      <c r="F192" s="13"/>
      <c r="G192" s="13">
        <v>1559</v>
      </c>
    </row>
    <row r="193" spans="1:7" hidden="1" x14ac:dyDescent="0.75">
      <c r="A193" s="51">
        <v>44928</v>
      </c>
      <c r="B193" s="52">
        <v>8</v>
      </c>
      <c r="C193" s="8" t="s">
        <v>1504</v>
      </c>
      <c r="D193" s="8" t="s">
        <v>20</v>
      </c>
      <c r="E193" s="52">
        <v>774</v>
      </c>
      <c r="F193" s="13"/>
      <c r="G193" s="13">
        <v>682.8</v>
      </c>
    </row>
    <row r="194" spans="1:7" hidden="1" x14ac:dyDescent="0.75">
      <c r="A194" s="51">
        <v>44928</v>
      </c>
      <c r="B194" s="52">
        <v>8</v>
      </c>
      <c r="C194" s="8" t="s">
        <v>1505</v>
      </c>
      <c r="D194" s="8" t="s">
        <v>20</v>
      </c>
      <c r="E194" s="52">
        <v>771</v>
      </c>
      <c r="F194" s="13"/>
      <c r="G194" s="13">
        <v>490</v>
      </c>
    </row>
    <row r="195" spans="1:7" hidden="1" x14ac:dyDescent="0.75">
      <c r="A195" s="51">
        <v>44928</v>
      </c>
      <c r="B195" s="52">
        <v>8</v>
      </c>
      <c r="C195" s="8" t="s">
        <v>1506</v>
      </c>
      <c r="D195" s="8" t="s">
        <v>20</v>
      </c>
      <c r="E195" s="52">
        <v>774</v>
      </c>
      <c r="F195" s="13"/>
      <c r="G195" s="13">
        <v>754.5</v>
      </c>
    </row>
    <row r="196" spans="1:7" hidden="1" x14ac:dyDescent="0.75">
      <c r="A196" s="51">
        <v>44928</v>
      </c>
      <c r="B196" s="52">
        <v>8</v>
      </c>
      <c r="C196" s="8" t="s">
        <v>1507</v>
      </c>
      <c r="D196" s="8" t="s">
        <v>20</v>
      </c>
      <c r="E196" s="52">
        <v>754</v>
      </c>
      <c r="F196" s="13"/>
      <c r="G196" s="13">
        <v>519.65</v>
      </c>
    </row>
    <row r="197" spans="1:7" hidden="1" x14ac:dyDescent="0.75">
      <c r="A197" s="51">
        <v>44928</v>
      </c>
      <c r="B197" s="52">
        <v>8</v>
      </c>
      <c r="C197" s="8" t="s">
        <v>1508</v>
      </c>
      <c r="D197" s="8" t="s">
        <v>20</v>
      </c>
      <c r="E197" s="52">
        <v>754</v>
      </c>
      <c r="F197" s="13"/>
      <c r="G197" s="13">
        <v>279</v>
      </c>
    </row>
    <row r="198" spans="1:7" hidden="1" x14ac:dyDescent="0.75">
      <c r="A198" s="51">
        <v>44928</v>
      </c>
      <c r="B198" s="52">
        <v>8</v>
      </c>
      <c r="C198" s="8" t="s">
        <v>1509</v>
      </c>
      <c r="D198" s="8" t="s">
        <v>20</v>
      </c>
      <c r="E198" s="52">
        <v>774</v>
      </c>
      <c r="F198" s="13"/>
      <c r="G198" s="13">
        <v>447.5</v>
      </c>
    </row>
    <row r="199" spans="1:7" hidden="1" x14ac:dyDescent="0.75">
      <c r="A199" s="51">
        <v>44928</v>
      </c>
      <c r="B199" s="52">
        <v>8</v>
      </c>
      <c r="C199" s="8" t="s">
        <v>1510</v>
      </c>
      <c r="D199" s="8" t="s">
        <v>20</v>
      </c>
      <c r="E199" s="52">
        <v>754</v>
      </c>
      <c r="F199" s="13"/>
      <c r="G199" s="13">
        <v>662</v>
      </c>
    </row>
    <row r="200" spans="1:7" hidden="1" x14ac:dyDescent="0.75">
      <c r="A200" s="51">
        <v>44928</v>
      </c>
      <c r="B200" s="52">
        <v>8</v>
      </c>
      <c r="C200" s="8" t="s">
        <v>1511</v>
      </c>
      <c r="D200" s="8" t="s">
        <v>20</v>
      </c>
      <c r="E200" s="52">
        <v>753</v>
      </c>
      <c r="F200" s="13"/>
      <c r="G200" s="13">
        <v>2219.29</v>
      </c>
    </row>
    <row r="201" spans="1:7" hidden="1" x14ac:dyDescent="0.75">
      <c r="A201" s="51">
        <v>44928</v>
      </c>
      <c r="B201" s="52">
        <v>8</v>
      </c>
      <c r="C201" s="8" t="s">
        <v>1512</v>
      </c>
      <c r="D201" s="8" t="s">
        <v>20</v>
      </c>
      <c r="E201" s="52">
        <v>1029</v>
      </c>
      <c r="F201" s="13"/>
      <c r="G201" s="13">
        <v>1868.86</v>
      </c>
    </row>
    <row r="202" spans="1:7" hidden="1" x14ac:dyDescent="0.75">
      <c r="A202" s="51">
        <v>44928</v>
      </c>
      <c r="B202" s="52">
        <v>8</v>
      </c>
      <c r="C202" s="8" t="s">
        <v>1513</v>
      </c>
      <c r="D202" s="8" t="s">
        <v>20</v>
      </c>
      <c r="E202" s="52">
        <v>769</v>
      </c>
      <c r="F202" s="13"/>
      <c r="G202" s="13">
        <v>4841</v>
      </c>
    </row>
    <row r="203" spans="1:7" hidden="1" x14ac:dyDescent="0.75">
      <c r="A203" s="51">
        <v>44928</v>
      </c>
      <c r="B203" s="52">
        <v>8</v>
      </c>
      <c r="C203" s="8" t="s">
        <v>1514</v>
      </c>
      <c r="D203" s="8" t="s">
        <v>20</v>
      </c>
      <c r="E203" s="52">
        <v>769</v>
      </c>
      <c r="F203" s="13"/>
      <c r="G203" s="13">
        <v>2400</v>
      </c>
    </row>
    <row r="204" spans="1:7" hidden="1" x14ac:dyDescent="0.75">
      <c r="A204" s="51">
        <v>44928</v>
      </c>
      <c r="B204" s="52">
        <v>8</v>
      </c>
      <c r="C204" s="8" t="s">
        <v>1515</v>
      </c>
      <c r="D204" s="8" t="s">
        <v>20</v>
      </c>
      <c r="E204" s="52">
        <v>769</v>
      </c>
      <c r="F204" s="13"/>
      <c r="G204" s="13">
        <v>18000</v>
      </c>
    </row>
    <row r="205" spans="1:7" hidden="1" x14ac:dyDescent="0.75">
      <c r="A205" s="51">
        <v>44928</v>
      </c>
      <c r="B205" s="52">
        <v>8</v>
      </c>
      <c r="C205" s="8" t="s">
        <v>1516</v>
      </c>
      <c r="D205" s="8" t="s">
        <v>20</v>
      </c>
      <c r="E205" s="52">
        <v>1365</v>
      </c>
      <c r="F205" s="13"/>
      <c r="G205" s="13">
        <v>215</v>
      </c>
    </row>
    <row r="206" spans="1:7" hidden="1" x14ac:dyDescent="0.75">
      <c r="A206" s="51">
        <v>44928</v>
      </c>
      <c r="B206" s="52">
        <v>8</v>
      </c>
      <c r="C206" s="8" t="s">
        <v>1517</v>
      </c>
      <c r="D206" s="8" t="s">
        <v>20</v>
      </c>
      <c r="E206" s="52">
        <v>1365</v>
      </c>
      <c r="F206" s="13"/>
      <c r="G206" s="13">
        <v>500</v>
      </c>
    </row>
    <row r="207" spans="1:7" hidden="1" x14ac:dyDescent="0.75">
      <c r="A207" s="51">
        <v>44928</v>
      </c>
      <c r="B207" s="52">
        <v>8</v>
      </c>
      <c r="C207" s="8" t="s">
        <v>1518</v>
      </c>
      <c r="D207" s="8" t="s">
        <v>20</v>
      </c>
      <c r="E207" s="52">
        <v>1483</v>
      </c>
      <c r="F207" s="13"/>
      <c r="G207" s="13">
        <v>600</v>
      </c>
    </row>
    <row r="208" spans="1:7" hidden="1" x14ac:dyDescent="0.75">
      <c r="A208" s="51">
        <v>44928</v>
      </c>
      <c r="B208" s="52">
        <v>8</v>
      </c>
      <c r="C208" s="8" t="s">
        <v>1519</v>
      </c>
      <c r="D208" s="8" t="s">
        <v>20</v>
      </c>
      <c r="E208" s="52">
        <v>948</v>
      </c>
      <c r="F208" s="13"/>
      <c r="G208" s="13">
        <v>3465.53</v>
      </c>
    </row>
    <row r="209" spans="1:7" hidden="1" x14ac:dyDescent="0.75">
      <c r="A209" s="51">
        <v>44928</v>
      </c>
      <c r="B209" s="52">
        <v>8</v>
      </c>
      <c r="C209" s="8" t="s">
        <v>1520</v>
      </c>
      <c r="D209" s="8" t="s">
        <v>20</v>
      </c>
      <c r="E209" s="52">
        <v>1982</v>
      </c>
      <c r="F209" s="13"/>
      <c r="G209" s="13">
        <v>648</v>
      </c>
    </row>
    <row r="210" spans="1:7" hidden="1" x14ac:dyDescent="0.75">
      <c r="A210" s="51">
        <v>44928</v>
      </c>
      <c r="B210" s="52">
        <v>8</v>
      </c>
      <c r="C210" s="8" t="s">
        <v>1521</v>
      </c>
      <c r="D210" s="8" t="s">
        <v>20</v>
      </c>
      <c r="E210" s="52">
        <v>1982</v>
      </c>
      <c r="F210" s="13"/>
      <c r="G210" s="13">
        <v>1047</v>
      </c>
    </row>
    <row r="211" spans="1:7" hidden="1" x14ac:dyDescent="0.75">
      <c r="A211" s="51">
        <v>44928</v>
      </c>
      <c r="B211" s="52">
        <v>8</v>
      </c>
      <c r="C211" s="8" t="s">
        <v>1522</v>
      </c>
      <c r="D211" s="8" t="s">
        <v>20</v>
      </c>
      <c r="E211" s="52">
        <v>1794</v>
      </c>
      <c r="F211" s="13"/>
      <c r="G211" s="13">
        <v>9808.6</v>
      </c>
    </row>
    <row r="212" spans="1:7" hidden="1" x14ac:dyDescent="0.75">
      <c r="A212" s="51">
        <v>44928</v>
      </c>
      <c r="B212" s="52">
        <v>8</v>
      </c>
      <c r="C212" s="8" t="s">
        <v>1523</v>
      </c>
      <c r="D212" s="8" t="s">
        <v>20</v>
      </c>
      <c r="E212" s="52">
        <v>1900</v>
      </c>
      <c r="F212" s="13"/>
      <c r="G212" s="13">
        <v>2460</v>
      </c>
    </row>
    <row r="213" spans="1:7" hidden="1" x14ac:dyDescent="0.75">
      <c r="A213" s="51">
        <v>44928</v>
      </c>
      <c r="B213" s="52">
        <v>8</v>
      </c>
      <c r="C213" s="8" t="s">
        <v>1524</v>
      </c>
      <c r="D213" s="8" t="s">
        <v>20</v>
      </c>
      <c r="E213" s="52">
        <v>702</v>
      </c>
      <c r="F213" s="13"/>
      <c r="G213" s="13">
        <v>1360</v>
      </c>
    </row>
    <row r="214" spans="1:7" hidden="1" x14ac:dyDescent="0.75">
      <c r="A214" s="51">
        <v>44928</v>
      </c>
      <c r="B214" s="52">
        <v>8</v>
      </c>
      <c r="C214" s="8" t="s">
        <v>1525</v>
      </c>
      <c r="D214" s="8" t="s">
        <v>20</v>
      </c>
      <c r="E214" s="52">
        <v>703</v>
      </c>
      <c r="F214" s="13"/>
      <c r="G214" s="13">
        <v>480</v>
      </c>
    </row>
    <row r="215" spans="1:7" hidden="1" x14ac:dyDescent="0.75">
      <c r="A215" s="51">
        <v>44928</v>
      </c>
      <c r="B215" s="52">
        <v>8</v>
      </c>
      <c r="C215" s="8" t="s">
        <v>1525</v>
      </c>
      <c r="D215" s="8" t="s">
        <v>20</v>
      </c>
      <c r="E215" s="52">
        <v>703</v>
      </c>
      <c r="F215" s="13"/>
      <c r="G215" s="13">
        <v>500</v>
      </c>
    </row>
    <row r="216" spans="1:7" hidden="1" x14ac:dyDescent="0.75">
      <c r="A216" s="51">
        <v>44928</v>
      </c>
      <c r="B216" s="52">
        <v>8</v>
      </c>
      <c r="C216" s="8" t="s">
        <v>1526</v>
      </c>
      <c r="D216" s="8" t="s">
        <v>20</v>
      </c>
      <c r="E216" s="52">
        <v>689</v>
      </c>
      <c r="F216" s="13"/>
      <c r="G216" s="13">
        <v>6778</v>
      </c>
    </row>
    <row r="217" spans="1:7" hidden="1" x14ac:dyDescent="0.75">
      <c r="A217" s="51">
        <v>44928</v>
      </c>
      <c r="B217" s="52">
        <v>8</v>
      </c>
      <c r="C217" s="8" t="s">
        <v>1526</v>
      </c>
      <c r="D217" s="8" t="s">
        <v>20</v>
      </c>
      <c r="E217" s="52">
        <v>689</v>
      </c>
      <c r="F217" s="13"/>
      <c r="G217" s="13">
        <v>7762.4</v>
      </c>
    </row>
    <row r="218" spans="1:7" hidden="1" x14ac:dyDescent="0.75">
      <c r="A218" s="51">
        <v>44928</v>
      </c>
      <c r="B218" s="52">
        <v>8</v>
      </c>
      <c r="C218" s="8" t="s">
        <v>1527</v>
      </c>
      <c r="D218" s="8" t="s">
        <v>20</v>
      </c>
      <c r="E218" s="52">
        <v>1474</v>
      </c>
      <c r="F218" s="13"/>
      <c r="G218" s="13">
        <v>371.69</v>
      </c>
    </row>
    <row r="219" spans="1:7" hidden="1" x14ac:dyDescent="0.75">
      <c r="A219" s="51">
        <v>44928</v>
      </c>
      <c r="B219" s="52">
        <v>8</v>
      </c>
      <c r="C219" s="8" t="s">
        <v>1527</v>
      </c>
      <c r="D219" s="8" t="s">
        <v>20</v>
      </c>
      <c r="E219" s="52">
        <v>1474</v>
      </c>
      <c r="F219" s="13"/>
      <c r="G219" s="13">
        <v>499.8</v>
      </c>
    </row>
    <row r="220" spans="1:7" hidden="1" x14ac:dyDescent="0.75">
      <c r="A220" s="51">
        <v>44928</v>
      </c>
      <c r="B220" s="52">
        <v>8</v>
      </c>
      <c r="C220" s="8" t="s">
        <v>1528</v>
      </c>
      <c r="D220" s="8" t="s">
        <v>20</v>
      </c>
      <c r="E220" s="52">
        <v>374</v>
      </c>
      <c r="F220" s="13"/>
      <c r="G220" s="13">
        <v>16</v>
      </c>
    </row>
    <row r="221" spans="1:7" hidden="1" x14ac:dyDescent="0.75">
      <c r="A221" s="51">
        <v>44928</v>
      </c>
      <c r="B221" s="52">
        <v>8</v>
      </c>
      <c r="C221" s="8" t="s">
        <v>1527</v>
      </c>
      <c r="D221" s="8" t="s">
        <v>20</v>
      </c>
      <c r="E221" s="52">
        <v>1474</v>
      </c>
      <c r="F221" s="13"/>
      <c r="G221" s="13">
        <v>2949.62</v>
      </c>
    </row>
    <row r="222" spans="1:7" hidden="1" x14ac:dyDescent="0.75">
      <c r="A222" s="51">
        <v>44928</v>
      </c>
      <c r="B222" s="52">
        <v>8</v>
      </c>
      <c r="C222" s="8" t="s">
        <v>1527</v>
      </c>
      <c r="D222" s="8" t="s">
        <v>20</v>
      </c>
      <c r="E222" s="52">
        <v>1474</v>
      </c>
      <c r="F222" s="13"/>
      <c r="G222" s="13">
        <v>5045.2700000000004</v>
      </c>
    </row>
    <row r="223" spans="1:7" hidden="1" x14ac:dyDescent="0.75">
      <c r="A223" s="51">
        <v>44928</v>
      </c>
      <c r="B223" s="52">
        <v>8</v>
      </c>
      <c r="C223" s="8" t="s">
        <v>1529</v>
      </c>
      <c r="D223" s="8" t="s">
        <v>20</v>
      </c>
      <c r="E223" s="52">
        <v>1406</v>
      </c>
      <c r="F223" s="13"/>
      <c r="G223" s="13">
        <v>10936.75</v>
      </c>
    </row>
    <row r="224" spans="1:7" hidden="1" x14ac:dyDescent="0.75">
      <c r="A224" s="51">
        <v>44929</v>
      </c>
      <c r="B224" s="52">
        <v>8</v>
      </c>
      <c r="C224" s="8" t="s">
        <v>1530</v>
      </c>
      <c r="D224" s="8" t="s">
        <v>20</v>
      </c>
      <c r="E224" s="52">
        <v>1433</v>
      </c>
      <c r="F224" s="13">
        <v>1733.05</v>
      </c>
      <c r="G224" s="13"/>
    </row>
    <row r="225" spans="1:7" hidden="1" x14ac:dyDescent="0.75">
      <c r="A225" s="51">
        <v>44929</v>
      </c>
      <c r="B225" s="52">
        <v>8</v>
      </c>
      <c r="C225" s="8" t="s">
        <v>1531</v>
      </c>
      <c r="D225" s="8" t="s">
        <v>20</v>
      </c>
      <c r="E225" s="52">
        <v>754</v>
      </c>
      <c r="F225" s="13"/>
      <c r="G225" s="13">
        <v>350</v>
      </c>
    </row>
    <row r="226" spans="1:7" hidden="1" x14ac:dyDescent="0.75">
      <c r="A226" s="51">
        <v>44929</v>
      </c>
      <c r="B226" s="52">
        <v>8</v>
      </c>
      <c r="C226" s="8" t="s">
        <v>1532</v>
      </c>
      <c r="D226" s="8" t="s">
        <v>20</v>
      </c>
      <c r="E226" s="52">
        <v>1915</v>
      </c>
      <c r="F226" s="13"/>
      <c r="G226" s="13">
        <v>4050</v>
      </c>
    </row>
    <row r="227" spans="1:7" hidden="1" x14ac:dyDescent="0.75">
      <c r="A227" s="51">
        <v>44929</v>
      </c>
      <c r="B227" s="52">
        <v>8</v>
      </c>
      <c r="C227" s="8" t="s">
        <v>1533</v>
      </c>
      <c r="D227" s="8" t="s">
        <v>20</v>
      </c>
      <c r="E227" s="52">
        <v>681</v>
      </c>
      <c r="F227" s="13"/>
      <c r="G227" s="13">
        <v>250.76</v>
      </c>
    </row>
    <row r="228" spans="1:7" hidden="1" x14ac:dyDescent="0.75">
      <c r="A228" s="51">
        <v>44929</v>
      </c>
      <c r="B228" s="52">
        <v>8</v>
      </c>
      <c r="C228" s="8" t="s">
        <v>1534</v>
      </c>
      <c r="D228" s="8" t="s">
        <v>20</v>
      </c>
      <c r="E228" s="52">
        <v>1947</v>
      </c>
      <c r="F228" s="13"/>
      <c r="G228" s="13">
        <v>878</v>
      </c>
    </row>
    <row r="229" spans="1:7" hidden="1" x14ac:dyDescent="0.75">
      <c r="A229" s="51">
        <v>44929</v>
      </c>
      <c r="B229" s="52">
        <v>8</v>
      </c>
      <c r="C229" s="8" t="s">
        <v>1535</v>
      </c>
      <c r="D229" s="8" t="s">
        <v>20</v>
      </c>
      <c r="E229" s="52">
        <v>1558</v>
      </c>
      <c r="F229" s="13"/>
      <c r="G229" s="13">
        <v>842.2</v>
      </c>
    </row>
    <row r="230" spans="1:7" hidden="1" x14ac:dyDescent="0.75">
      <c r="A230" s="51">
        <v>44929</v>
      </c>
      <c r="B230" s="52">
        <v>8</v>
      </c>
      <c r="C230" s="8" t="s">
        <v>1536</v>
      </c>
      <c r="D230" s="8" t="s">
        <v>20</v>
      </c>
      <c r="E230" s="52">
        <v>690</v>
      </c>
      <c r="F230" s="13"/>
      <c r="G230" s="13">
        <v>7639.75</v>
      </c>
    </row>
    <row r="231" spans="1:7" hidden="1" x14ac:dyDescent="0.75">
      <c r="A231" s="51">
        <v>44929</v>
      </c>
      <c r="B231" s="52">
        <v>8</v>
      </c>
      <c r="C231" s="8" t="s">
        <v>1537</v>
      </c>
      <c r="D231" s="8" t="s">
        <v>20</v>
      </c>
      <c r="E231" s="52">
        <v>973</v>
      </c>
      <c r="F231" s="13"/>
      <c r="G231" s="13">
        <v>271</v>
      </c>
    </row>
    <row r="232" spans="1:7" hidden="1" x14ac:dyDescent="0.75">
      <c r="A232" s="51">
        <v>44929</v>
      </c>
      <c r="B232" s="52">
        <v>8</v>
      </c>
      <c r="C232" s="8" t="s">
        <v>1538</v>
      </c>
      <c r="D232" s="8" t="s">
        <v>20</v>
      </c>
      <c r="E232" s="52">
        <v>692</v>
      </c>
      <c r="F232" s="13"/>
      <c r="G232" s="13">
        <v>1200</v>
      </c>
    </row>
    <row r="233" spans="1:7" hidden="1" x14ac:dyDescent="0.75">
      <c r="A233" s="51">
        <v>44929</v>
      </c>
      <c r="B233" s="52">
        <v>8</v>
      </c>
      <c r="C233" s="8" t="s">
        <v>1539</v>
      </c>
      <c r="D233" s="8" t="s">
        <v>20</v>
      </c>
      <c r="E233" s="52">
        <v>1912</v>
      </c>
      <c r="F233" s="13"/>
      <c r="G233" s="13">
        <v>260</v>
      </c>
    </row>
    <row r="234" spans="1:7" hidden="1" x14ac:dyDescent="0.75">
      <c r="A234" s="51">
        <v>44930</v>
      </c>
      <c r="B234" s="52">
        <v>8</v>
      </c>
      <c r="C234" s="8" t="s">
        <v>1481</v>
      </c>
      <c r="D234" s="8" t="s">
        <v>20</v>
      </c>
      <c r="E234" s="52">
        <v>1362</v>
      </c>
      <c r="F234" s="13">
        <v>14145.09</v>
      </c>
      <c r="G234" s="13"/>
    </row>
    <row r="235" spans="1:7" hidden="1" x14ac:dyDescent="0.75">
      <c r="A235" s="51">
        <v>44930</v>
      </c>
      <c r="B235" s="52">
        <v>8</v>
      </c>
      <c r="C235" s="8" t="s">
        <v>1540</v>
      </c>
      <c r="D235" s="8" t="s">
        <v>20</v>
      </c>
      <c r="E235" s="52">
        <v>769</v>
      </c>
      <c r="F235" s="13"/>
      <c r="G235" s="13">
        <v>4302</v>
      </c>
    </row>
    <row r="236" spans="1:7" hidden="1" x14ac:dyDescent="0.75">
      <c r="A236" s="51">
        <v>44930</v>
      </c>
      <c r="B236" s="52">
        <v>8</v>
      </c>
      <c r="C236" s="8" t="s">
        <v>1541</v>
      </c>
      <c r="D236" s="8" t="s">
        <v>20</v>
      </c>
      <c r="E236" s="52">
        <v>769</v>
      </c>
      <c r="F236" s="13"/>
      <c r="G236" s="13">
        <v>336</v>
      </c>
    </row>
    <row r="237" spans="1:7" hidden="1" x14ac:dyDescent="0.75">
      <c r="A237" s="51">
        <v>44930</v>
      </c>
      <c r="B237" s="52">
        <v>8</v>
      </c>
      <c r="C237" s="8" t="s">
        <v>1542</v>
      </c>
      <c r="D237" s="8" t="s">
        <v>20</v>
      </c>
      <c r="E237" s="52">
        <v>774</v>
      </c>
      <c r="F237" s="13"/>
      <c r="G237" s="13">
        <v>700.5</v>
      </c>
    </row>
    <row r="238" spans="1:7" hidden="1" x14ac:dyDescent="0.75">
      <c r="A238" s="51">
        <v>44930</v>
      </c>
      <c r="B238" s="52">
        <v>8</v>
      </c>
      <c r="C238" s="8" t="s">
        <v>1543</v>
      </c>
      <c r="D238" s="8" t="s">
        <v>20</v>
      </c>
      <c r="E238" s="52">
        <v>1350</v>
      </c>
      <c r="F238" s="13"/>
      <c r="G238" s="13">
        <v>590</v>
      </c>
    </row>
    <row r="239" spans="1:7" hidden="1" x14ac:dyDescent="0.75">
      <c r="A239" s="51">
        <v>44930</v>
      </c>
      <c r="B239" s="52">
        <v>8</v>
      </c>
      <c r="C239" s="8" t="s">
        <v>1544</v>
      </c>
      <c r="D239" s="8" t="s">
        <v>20</v>
      </c>
      <c r="E239" s="52">
        <v>757</v>
      </c>
      <c r="F239" s="13"/>
      <c r="G239" s="13">
        <v>344.66</v>
      </c>
    </row>
    <row r="240" spans="1:7" hidden="1" x14ac:dyDescent="0.75">
      <c r="A240" s="51">
        <v>44930</v>
      </c>
      <c r="B240" s="52">
        <v>8</v>
      </c>
      <c r="C240" s="8" t="s">
        <v>1545</v>
      </c>
      <c r="D240" s="8" t="s">
        <v>20</v>
      </c>
      <c r="E240" s="52">
        <v>1898</v>
      </c>
      <c r="F240" s="13"/>
      <c r="G240" s="13">
        <v>7337.5</v>
      </c>
    </row>
    <row r="241" spans="1:7" hidden="1" x14ac:dyDescent="0.75">
      <c r="A241" s="51">
        <v>44930</v>
      </c>
      <c r="B241" s="52">
        <v>8</v>
      </c>
      <c r="C241" s="8" t="s">
        <v>1546</v>
      </c>
      <c r="D241" s="8" t="s">
        <v>20</v>
      </c>
      <c r="E241" s="52">
        <v>762</v>
      </c>
      <c r="F241" s="13"/>
      <c r="G241" s="13">
        <v>1040</v>
      </c>
    </row>
    <row r="242" spans="1:7" hidden="1" x14ac:dyDescent="0.75">
      <c r="A242" s="51">
        <v>44930</v>
      </c>
      <c r="B242" s="52">
        <v>8</v>
      </c>
      <c r="C242" s="8" t="s">
        <v>1547</v>
      </c>
      <c r="D242" s="8" t="s">
        <v>20</v>
      </c>
      <c r="E242" s="52">
        <v>762</v>
      </c>
      <c r="F242" s="13"/>
      <c r="G242" s="13">
        <v>5200</v>
      </c>
    </row>
    <row r="243" spans="1:7" hidden="1" x14ac:dyDescent="0.75">
      <c r="A243" s="51">
        <v>44930</v>
      </c>
      <c r="B243" s="52">
        <v>8</v>
      </c>
      <c r="C243" s="8" t="s">
        <v>1548</v>
      </c>
      <c r="D243" s="8" t="s">
        <v>20</v>
      </c>
      <c r="E243" s="52">
        <v>1365</v>
      </c>
      <c r="F243" s="13"/>
      <c r="G243" s="13">
        <v>645</v>
      </c>
    </row>
    <row r="244" spans="1:7" hidden="1" x14ac:dyDescent="0.75">
      <c r="A244" s="51">
        <v>44930</v>
      </c>
      <c r="B244" s="52">
        <v>8</v>
      </c>
      <c r="C244" s="8" t="s">
        <v>1549</v>
      </c>
      <c r="D244" s="8" t="s">
        <v>20</v>
      </c>
      <c r="E244" s="52">
        <v>374</v>
      </c>
      <c r="F244" s="13"/>
      <c r="G244" s="13">
        <v>9.16</v>
      </c>
    </row>
    <row r="245" spans="1:7" hidden="1" x14ac:dyDescent="0.75">
      <c r="A245" s="51">
        <v>44931</v>
      </c>
      <c r="B245" s="52">
        <v>8</v>
      </c>
      <c r="C245" s="8" t="s">
        <v>1550</v>
      </c>
      <c r="D245" s="8" t="s">
        <v>20</v>
      </c>
      <c r="E245" s="52">
        <v>1852</v>
      </c>
      <c r="F245" s="13">
        <v>2998.72</v>
      </c>
      <c r="G245" s="13"/>
    </row>
    <row r="246" spans="1:7" hidden="1" x14ac:dyDescent="0.75">
      <c r="A246" s="51">
        <v>44931</v>
      </c>
      <c r="B246" s="52">
        <v>8</v>
      </c>
      <c r="C246" s="8" t="s">
        <v>1481</v>
      </c>
      <c r="D246" s="8" t="s">
        <v>20</v>
      </c>
      <c r="E246" s="52">
        <v>1362</v>
      </c>
      <c r="F246" s="13">
        <v>48024.02</v>
      </c>
      <c r="G246" s="13"/>
    </row>
    <row r="247" spans="1:7" hidden="1" x14ac:dyDescent="0.75">
      <c r="A247" s="51">
        <v>44931</v>
      </c>
      <c r="B247" s="52">
        <v>8</v>
      </c>
      <c r="C247" s="8" t="s">
        <v>1551</v>
      </c>
      <c r="D247" s="8" t="s">
        <v>20</v>
      </c>
      <c r="E247" s="52">
        <v>754</v>
      </c>
      <c r="F247" s="13"/>
      <c r="G247" s="13">
        <v>1049.3</v>
      </c>
    </row>
    <row r="248" spans="1:7" hidden="1" x14ac:dyDescent="0.75">
      <c r="A248" s="51">
        <v>44931</v>
      </c>
      <c r="B248" s="52">
        <v>8</v>
      </c>
      <c r="C248" s="8" t="s">
        <v>1552</v>
      </c>
      <c r="D248" s="8" t="s">
        <v>20</v>
      </c>
      <c r="E248" s="52">
        <v>1365</v>
      </c>
      <c r="F248" s="13"/>
      <c r="G248" s="13">
        <v>515</v>
      </c>
    </row>
    <row r="249" spans="1:7" hidden="1" x14ac:dyDescent="0.75">
      <c r="A249" s="51">
        <v>44931</v>
      </c>
      <c r="B249" s="52">
        <v>8</v>
      </c>
      <c r="C249" s="8" t="s">
        <v>1553</v>
      </c>
      <c r="D249" s="8" t="s">
        <v>20</v>
      </c>
      <c r="E249" s="52">
        <v>769</v>
      </c>
      <c r="F249" s="13"/>
      <c r="G249" s="13">
        <v>9000</v>
      </c>
    </row>
    <row r="250" spans="1:7" hidden="1" x14ac:dyDescent="0.75">
      <c r="A250" s="51">
        <v>44931</v>
      </c>
      <c r="B250" s="52">
        <v>8</v>
      </c>
      <c r="C250" s="8" t="s">
        <v>1554</v>
      </c>
      <c r="D250" s="8" t="s">
        <v>20</v>
      </c>
      <c r="E250" s="52">
        <v>771</v>
      </c>
      <c r="F250" s="13"/>
      <c r="G250" s="13">
        <v>610</v>
      </c>
    </row>
    <row r="251" spans="1:7" hidden="1" x14ac:dyDescent="0.75">
      <c r="A251" s="51">
        <v>44931</v>
      </c>
      <c r="B251" s="52">
        <v>8</v>
      </c>
      <c r="C251" s="8" t="s">
        <v>1555</v>
      </c>
      <c r="D251" s="8" t="s">
        <v>20</v>
      </c>
      <c r="E251" s="52">
        <v>774</v>
      </c>
      <c r="F251" s="13"/>
      <c r="G251" s="13">
        <v>170</v>
      </c>
    </row>
    <row r="252" spans="1:7" hidden="1" x14ac:dyDescent="0.75">
      <c r="A252" s="51">
        <v>44931</v>
      </c>
      <c r="B252" s="52">
        <v>8</v>
      </c>
      <c r="C252" s="8" t="s">
        <v>1556</v>
      </c>
      <c r="D252" s="8" t="s">
        <v>20</v>
      </c>
      <c r="E252" s="52">
        <v>1642</v>
      </c>
      <c r="F252" s="13"/>
      <c r="G252" s="13">
        <v>3850</v>
      </c>
    </row>
    <row r="253" spans="1:7" hidden="1" x14ac:dyDescent="0.75">
      <c r="A253" s="51">
        <v>44931</v>
      </c>
      <c r="B253" s="52">
        <v>8</v>
      </c>
      <c r="C253" s="8" t="s">
        <v>1557</v>
      </c>
      <c r="D253" s="8" t="s">
        <v>20</v>
      </c>
      <c r="E253" s="52">
        <v>1721</v>
      </c>
      <c r="F253" s="13"/>
      <c r="G253" s="13">
        <v>606</v>
      </c>
    </row>
    <row r="254" spans="1:7" hidden="1" x14ac:dyDescent="0.75">
      <c r="A254" s="51">
        <v>44931</v>
      </c>
      <c r="B254" s="52">
        <v>8</v>
      </c>
      <c r="C254" s="8" t="s">
        <v>1558</v>
      </c>
      <c r="D254" s="8" t="s">
        <v>20</v>
      </c>
      <c r="E254" s="52">
        <v>1721</v>
      </c>
      <c r="F254" s="13"/>
      <c r="G254" s="13">
        <v>250</v>
      </c>
    </row>
    <row r="255" spans="1:7" hidden="1" x14ac:dyDescent="0.75">
      <c r="A255" s="51">
        <v>44931</v>
      </c>
      <c r="B255" s="52">
        <v>8</v>
      </c>
      <c r="C255" s="8" t="s">
        <v>1559</v>
      </c>
      <c r="D255" s="8" t="s">
        <v>20</v>
      </c>
      <c r="E255" s="52">
        <v>787</v>
      </c>
      <c r="F255" s="13"/>
      <c r="G255" s="13">
        <v>9568.3700000000008</v>
      </c>
    </row>
    <row r="256" spans="1:7" hidden="1" x14ac:dyDescent="0.75">
      <c r="A256" s="51">
        <v>44931</v>
      </c>
      <c r="B256" s="52">
        <v>8</v>
      </c>
      <c r="C256" s="8" t="s">
        <v>1560</v>
      </c>
      <c r="D256" s="8" t="s">
        <v>20</v>
      </c>
      <c r="E256" s="52">
        <v>1325</v>
      </c>
      <c r="F256" s="13"/>
      <c r="G256" s="13">
        <v>1642</v>
      </c>
    </row>
    <row r="257" spans="1:7" hidden="1" x14ac:dyDescent="0.75">
      <c r="A257" s="51">
        <v>44931</v>
      </c>
      <c r="B257" s="52">
        <v>8</v>
      </c>
      <c r="C257" s="8" t="s">
        <v>1561</v>
      </c>
      <c r="D257" s="8" t="s">
        <v>20</v>
      </c>
      <c r="E257" s="52">
        <v>1924</v>
      </c>
      <c r="F257" s="13"/>
      <c r="G257" s="13">
        <v>1956.43</v>
      </c>
    </row>
    <row r="258" spans="1:7" hidden="1" x14ac:dyDescent="0.75">
      <c r="A258" s="51">
        <v>44931</v>
      </c>
      <c r="B258" s="52">
        <v>8</v>
      </c>
      <c r="C258" s="8" t="s">
        <v>1562</v>
      </c>
      <c r="D258" s="8" t="s">
        <v>20</v>
      </c>
      <c r="E258" s="52">
        <v>1924</v>
      </c>
      <c r="F258" s="13"/>
      <c r="G258" s="13">
        <v>1956.43</v>
      </c>
    </row>
    <row r="259" spans="1:7" hidden="1" x14ac:dyDescent="0.75">
      <c r="A259" s="51">
        <v>44931</v>
      </c>
      <c r="B259" s="52">
        <v>8</v>
      </c>
      <c r="C259" s="8" t="s">
        <v>1549</v>
      </c>
      <c r="D259" s="8" t="s">
        <v>20</v>
      </c>
      <c r="E259" s="52">
        <v>374</v>
      </c>
      <c r="F259" s="13"/>
      <c r="G259" s="13">
        <v>10</v>
      </c>
    </row>
    <row r="260" spans="1:7" hidden="1" x14ac:dyDescent="0.75">
      <c r="A260" s="51">
        <v>44931</v>
      </c>
      <c r="B260" s="52">
        <v>8</v>
      </c>
      <c r="C260" s="8" t="s">
        <v>1563</v>
      </c>
      <c r="D260" s="8" t="s">
        <v>20</v>
      </c>
      <c r="E260" s="52">
        <v>1313</v>
      </c>
      <c r="F260" s="13"/>
      <c r="G260" s="13">
        <v>8000</v>
      </c>
    </row>
    <row r="261" spans="1:7" hidden="1" x14ac:dyDescent="0.75">
      <c r="A261" s="51">
        <v>44931</v>
      </c>
      <c r="B261" s="52">
        <v>8</v>
      </c>
      <c r="C261" s="8" t="s">
        <v>1564</v>
      </c>
      <c r="D261" s="8" t="s">
        <v>20</v>
      </c>
      <c r="E261" s="52">
        <v>1313</v>
      </c>
      <c r="F261" s="13"/>
      <c r="G261" s="13">
        <v>8000</v>
      </c>
    </row>
    <row r="262" spans="1:7" hidden="1" x14ac:dyDescent="0.75">
      <c r="A262" s="51">
        <v>44931</v>
      </c>
      <c r="B262" s="52">
        <v>8</v>
      </c>
      <c r="C262" s="8" t="s">
        <v>1565</v>
      </c>
      <c r="D262" s="8" t="s">
        <v>20</v>
      </c>
      <c r="E262" s="52">
        <v>748</v>
      </c>
      <c r="F262" s="13"/>
      <c r="G262" s="13">
        <v>30397.5</v>
      </c>
    </row>
    <row r="263" spans="1:7" hidden="1" x14ac:dyDescent="0.75">
      <c r="A263" s="51">
        <v>44932</v>
      </c>
      <c r="B263" s="52">
        <v>8</v>
      </c>
      <c r="C263" s="8" t="s">
        <v>1566</v>
      </c>
      <c r="D263" s="8" t="s">
        <v>20</v>
      </c>
      <c r="E263" s="52">
        <v>550</v>
      </c>
      <c r="F263" s="13"/>
      <c r="G263" s="13">
        <v>1568.63</v>
      </c>
    </row>
    <row r="264" spans="1:7" hidden="1" x14ac:dyDescent="0.75">
      <c r="A264" s="51">
        <v>44932</v>
      </c>
      <c r="B264" s="52">
        <v>8</v>
      </c>
      <c r="C264" s="8" t="s">
        <v>1567</v>
      </c>
      <c r="D264" s="8" t="s">
        <v>20</v>
      </c>
      <c r="E264" s="52">
        <v>1372</v>
      </c>
      <c r="F264" s="13"/>
      <c r="G264" s="13">
        <v>3101.9</v>
      </c>
    </row>
    <row r="265" spans="1:7" hidden="1" x14ac:dyDescent="0.75">
      <c r="A265" s="51">
        <v>44932</v>
      </c>
      <c r="B265" s="52">
        <v>8</v>
      </c>
      <c r="C265" s="8" t="s">
        <v>1568</v>
      </c>
      <c r="D265" s="8" t="s">
        <v>20</v>
      </c>
      <c r="E265" s="52">
        <v>948</v>
      </c>
      <c r="F265" s="13"/>
      <c r="G265" s="13">
        <v>1622.1</v>
      </c>
    </row>
    <row r="266" spans="1:7" hidden="1" x14ac:dyDescent="0.75">
      <c r="A266" s="51">
        <v>44932</v>
      </c>
      <c r="B266" s="52">
        <v>8</v>
      </c>
      <c r="C266" s="8" t="s">
        <v>1569</v>
      </c>
      <c r="D266" s="8" t="s">
        <v>20</v>
      </c>
      <c r="E266" s="52">
        <v>1365</v>
      </c>
      <c r="F266" s="13"/>
      <c r="G266" s="13">
        <v>300</v>
      </c>
    </row>
    <row r="267" spans="1:7" hidden="1" x14ac:dyDescent="0.75">
      <c r="A267" s="51">
        <v>44932</v>
      </c>
      <c r="B267" s="52">
        <v>8</v>
      </c>
      <c r="C267" s="8" t="s">
        <v>1570</v>
      </c>
      <c r="D267" s="8" t="s">
        <v>20</v>
      </c>
      <c r="E267" s="52">
        <v>192</v>
      </c>
      <c r="F267" s="13"/>
      <c r="G267" s="13">
        <v>11783.21</v>
      </c>
    </row>
    <row r="268" spans="1:7" hidden="1" x14ac:dyDescent="0.75">
      <c r="A268" s="51">
        <v>44932</v>
      </c>
      <c r="B268" s="52">
        <v>8</v>
      </c>
      <c r="C268" s="8" t="s">
        <v>1571</v>
      </c>
      <c r="D268" s="8" t="s">
        <v>20</v>
      </c>
      <c r="E268" s="52">
        <v>1419</v>
      </c>
      <c r="F268" s="13"/>
      <c r="G268" s="13">
        <v>381.05</v>
      </c>
    </row>
    <row r="269" spans="1:7" hidden="1" x14ac:dyDescent="0.75">
      <c r="A269" s="51">
        <v>44932</v>
      </c>
      <c r="B269" s="52">
        <v>8</v>
      </c>
      <c r="C269" s="8" t="s">
        <v>1572</v>
      </c>
      <c r="D269" s="8" t="s">
        <v>20</v>
      </c>
      <c r="E269" s="52">
        <v>754</v>
      </c>
      <c r="F269" s="13"/>
      <c r="G269" s="13">
        <v>910.6</v>
      </c>
    </row>
    <row r="270" spans="1:7" hidden="1" x14ac:dyDescent="0.75">
      <c r="A270" s="51">
        <v>44932</v>
      </c>
      <c r="B270" s="52">
        <v>8</v>
      </c>
      <c r="C270" s="8" t="s">
        <v>1573</v>
      </c>
      <c r="D270" s="8" t="s">
        <v>20</v>
      </c>
      <c r="E270" s="52">
        <v>771</v>
      </c>
      <c r="F270" s="13"/>
      <c r="G270" s="13">
        <v>314</v>
      </c>
    </row>
    <row r="271" spans="1:7" hidden="1" x14ac:dyDescent="0.75">
      <c r="A271" s="51">
        <v>44932</v>
      </c>
      <c r="B271" s="52">
        <v>8</v>
      </c>
      <c r="C271" s="8" t="s">
        <v>1574</v>
      </c>
      <c r="D271" s="8" t="s">
        <v>20</v>
      </c>
      <c r="E271" s="52">
        <v>774</v>
      </c>
      <c r="F271" s="13"/>
      <c r="G271" s="13">
        <v>1250</v>
      </c>
    </row>
    <row r="272" spans="1:7" hidden="1" x14ac:dyDescent="0.75">
      <c r="A272" s="51">
        <v>44932</v>
      </c>
      <c r="B272" s="52">
        <v>8</v>
      </c>
      <c r="C272" s="8" t="s">
        <v>1575</v>
      </c>
      <c r="D272" s="8" t="s">
        <v>20</v>
      </c>
      <c r="E272" s="52">
        <v>1672</v>
      </c>
      <c r="F272" s="13"/>
      <c r="G272" s="13">
        <v>60</v>
      </c>
    </row>
    <row r="273" spans="1:7" hidden="1" x14ac:dyDescent="0.75">
      <c r="A273" s="51">
        <v>44932</v>
      </c>
      <c r="B273" s="52">
        <v>8</v>
      </c>
      <c r="C273" s="8" t="s">
        <v>1549</v>
      </c>
      <c r="D273" s="8" t="s">
        <v>20</v>
      </c>
      <c r="E273" s="52">
        <v>374</v>
      </c>
      <c r="F273" s="13"/>
      <c r="G273" s="13">
        <v>36.47</v>
      </c>
    </row>
    <row r="274" spans="1:7" hidden="1" x14ac:dyDescent="0.75">
      <c r="A274" s="51">
        <v>44932</v>
      </c>
      <c r="B274" s="52">
        <v>8</v>
      </c>
      <c r="C274" s="8" t="s">
        <v>1549</v>
      </c>
      <c r="D274" s="8" t="s">
        <v>20</v>
      </c>
      <c r="E274" s="52">
        <v>374</v>
      </c>
      <c r="F274" s="13"/>
      <c r="G274" s="13">
        <v>13.97</v>
      </c>
    </row>
    <row r="275" spans="1:7" hidden="1" x14ac:dyDescent="0.75">
      <c r="A275" s="51">
        <v>44932</v>
      </c>
      <c r="B275" s="52">
        <v>8</v>
      </c>
      <c r="C275" s="8" t="s">
        <v>1576</v>
      </c>
      <c r="D275" s="8" t="s">
        <v>20</v>
      </c>
      <c r="E275" s="52">
        <v>1914</v>
      </c>
      <c r="F275" s="13"/>
      <c r="G275" s="13">
        <v>300</v>
      </c>
    </row>
    <row r="276" spans="1:7" hidden="1" x14ac:dyDescent="0.75">
      <c r="A276" s="51">
        <v>44935</v>
      </c>
      <c r="B276" s="52">
        <v>8</v>
      </c>
      <c r="C276" s="8" t="s">
        <v>1577</v>
      </c>
      <c r="D276" s="8" t="s">
        <v>20</v>
      </c>
      <c r="E276" s="52">
        <v>1852</v>
      </c>
      <c r="F276" s="13">
        <v>2611.92</v>
      </c>
      <c r="G276" s="13"/>
    </row>
    <row r="277" spans="1:7" hidden="1" x14ac:dyDescent="0.75">
      <c r="A277" s="51">
        <v>44935</v>
      </c>
      <c r="B277" s="52">
        <v>8</v>
      </c>
      <c r="C277" s="8" t="s">
        <v>1578</v>
      </c>
      <c r="D277" s="8" t="s">
        <v>20</v>
      </c>
      <c r="E277" s="52">
        <v>769</v>
      </c>
      <c r="F277" s="13"/>
      <c r="G277" s="13">
        <v>336</v>
      </c>
    </row>
    <row r="278" spans="1:7" hidden="1" x14ac:dyDescent="0.75">
      <c r="A278" s="51">
        <v>44935</v>
      </c>
      <c r="B278" s="52">
        <v>8</v>
      </c>
      <c r="C278" s="8" t="s">
        <v>1579</v>
      </c>
      <c r="D278" s="8" t="s">
        <v>20</v>
      </c>
      <c r="E278" s="52">
        <v>769</v>
      </c>
      <c r="F278" s="13"/>
      <c r="G278" s="13">
        <v>4044</v>
      </c>
    </row>
    <row r="279" spans="1:7" hidden="1" x14ac:dyDescent="0.75">
      <c r="A279" s="51">
        <v>44935</v>
      </c>
      <c r="B279" s="52">
        <v>8</v>
      </c>
      <c r="C279" s="8" t="s">
        <v>1580</v>
      </c>
      <c r="D279" s="8" t="s">
        <v>20</v>
      </c>
      <c r="E279" s="52">
        <v>769</v>
      </c>
      <c r="F279" s="13"/>
      <c r="G279" s="13">
        <v>1920</v>
      </c>
    </row>
    <row r="280" spans="1:7" hidden="1" x14ac:dyDescent="0.75">
      <c r="A280" s="51">
        <v>44935</v>
      </c>
      <c r="B280" s="52">
        <v>8</v>
      </c>
      <c r="C280" s="8" t="s">
        <v>1581</v>
      </c>
      <c r="D280" s="8" t="s">
        <v>20</v>
      </c>
      <c r="E280" s="52">
        <v>769</v>
      </c>
      <c r="F280" s="13"/>
      <c r="G280" s="13">
        <v>18000</v>
      </c>
    </row>
    <row r="281" spans="1:7" hidden="1" x14ac:dyDescent="0.75">
      <c r="A281" s="51">
        <v>44935</v>
      </c>
      <c r="B281" s="52">
        <v>8</v>
      </c>
      <c r="C281" s="8" t="s">
        <v>1582</v>
      </c>
      <c r="D281" s="8" t="s">
        <v>20</v>
      </c>
      <c r="E281" s="52">
        <v>769</v>
      </c>
      <c r="F281" s="13"/>
      <c r="G281" s="13">
        <v>4405.4399999999996</v>
      </c>
    </row>
    <row r="282" spans="1:7" hidden="1" x14ac:dyDescent="0.75">
      <c r="A282" s="51">
        <v>44935</v>
      </c>
      <c r="B282" s="52">
        <v>8</v>
      </c>
      <c r="C282" s="8" t="s">
        <v>1511</v>
      </c>
      <c r="D282" s="8" t="s">
        <v>20</v>
      </c>
      <c r="E282" s="52">
        <v>753</v>
      </c>
      <c r="F282" s="13"/>
      <c r="G282" s="13">
        <v>2219.29</v>
      </c>
    </row>
    <row r="283" spans="1:7" hidden="1" x14ac:dyDescent="0.75">
      <c r="A283" s="51">
        <v>44935</v>
      </c>
      <c r="B283" s="52">
        <v>8</v>
      </c>
      <c r="C283" s="8" t="s">
        <v>1583</v>
      </c>
      <c r="D283" s="8" t="s">
        <v>20</v>
      </c>
      <c r="E283" s="52">
        <v>1348</v>
      </c>
      <c r="F283" s="13"/>
      <c r="G283" s="13">
        <v>330</v>
      </c>
    </row>
    <row r="284" spans="1:7" hidden="1" x14ac:dyDescent="0.75">
      <c r="A284" s="51">
        <v>44935</v>
      </c>
      <c r="B284" s="52">
        <v>8</v>
      </c>
      <c r="C284" s="8" t="s">
        <v>1584</v>
      </c>
      <c r="D284" s="8" t="s">
        <v>20</v>
      </c>
      <c r="E284" s="52">
        <v>774</v>
      </c>
      <c r="F284" s="13"/>
      <c r="G284" s="13">
        <v>750</v>
      </c>
    </row>
    <row r="285" spans="1:7" hidden="1" x14ac:dyDescent="0.75">
      <c r="A285" s="51">
        <v>44935</v>
      </c>
      <c r="B285" s="52">
        <v>8</v>
      </c>
      <c r="C285" s="8" t="s">
        <v>1585</v>
      </c>
      <c r="D285" s="8" t="s">
        <v>20</v>
      </c>
      <c r="E285" s="52">
        <v>774</v>
      </c>
      <c r="F285" s="13"/>
      <c r="G285" s="13">
        <v>956</v>
      </c>
    </row>
    <row r="286" spans="1:7" hidden="1" x14ac:dyDescent="0.75">
      <c r="A286" s="51">
        <v>44935</v>
      </c>
      <c r="B286" s="52">
        <v>8</v>
      </c>
      <c r="C286" s="8" t="s">
        <v>1586</v>
      </c>
      <c r="D286" s="8" t="s">
        <v>20</v>
      </c>
      <c r="E286" s="52">
        <v>774</v>
      </c>
      <c r="F286" s="13"/>
      <c r="G286" s="13">
        <v>990</v>
      </c>
    </row>
    <row r="287" spans="1:7" hidden="1" x14ac:dyDescent="0.75">
      <c r="A287" s="51">
        <v>44935</v>
      </c>
      <c r="B287" s="52">
        <v>8</v>
      </c>
      <c r="C287" s="8" t="s">
        <v>1587</v>
      </c>
      <c r="D287" s="8" t="s">
        <v>20</v>
      </c>
      <c r="E287" s="52">
        <v>754</v>
      </c>
      <c r="F287" s="13"/>
      <c r="G287" s="13">
        <v>451</v>
      </c>
    </row>
    <row r="288" spans="1:7" hidden="1" x14ac:dyDescent="0.75">
      <c r="A288" s="51">
        <v>44935</v>
      </c>
      <c r="B288" s="52">
        <v>8</v>
      </c>
      <c r="C288" s="8" t="s">
        <v>1588</v>
      </c>
      <c r="D288" s="8" t="s">
        <v>20</v>
      </c>
      <c r="E288" s="52">
        <v>754</v>
      </c>
      <c r="F288" s="13"/>
      <c r="G288" s="13">
        <v>834</v>
      </c>
    </row>
    <row r="289" spans="1:7" hidden="1" x14ac:dyDescent="0.75">
      <c r="A289" s="51">
        <v>44935</v>
      </c>
      <c r="B289" s="52">
        <v>8</v>
      </c>
      <c r="C289" s="8" t="s">
        <v>1589</v>
      </c>
      <c r="D289" s="8" t="s">
        <v>20</v>
      </c>
      <c r="E289" s="52">
        <v>908</v>
      </c>
      <c r="F289" s="13"/>
      <c r="G289" s="13">
        <v>1274.6099999999999</v>
      </c>
    </row>
    <row r="290" spans="1:7" hidden="1" x14ac:dyDescent="0.75">
      <c r="A290" s="51">
        <v>44935</v>
      </c>
      <c r="B290" s="52">
        <v>8</v>
      </c>
      <c r="C290" s="8" t="s">
        <v>1493</v>
      </c>
      <c r="D290" s="8" t="s">
        <v>20</v>
      </c>
      <c r="E290" s="52">
        <v>757</v>
      </c>
      <c r="F290" s="13"/>
      <c r="G290" s="13">
        <v>1049.73</v>
      </c>
    </row>
    <row r="291" spans="1:7" hidden="1" x14ac:dyDescent="0.75">
      <c r="A291" s="51">
        <v>44935</v>
      </c>
      <c r="B291" s="52">
        <v>8</v>
      </c>
      <c r="C291" s="8" t="s">
        <v>1590</v>
      </c>
      <c r="D291" s="8" t="s">
        <v>20</v>
      </c>
      <c r="E291" s="52">
        <v>1942</v>
      </c>
      <c r="F291" s="13"/>
      <c r="G291" s="13">
        <v>10067.98</v>
      </c>
    </row>
    <row r="292" spans="1:7" hidden="1" x14ac:dyDescent="0.75">
      <c r="A292" s="51">
        <v>44935</v>
      </c>
      <c r="B292" s="52">
        <v>8</v>
      </c>
      <c r="C292" s="8" t="s">
        <v>1591</v>
      </c>
      <c r="D292" s="8" t="s">
        <v>20</v>
      </c>
      <c r="E292" s="52">
        <v>1365</v>
      </c>
      <c r="F292" s="13"/>
      <c r="G292" s="13">
        <v>595</v>
      </c>
    </row>
    <row r="293" spans="1:7" hidden="1" x14ac:dyDescent="0.75">
      <c r="A293" s="51">
        <v>44935</v>
      </c>
      <c r="B293" s="52">
        <v>8</v>
      </c>
      <c r="C293" s="8" t="s">
        <v>1592</v>
      </c>
      <c r="D293" s="8" t="s">
        <v>20</v>
      </c>
      <c r="E293" s="52">
        <v>1365</v>
      </c>
      <c r="F293" s="13"/>
      <c r="G293" s="13">
        <v>564</v>
      </c>
    </row>
    <row r="294" spans="1:7" hidden="1" x14ac:dyDescent="0.75">
      <c r="A294" s="51">
        <v>44935</v>
      </c>
      <c r="B294" s="52">
        <v>8</v>
      </c>
      <c r="C294" s="8" t="s">
        <v>1549</v>
      </c>
      <c r="D294" s="8" t="s">
        <v>20</v>
      </c>
      <c r="E294" s="52">
        <v>374</v>
      </c>
      <c r="F294" s="13"/>
      <c r="G294" s="13">
        <v>160</v>
      </c>
    </row>
    <row r="295" spans="1:7" hidden="1" x14ac:dyDescent="0.75">
      <c r="A295" s="51">
        <v>44935</v>
      </c>
      <c r="B295" s="52">
        <v>8</v>
      </c>
      <c r="C295" s="8" t="s">
        <v>1593</v>
      </c>
      <c r="D295" s="8" t="s">
        <v>20</v>
      </c>
      <c r="E295" s="52">
        <v>1306</v>
      </c>
      <c r="F295" s="13"/>
      <c r="G295" s="13">
        <v>7665</v>
      </c>
    </row>
    <row r="296" spans="1:7" hidden="1" x14ac:dyDescent="0.75">
      <c r="A296" s="51">
        <v>44935</v>
      </c>
      <c r="B296" s="52">
        <v>8</v>
      </c>
      <c r="C296" s="8" t="s">
        <v>1594</v>
      </c>
      <c r="D296" s="8" t="s">
        <v>20</v>
      </c>
      <c r="E296" s="52">
        <v>1945</v>
      </c>
      <c r="F296" s="13"/>
      <c r="G296" s="13">
        <v>571.03</v>
      </c>
    </row>
    <row r="297" spans="1:7" hidden="1" x14ac:dyDescent="0.75">
      <c r="A297" s="51">
        <v>44935</v>
      </c>
      <c r="B297" s="52">
        <v>8</v>
      </c>
      <c r="C297" s="8" t="s">
        <v>1595</v>
      </c>
      <c r="D297" s="8" t="s">
        <v>20</v>
      </c>
      <c r="E297" s="52">
        <v>1945</v>
      </c>
      <c r="F297" s="13"/>
      <c r="G297" s="13">
        <v>256.68</v>
      </c>
    </row>
    <row r="298" spans="1:7" hidden="1" x14ac:dyDescent="0.75">
      <c r="A298" s="51">
        <v>44935</v>
      </c>
      <c r="B298" s="52">
        <v>8</v>
      </c>
      <c r="C298" s="8" t="s">
        <v>1596</v>
      </c>
      <c r="D298" s="8" t="s">
        <v>20</v>
      </c>
      <c r="E298" s="52">
        <v>1945</v>
      </c>
      <c r="F298" s="13"/>
      <c r="G298" s="13">
        <v>403.72</v>
      </c>
    </row>
    <row r="299" spans="1:7" hidden="1" x14ac:dyDescent="0.75">
      <c r="A299" s="51">
        <v>44935</v>
      </c>
      <c r="B299" s="52">
        <v>8</v>
      </c>
      <c r="C299" s="8" t="s">
        <v>1597</v>
      </c>
      <c r="D299" s="8" t="s">
        <v>20</v>
      </c>
      <c r="E299" s="52">
        <v>1945</v>
      </c>
      <c r="F299" s="13"/>
      <c r="G299" s="13">
        <v>93.34</v>
      </c>
    </row>
    <row r="300" spans="1:7" hidden="1" x14ac:dyDescent="0.75">
      <c r="A300" s="51">
        <v>44935</v>
      </c>
      <c r="B300" s="52">
        <v>8</v>
      </c>
      <c r="C300" s="8" t="s">
        <v>1598</v>
      </c>
      <c r="D300" s="8" t="s">
        <v>20</v>
      </c>
      <c r="E300" s="52">
        <v>1457</v>
      </c>
      <c r="F300" s="13"/>
      <c r="G300" s="13">
        <v>7939.36</v>
      </c>
    </row>
    <row r="301" spans="1:7" hidden="1" x14ac:dyDescent="0.75">
      <c r="A301" s="51">
        <v>44935</v>
      </c>
      <c r="B301" s="52">
        <v>8</v>
      </c>
      <c r="C301" s="8" t="s">
        <v>1599</v>
      </c>
      <c r="D301" s="8" t="s">
        <v>20</v>
      </c>
      <c r="E301" s="52">
        <v>155</v>
      </c>
      <c r="F301" s="13"/>
      <c r="G301" s="13">
        <v>21428.57</v>
      </c>
    </row>
    <row r="302" spans="1:7" hidden="1" x14ac:dyDescent="0.75">
      <c r="A302" s="51">
        <v>44936</v>
      </c>
      <c r="B302" s="52">
        <v>8</v>
      </c>
      <c r="C302" s="8" t="s">
        <v>1481</v>
      </c>
      <c r="D302" s="8" t="s">
        <v>20</v>
      </c>
      <c r="E302" s="52">
        <v>1362</v>
      </c>
      <c r="F302" s="13">
        <v>72284.5</v>
      </c>
      <c r="G302" s="13"/>
    </row>
    <row r="303" spans="1:7" hidden="1" x14ac:dyDescent="0.75">
      <c r="A303" s="51">
        <v>44936</v>
      </c>
      <c r="B303" s="52">
        <v>8</v>
      </c>
      <c r="C303" s="8" t="s">
        <v>1481</v>
      </c>
      <c r="D303" s="8" t="s">
        <v>20</v>
      </c>
      <c r="E303" s="52">
        <v>1362</v>
      </c>
      <c r="F303" s="13">
        <v>75523.77</v>
      </c>
      <c r="G303" s="13"/>
    </row>
    <row r="304" spans="1:7" hidden="1" x14ac:dyDescent="0.75">
      <c r="A304" s="51">
        <v>44936</v>
      </c>
      <c r="B304" s="52">
        <v>8</v>
      </c>
      <c r="C304" s="8" t="s">
        <v>1481</v>
      </c>
      <c r="D304" s="8" t="s">
        <v>20</v>
      </c>
      <c r="E304" s="52">
        <v>1362</v>
      </c>
      <c r="F304" s="13">
        <v>287012.13</v>
      </c>
      <c r="G304" s="13"/>
    </row>
    <row r="305" spans="1:7" hidden="1" x14ac:dyDescent="0.75">
      <c r="A305" s="51">
        <v>44936</v>
      </c>
      <c r="B305" s="52">
        <v>8</v>
      </c>
      <c r="C305" s="8" t="s">
        <v>1481</v>
      </c>
      <c r="D305" s="8" t="s">
        <v>20</v>
      </c>
      <c r="E305" s="52">
        <v>1362</v>
      </c>
      <c r="F305" s="13">
        <v>22771.27</v>
      </c>
      <c r="G305" s="13"/>
    </row>
    <row r="306" spans="1:7" hidden="1" x14ac:dyDescent="0.75">
      <c r="A306" s="51">
        <v>44936</v>
      </c>
      <c r="B306" s="52">
        <v>8</v>
      </c>
      <c r="C306" s="8" t="s">
        <v>1481</v>
      </c>
      <c r="D306" s="8" t="s">
        <v>20</v>
      </c>
      <c r="E306" s="52">
        <v>1362</v>
      </c>
      <c r="F306" s="13">
        <v>53296.21</v>
      </c>
      <c r="G306" s="13"/>
    </row>
    <row r="307" spans="1:7" hidden="1" x14ac:dyDescent="0.75">
      <c r="A307" s="51">
        <v>44936</v>
      </c>
      <c r="B307" s="52">
        <v>8</v>
      </c>
      <c r="C307" s="8" t="s">
        <v>1600</v>
      </c>
      <c r="D307" s="8" t="s">
        <v>20</v>
      </c>
      <c r="E307" s="52">
        <v>806</v>
      </c>
      <c r="F307" s="13">
        <v>2.92</v>
      </c>
      <c r="G307" s="13"/>
    </row>
    <row r="308" spans="1:7" hidden="1" x14ac:dyDescent="0.75">
      <c r="A308" s="51">
        <v>44936</v>
      </c>
      <c r="B308" s="52">
        <v>8</v>
      </c>
      <c r="C308" s="8" t="s">
        <v>1601</v>
      </c>
      <c r="D308" s="8" t="s">
        <v>20</v>
      </c>
      <c r="E308" s="52">
        <v>1679</v>
      </c>
      <c r="F308" s="13"/>
      <c r="G308" s="13">
        <v>6600</v>
      </c>
    </row>
    <row r="309" spans="1:7" hidden="1" x14ac:dyDescent="0.75">
      <c r="A309" s="51">
        <v>44936</v>
      </c>
      <c r="B309" s="52">
        <v>8</v>
      </c>
      <c r="C309" s="8" t="s">
        <v>1602</v>
      </c>
      <c r="D309" s="8" t="s">
        <v>20</v>
      </c>
      <c r="E309" s="52">
        <v>1366</v>
      </c>
      <c r="F309" s="13"/>
      <c r="G309" s="13">
        <v>462.5</v>
      </c>
    </row>
    <row r="310" spans="1:7" hidden="1" x14ac:dyDescent="0.75">
      <c r="A310" s="51">
        <v>44936</v>
      </c>
      <c r="B310" s="52">
        <v>8</v>
      </c>
      <c r="C310" s="8" t="s">
        <v>1603</v>
      </c>
      <c r="D310" s="8" t="s">
        <v>20</v>
      </c>
      <c r="E310" s="52">
        <v>1366</v>
      </c>
      <c r="F310" s="13"/>
      <c r="G310" s="13">
        <v>962</v>
      </c>
    </row>
    <row r="311" spans="1:7" hidden="1" x14ac:dyDescent="0.75">
      <c r="A311" s="51">
        <v>44936</v>
      </c>
      <c r="B311" s="52">
        <v>8</v>
      </c>
      <c r="C311" s="8" t="s">
        <v>1604</v>
      </c>
      <c r="D311" s="8" t="s">
        <v>20</v>
      </c>
      <c r="E311" s="52">
        <v>1366</v>
      </c>
      <c r="F311" s="13"/>
      <c r="G311" s="13">
        <v>370</v>
      </c>
    </row>
    <row r="312" spans="1:7" hidden="1" x14ac:dyDescent="0.75">
      <c r="A312" s="51">
        <v>44936</v>
      </c>
      <c r="B312" s="52">
        <v>8</v>
      </c>
      <c r="C312" s="8" t="s">
        <v>1605</v>
      </c>
      <c r="D312" s="8" t="s">
        <v>20</v>
      </c>
      <c r="E312" s="52">
        <v>1366</v>
      </c>
      <c r="F312" s="13"/>
      <c r="G312" s="13">
        <v>832.5</v>
      </c>
    </row>
    <row r="313" spans="1:7" hidden="1" x14ac:dyDescent="0.75">
      <c r="A313" s="51">
        <v>44936</v>
      </c>
      <c r="B313" s="52">
        <v>8</v>
      </c>
      <c r="C313" s="8" t="s">
        <v>1606</v>
      </c>
      <c r="D313" s="8" t="s">
        <v>20</v>
      </c>
      <c r="E313" s="52">
        <v>1366</v>
      </c>
      <c r="F313" s="13"/>
      <c r="G313" s="13">
        <v>888</v>
      </c>
    </row>
    <row r="314" spans="1:7" hidden="1" x14ac:dyDescent="0.75">
      <c r="A314" s="51">
        <v>44936</v>
      </c>
      <c r="B314" s="52">
        <v>8</v>
      </c>
      <c r="C314" s="8" t="s">
        <v>1607</v>
      </c>
      <c r="D314" s="8" t="s">
        <v>20</v>
      </c>
      <c r="E314" s="52">
        <v>1366</v>
      </c>
      <c r="F314" s="13"/>
      <c r="G314" s="13">
        <v>518</v>
      </c>
    </row>
    <row r="315" spans="1:7" hidden="1" x14ac:dyDescent="0.75">
      <c r="A315" s="51">
        <v>44936</v>
      </c>
      <c r="B315" s="52">
        <v>8</v>
      </c>
      <c r="C315" s="8" t="s">
        <v>1608</v>
      </c>
      <c r="D315" s="8" t="s">
        <v>20</v>
      </c>
      <c r="E315" s="52">
        <v>1366</v>
      </c>
      <c r="F315" s="13"/>
      <c r="G315" s="13">
        <v>200</v>
      </c>
    </row>
    <row r="316" spans="1:7" hidden="1" x14ac:dyDescent="0.75">
      <c r="A316" s="51">
        <v>44936</v>
      </c>
      <c r="B316" s="52">
        <v>8</v>
      </c>
      <c r="C316" s="8" t="s">
        <v>1609</v>
      </c>
      <c r="D316" s="8" t="s">
        <v>20</v>
      </c>
      <c r="E316" s="52">
        <v>1366</v>
      </c>
      <c r="F316" s="13"/>
      <c r="G316" s="13">
        <v>850</v>
      </c>
    </row>
    <row r="317" spans="1:7" hidden="1" x14ac:dyDescent="0.75">
      <c r="A317" s="51">
        <v>44936</v>
      </c>
      <c r="B317" s="52">
        <v>8</v>
      </c>
      <c r="C317" s="8" t="s">
        <v>1610</v>
      </c>
      <c r="D317" s="8" t="s">
        <v>20</v>
      </c>
      <c r="E317" s="52">
        <v>1641</v>
      </c>
      <c r="F317" s="13"/>
      <c r="G317" s="13">
        <v>7500</v>
      </c>
    </row>
    <row r="318" spans="1:7" hidden="1" x14ac:dyDescent="0.75">
      <c r="A318" s="51">
        <v>44936</v>
      </c>
      <c r="B318" s="52">
        <v>8</v>
      </c>
      <c r="C318" s="8" t="s">
        <v>1611</v>
      </c>
      <c r="D318" s="8" t="s">
        <v>20</v>
      </c>
      <c r="E318" s="52">
        <v>1649</v>
      </c>
      <c r="F318" s="13"/>
      <c r="G318" s="13">
        <v>1960</v>
      </c>
    </row>
    <row r="319" spans="1:7" hidden="1" x14ac:dyDescent="0.75">
      <c r="A319" s="51">
        <v>44936</v>
      </c>
      <c r="B319" s="52">
        <v>8</v>
      </c>
      <c r="C319" s="8" t="s">
        <v>1612</v>
      </c>
      <c r="D319" s="8" t="s">
        <v>20</v>
      </c>
      <c r="E319" s="52">
        <v>1649</v>
      </c>
      <c r="F319" s="13"/>
      <c r="G319" s="13">
        <v>1960</v>
      </c>
    </row>
    <row r="320" spans="1:7" hidden="1" x14ac:dyDescent="0.75">
      <c r="A320" s="51">
        <v>44936</v>
      </c>
      <c r="B320" s="52">
        <v>8</v>
      </c>
      <c r="C320" s="8" t="s">
        <v>1613</v>
      </c>
      <c r="D320" s="8" t="s">
        <v>20</v>
      </c>
      <c r="E320" s="52">
        <v>1649</v>
      </c>
      <c r="F320" s="13"/>
      <c r="G320" s="13">
        <v>840</v>
      </c>
    </row>
    <row r="321" spans="1:7" hidden="1" x14ac:dyDescent="0.75">
      <c r="A321" s="51">
        <v>44936</v>
      </c>
      <c r="B321" s="52">
        <v>8</v>
      </c>
      <c r="C321" s="8" t="s">
        <v>1614</v>
      </c>
      <c r="D321" s="8" t="s">
        <v>20</v>
      </c>
      <c r="E321" s="52">
        <v>1649</v>
      </c>
      <c r="F321" s="13"/>
      <c r="G321" s="13">
        <v>840</v>
      </c>
    </row>
    <row r="322" spans="1:7" hidden="1" x14ac:dyDescent="0.75">
      <c r="A322" s="51">
        <v>44936</v>
      </c>
      <c r="B322" s="52">
        <v>8</v>
      </c>
      <c r="C322" s="8" t="s">
        <v>1615</v>
      </c>
      <c r="D322" s="8" t="s">
        <v>20</v>
      </c>
      <c r="E322" s="52">
        <v>1721</v>
      </c>
      <c r="F322" s="13"/>
      <c r="G322" s="13">
        <v>965</v>
      </c>
    </row>
    <row r="323" spans="1:7" hidden="1" x14ac:dyDescent="0.75">
      <c r="A323" s="51">
        <v>44936</v>
      </c>
      <c r="B323" s="52">
        <v>8</v>
      </c>
      <c r="C323" s="8" t="s">
        <v>1616</v>
      </c>
      <c r="D323" s="8" t="s">
        <v>20</v>
      </c>
      <c r="E323" s="52">
        <v>771</v>
      </c>
      <c r="F323" s="13"/>
      <c r="G323" s="13">
        <v>550</v>
      </c>
    </row>
    <row r="324" spans="1:7" hidden="1" x14ac:dyDescent="0.75">
      <c r="A324" s="51">
        <v>44936</v>
      </c>
      <c r="B324" s="52">
        <v>8</v>
      </c>
      <c r="C324" s="8" t="s">
        <v>1617</v>
      </c>
      <c r="D324" s="8" t="s">
        <v>20</v>
      </c>
      <c r="E324" s="52">
        <v>754</v>
      </c>
      <c r="F324" s="13"/>
      <c r="G324" s="13">
        <v>450</v>
      </c>
    </row>
    <row r="325" spans="1:7" hidden="1" x14ac:dyDescent="0.75">
      <c r="A325" s="51">
        <v>44936</v>
      </c>
      <c r="B325" s="52">
        <v>8</v>
      </c>
      <c r="C325" s="8" t="s">
        <v>1618</v>
      </c>
      <c r="D325" s="8" t="s">
        <v>20</v>
      </c>
      <c r="E325" s="52">
        <v>1803</v>
      </c>
      <c r="F325" s="13"/>
      <c r="G325" s="13">
        <v>1000</v>
      </c>
    </row>
    <row r="326" spans="1:7" hidden="1" x14ac:dyDescent="0.75">
      <c r="A326" s="51">
        <v>44936</v>
      </c>
      <c r="B326" s="52">
        <v>8</v>
      </c>
      <c r="C326" s="8" t="s">
        <v>1619</v>
      </c>
      <c r="D326" s="8" t="s">
        <v>20</v>
      </c>
      <c r="E326" s="52">
        <v>985</v>
      </c>
      <c r="F326" s="13"/>
      <c r="G326" s="13">
        <v>11350</v>
      </c>
    </row>
    <row r="327" spans="1:7" hidden="1" x14ac:dyDescent="0.75">
      <c r="A327" s="51">
        <v>44936</v>
      </c>
      <c r="B327" s="52">
        <v>8</v>
      </c>
      <c r="C327" s="8" t="s">
        <v>1620</v>
      </c>
      <c r="D327" s="8" t="s">
        <v>20</v>
      </c>
      <c r="E327" s="52">
        <v>1777</v>
      </c>
      <c r="F327" s="13"/>
      <c r="G327" s="13">
        <v>6175.49</v>
      </c>
    </row>
    <row r="328" spans="1:7" hidden="1" x14ac:dyDescent="0.75">
      <c r="A328" s="51">
        <v>44936</v>
      </c>
      <c r="B328" s="52">
        <v>8</v>
      </c>
      <c r="C328" s="8" t="s">
        <v>1621</v>
      </c>
      <c r="D328" s="8" t="s">
        <v>20</v>
      </c>
      <c r="E328" s="52">
        <v>1915</v>
      </c>
      <c r="F328" s="13"/>
      <c r="G328" s="13">
        <v>4500</v>
      </c>
    </row>
    <row r="329" spans="1:7" hidden="1" x14ac:dyDescent="0.75">
      <c r="A329" s="51">
        <v>44936</v>
      </c>
      <c r="B329" s="52">
        <v>8</v>
      </c>
      <c r="C329" s="8" t="s">
        <v>1622</v>
      </c>
      <c r="D329" s="8" t="s">
        <v>20</v>
      </c>
      <c r="E329" s="52">
        <v>1859</v>
      </c>
      <c r="F329" s="13"/>
      <c r="G329" s="13">
        <v>14850</v>
      </c>
    </row>
    <row r="330" spans="1:7" hidden="1" x14ac:dyDescent="0.75">
      <c r="A330" s="51">
        <v>44936</v>
      </c>
      <c r="B330" s="52">
        <v>8</v>
      </c>
      <c r="C330" s="8" t="s">
        <v>1623</v>
      </c>
      <c r="D330" s="8" t="s">
        <v>20</v>
      </c>
      <c r="E330" s="52">
        <v>1500</v>
      </c>
      <c r="F330" s="13"/>
      <c r="G330" s="13">
        <v>24000</v>
      </c>
    </row>
    <row r="331" spans="1:7" hidden="1" x14ac:dyDescent="0.75">
      <c r="A331" s="51">
        <v>44936</v>
      </c>
      <c r="B331" s="52">
        <v>8</v>
      </c>
      <c r="C331" s="8" t="s">
        <v>1624</v>
      </c>
      <c r="D331" s="8" t="s">
        <v>20</v>
      </c>
      <c r="E331" s="52">
        <v>1396</v>
      </c>
      <c r="F331" s="13"/>
      <c r="G331" s="13">
        <v>15430</v>
      </c>
    </row>
    <row r="332" spans="1:7" hidden="1" x14ac:dyDescent="0.75">
      <c r="A332" s="51">
        <v>44936</v>
      </c>
      <c r="B332" s="52">
        <v>8</v>
      </c>
      <c r="C332" s="8" t="s">
        <v>1549</v>
      </c>
      <c r="D332" s="8" t="s">
        <v>20</v>
      </c>
      <c r="E332" s="52">
        <v>374</v>
      </c>
      <c r="F332" s="13"/>
      <c r="G332" s="13">
        <v>11.5</v>
      </c>
    </row>
    <row r="333" spans="1:7" hidden="1" x14ac:dyDescent="0.75">
      <c r="A333" s="51">
        <v>44936</v>
      </c>
      <c r="B333" s="52">
        <v>8</v>
      </c>
      <c r="C333" s="8" t="s">
        <v>1535</v>
      </c>
      <c r="D333" s="8" t="s">
        <v>20</v>
      </c>
      <c r="E333" s="52">
        <v>1558</v>
      </c>
      <c r="F333" s="13"/>
      <c r="G333" s="13">
        <v>652.55999999999995</v>
      </c>
    </row>
    <row r="334" spans="1:7" hidden="1" x14ac:dyDescent="0.75">
      <c r="A334" s="51">
        <v>44936</v>
      </c>
      <c r="B334" s="52">
        <v>8</v>
      </c>
      <c r="C334" s="8" t="s">
        <v>1625</v>
      </c>
      <c r="D334" s="8" t="s">
        <v>20</v>
      </c>
      <c r="E334" s="52">
        <v>1405</v>
      </c>
      <c r="F334" s="13"/>
      <c r="G334" s="13">
        <v>19688.599999999999</v>
      </c>
    </row>
    <row r="335" spans="1:7" hidden="1" x14ac:dyDescent="0.75">
      <c r="A335" s="51">
        <v>44936</v>
      </c>
      <c r="B335" s="52">
        <v>8</v>
      </c>
      <c r="C335" s="8" t="s">
        <v>1625</v>
      </c>
      <c r="D335" s="8" t="s">
        <v>20</v>
      </c>
      <c r="E335" s="52">
        <v>1405</v>
      </c>
      <c r="F335" s="13"/>
      <c r="G335" s="13">
        <v>18761</v>
      </c>
    </row>
    <row r="336" spans="1:7" hidden="1" x14ac:dyDescent="0.75">
      <c r="A336" s="51">
        <v>44936</v>
      </c>
      <c r="B336" s="52">
        <v>8</v>
      </c>
      <c r="C336" s="8" t="s">
        <v>1626</v>
      </c>
      <c r="D336" s="8" t="s">
        <v>20</v>
      </c>
      <c r="E336" s="52">
        <v>697</v>
      </c>
      <c r="F336" s="13"/>
      <c r="G336" s="13">
        <v>17185</v>
      </c>
    </row>
    <row r="337" spans="1:7" hidden="1" x14ac:dyDescent="0.75">
      <c r="A337" s="51">
        <v>44936</v>
      </c>
      <c r="B337" s="52">
        <v>8</v>
      </c>
      <c r="C337" s="8" t="s">
        <v>1627</v>
      </c>
      <c r="D337" s="8" t="s">
        <v>20</v>
      </c>
      <c r="E337" s="52">
        <v>688</v>
      </c>
      <c r="F337" s="13"/>
      <c r="G337" s="13">
        <v>3158</v>
      </c>
    </row>
    <row r="338" spans="1:7" hidden="1" x14ac:dyDescent="0.75">
      <c r="A338" s="51">
        <v>44936</v>
      </c>
      <c r="B338" s="52">
        <v>8</v>
      </c>
      <c r="C338" s="8" t="s">
        <v>1627</v>
      </c>
      <c r="D338" s="8" t="s">
        <v>20</v>
      </c>
      <c r="E338" s="52">
        <v>688</v>
      </c>
      <c r="F338" s="13"/>
      <c r="G338" s="13">
        <v>3109.8</v>
      </c>
    </row>
    <row r="339" spans="1:7" hidden="1" x14ac:dyDescent="0.75">
      <c r="A339" s="51">
        <v>44936</v>
      </c>
      <c r="B339" s="52">
        <v>8</v>
      </c>
      <c r="C339" s="8" t="s">
        <v>1628</v>
      </c>
      <c r="D339" s="8" t="s">
        <v>20</v>
      </c>
      <c r="E339" s="52">
        <v>686</v>
      </c>
      <c r="F339" s="13"/>
      <c r="G339" s="13">
        <v>1965.8</v>
      </c>
    </row>
    <row r="340" spans="1:7" hidden="1" x14ac:dyDescent="0.75">
      <c r="A340" s="51">
        <v>44936</v>
      </c>
      <c r="B340" s="52">
        <v>8</v>
      </c>
      <c r="C340" s="8" t="s">
        <v>1628</v>
      </c>
      <c r="D340" s="8" t="s">
        <v>20</v>
      </c>
      <c r="E340" s="52">
        <v>686</v>
      </c>
      <c r="F340" s="13"/>
      <c r="G340" s="13">
        <v>1762</v>
      </c>
    </row>
    <row r="341" spans="1:7" hidden="1" x14ac:dyDescent="0.75">
      <c r="A341" s="51">
        <v>44936</v>
      </c>
      <c r="B341" s="52">
        <v>8</v>
      </c>
      <c r="C341" s="8" t="s">
        <v>1629</v>
      </c>
      <c r="D341" s="8" t="s">
        <v>20</v>
      </c>
      <c r="E341" s="52">
        <v>695</v>
      </c>
      <c r="F341" s="13"/>
      <c r="G341" s="13">
        <v>762</v>
      </c>
    </row>
    <row r="342" spans="1:7" hidden="1" x14ac:dyDescent="0.75">
      <c r="A342" s="51">
        <v>44936</v>
      </c>
      <c r="B342" s="52">
        <v>8</v>
      </c>
      <c r="C342" s="8" t="s">
        <v>1629</v>
      </c>
      <c r="D342" s="8" t="s">
        <v>20</v>
      </c>
      <c r="E342" s="52">
        <v>695</v>
      </c>
      <c r="F342" s="13"/>
      <c r="G342" s="13">
        <v>846</v>
      </c>
    </row>
    <row r="343" spans="1:7" hidden="1" x14ac:dyDescent="0.75">
      <c r="A343" s="51">
        <v>44936</v>
      </c>
      <c r="B343" s="52">
        <v>8</v>
      </c>
      <c r="C343" s="8" t="s">
        <v>1630</v>
      </c>
      <c r="D343" s="8" t="s">
        <v>20</v>
      </c>
      <c r="E343" s="52">
        <v>696</v>
      </c>
      <c r="F343" s="13"/>
      <c r="G343" s="13">
        <v>227</v>
      </c>
    </row>
    <row r="344" spans="1:7" hidden="1" x14ac:dyDescent="0.75">
      <c r="A344" s="51">
        <v>44936</v>
      </c>
      <c r="B344" s="52">
        <v>8</v>
      </c>
      <c r="C344" s="8" t="s">
        <v>1630</v>
      </c>
      <c r="D344" s="8" t="s">
        <v>20</v>
      </c>
      <c r="E344" s="52">
        <v>696</v>
      </c>
      <c r="F344" s="13"/>
      <c r="G344" s="13">
        <v>205</v>
      </c>
    </row>
    <row r="345" spans="1:7" hidden="1" x14ac:dyDescent="0.75">
      <c r="A345" s="51">
        <v>44936</v>
      </c>
      <c r="B345" s="52">
        <v>8</v>
      </c>
      <c r="C345" s="8" t="s">
        <v>1631</v>
      </c>
      <c r="D345" s="8" t="s">
        <v>20</v>
      </c>
      <c r="E345" s="52">
        <v>687</v>
      </c>
      <c r="F345" s="13"/>
      <c r="G345" s="13">
        <v>477.9</v>
      </c>
    </row>
    <row r="346" spans="1:7" hidden="1" x14ac:dyDescent="0.75">
      <c r="A346" s="51">
        <v>44936</v>
      </c>
      <c r="B346" s="52">
        <v>8</v>
      </c>
      <c r="C346" s="8" t="s">
        <v>1631</v>
      </c>
      <c r="D346" s="8" t="s">
        <v>20</v>
      </c>
      <c r="E346" s="52">
        <v>687</v>
      </c>
      <c r="F346" s="13"/>
      <c r="G346" s="13">
        <v>554.5</v>
      </c>
    </row>
    <row r="347" spans="1:7" hidden="1" x14ac:dyDescent="0.75">
      <c r="A347" s="51">
        <v>44936</v>
      </c>
      <c r="B347" s="52">
        <v>8</v>
      </c>
      <c r="C347" s="8" t="s">
        <v>1632</v>
      </c>
      <c r="D347" s="8" t="s">
        <v>20</v>
      </c>
      <c r="E347" s="52">
        <v>694</v>
      </c>
      <c r="F347" s="13"/>
      <c r="G347" s="13">
        <v>1432.2</v>
      </c>
    </row>
    <row r="348" spans="1:7" hidden="1" x14ac:dyDescent="0.75">
      <c r="A348" s="51">
        <v>44936</v>
      </c>
      <c r="B348" s="52">
        <v>8</v>
      </c>
      <c r="C348" s="8" t="s">
        <v>1632</v>
      </c>
      <c r="D348" s="8" t="s">
        <v>20</v>
      </c>
      <c r="E348" s="52">
        <v>694</v>
      </c>
      <c r="F348" s="13"/>
      <c r="G348" s="13">
        <v>1533.6</v>
      </c>
    </row>
    <row r="349" spans="1:7" hidden="1" x14ac:dyDescent="0.75">
      <c r="A349" s="51">
        <v>44936</v>
      </c>
      <c r="B349" s="52">
        <v>8</v>
      </c>
      <c r="C349" s="8" t="s">
        <v>1633</v>
      </c>
      <c r="D349" s="8" t="s">
        <v>20</v>
      </c>
      <c r="E349" s="52">
        <v>1684</v>
      </c>
      <c r="F349" s="13"/>
      <c r="G349" s="13">
        <v>2470.65</v>
      </c>
    </row>
    <row r="350" spans="1:7" hidden="1" x14ac:dyDescent="0.75">
      <c r="A350" s="51">
        <v>44936</v>
      </c>
      <c r="B350" s="52">
        <v>8</v>
      </c>
      <c r="C350" s="8" t="s">
        <v>1633</v>
      </c>
      <c r="D350" s="8" t="s">
        <v>20</v>
      </c>
      <c r="E350" s="52">
        <v>1684</v>
      </c>
      <c r="F350" s="13"/>
      <c r="G350" s="13">
        <v>1278.8499999999999</v>
      </c>
    </row>
    <row r="351" spans="1:7" hidden="1" x14ac:dyDescent="0.75">
      <c r="A351" s="51">
        <v>44936</v>
      </c>
      <c r="B351" s="52">
        <v>8</v>
      </c>
      <c r="C351" s="8" t="s">
        <v>1634</v>
      </c>
      <c r="D351" s="8" t="s">
        <v>20</v>
      </c>
      <c r="E351" s="52">
        <v>1619</v>
      </c>
      <c r="F351" s="13"/>
      <c r="G351" s="13">
        <v>11734.1</v>
      </c>
    </row>
    <row r="352" spans="1:7" hidden="1" x14ac:dyDescent="0.75">
      <c r="A352" s="51">
        <v>44936</v>
      </c>
      <c r="B352" s="52">
        <v>8</v>
      </c>
      <c r="C352" s="8" t="s">
        <v>1549</v>
      </c>
      <c r="D352" s="8" t="s">
        <v>20</v>
      </c>
      <c r="E352" s="52">
        <v>374</v>
      </c>
      <c r="F352" s="13"/>
      <c r="G352" s="13">
        <v>11.5</v>
      </c>
    </row>
    <row r="353" spans="1:7" hidden="1" x14ac:dyDescent="0.75">
      <c r="A353" s="51">
        <v>44936</v>
      </c>
      <c r="B353" s="52">
        <v>8</v>
      </c>
      <c r="C353" s="8" t="s">
        <v>1549</v>
      </c>
      <c r="D353" s="8" t="s">
        <v>20</v>
      </c>
      <c r="E353" s="52">
        <v>374</v>
      </c>
      <c r="F353" s="13"/>
      <c r="G353" s="13">
        <v>92.98</v>
      </c>
    </row>
    <row r="354" spans="1:7" hidden="1" x14ac:dyDescent="0.75">
      <c r="A354" s="51">
        <v>44936</v>
      </c>
      <c r="B354" s="52">
        <v>8</v>
      </c>
      <c r="C354" s="8" t="s">
        <v>1536</v>
      </c>
      <c r="D354" s="8" t="s">
        <v>20</v>
      </c>
      <c r="E354" s="52">
        <v>690</v>
      </c>
      <c r="F354" s="13"/>
      <c r="G354" s="13">
        <v>7631</v>
      </c>
    </row>
    <row r="355" spans="1:7" hidden="1" x14ac:dyDescent="0.75">
      <c r="A355" s="51">
        <v>44936</v>
      </c>
      <c r="B355" s="52">
        <v>8</v>
      </c>
      <c r="C355" s="8" t="s">
        <v>1536</v>
      </c>
      <c r="D355" s="8" t="s">
        <v>20</v>
      </c>
      <c r="E355" s="52">
        <v>690</v>
      </c>
      <c r="F355" s="13"/>
      <c r="G355" s="13">
        <v>6949.5</v>
      </c>
    </row>
    <row r="356" spans="1:7" hidden="1" x14ac:dyDescent="0.75">
      <c r="A356" s="51">
        <v>44936</v>
      </c>
      <c r="B356" s="52">
        <v>8</v>
      </c>
      <c r="C356" s="8" t="s">
        <v>1538</v>
      </c>
      <c r="D356" s="8" t="s">
        <v>20</v>
      </c>
      <c r="E356" s="52">
        <v>692</v>
      </c>
      <c r="F356" s="13"/>
      <c r="G356" s="13">
        <v>1360</v>
      </c>
    </row>
    <row r="357" spans="1:7" hidden="1" x14ac:dyDescent="0.75">
      <c r="A357" s="51">
        <v>44936</v>
      </c>
      <c r="B357" s="52">
        <v>8</v>
      </c>
      <c r="C357" s="8" t="s">
        <v>1593</v>
      </c>
      <c r="D357" s="8" t="s">
        <v>20</v>
      </c>
      <c r="E357" s="52">
        <v>1306</v>
      </c>
      <c r="F357" s="13"/>
      <c r="G357" s="13">
        <v>11730</v>
      </c>
    </row>
    <row r="358" spans="1:7" hidden="1" x14ac:dyDescent="0.75">
      <c r="A358" s="51">
        <v>44936</v>
      </c>
      <c r="B358" s="52">
        <v>8</v>
      </c>
      <c r="C358" s="8" t="s">
        <v>1523</v>
      </c>
      <c r="D358" s="8" t="s">
        <v>20</v>
      </c>
      <c r="E358" s="52">
        <v>1900</v>
      </c>
      <c r="F358" s="13"/>
      <c r="G358" s="13">
        <v>2361.3000000000002</v>
      </c>
    </row>
    <row r="359" spans="1:7" hidden="1" x14ac:dyDescent="0.75">
      <c r="A359" s="51">
        <v>44936</v>
      </c>
      <c r="B359" s="52">
        <v>8</v>
      </c>
      <c r="C359" s="8" t="s">
        <v>1593</v>
      </c>
      <c r="D359" s="8" t="s">
        <v>20</v>
      </c>
      <c r="E359" s="52">
        <v>1306</v>
      </c>
      <c r="F359" s="13"/>
      <c r="G359" s="13">
        <v>12745</v>
      </c>
    </row>
    <row r="360" spans="1:7" hidden="1" x14ac:dyDescent="0.75">
      <c r="A360" s="51">
        <v>44936</v>
      </c>
      <c r="B360" s="52">
        <v>8</v>
      </c>
      <c r="C360" s="8" t="s">
        <v>1526</v>
      </c>
      <c r="D360" s="8" t="s">
        <v>20</v>
      </c>
      <c r="E360" s="52">
        <v>689</v>
      </c>
      <c r="F360" s="13"/>
      <c r="G360" s="13">
        <v>7200.6</v>
      </c>
    </row>
    <row r="361" spans="1:7" hidden="1" x14ac:dyDescent="0.75">
      <c r="A361" s="51">
        <v>44936</v>
      </c>
      <c r="B361" s="52">
        <v>8</v>
      </c>
      <c r="C361" s="8" t="s">
        <v>1635</v>
      </c>
      <c r="D361" s="8" t="s">
        <v>20</v>
      </c>
      <c r="E361" s="52">
        <v>1503</v>
      </c>
      <c r="F361" s="13"/>
      <c r="G361" s="13">
        <v>20308.400000000001</v>
      </c>
    </row>
    <row r="362" spans="1:7" hidden="1" x14ac:dyDescent="0.75">
      <c r="A362" s="51">
        <v>44937</v>
      </c>
      <c r="B362" s="52">
        <v>8</v>
      </c>
      <c r="C362" s="8" t="s">
        <v>1636</v>
      </c>
      <c r="D362" s="8" t="s">
        <v>20</v>
      </c>
      <c r="E362" s="52">
        <v>1852</v>
      </c>
      <c r="F362" s="13">
        <v>89.5</v>
      </c>
      <c r="G362" s="13"/>
    </row>
    <row r="363" spans="1:7" hidden="1" x14ac:dyDescent="0.75">
      <c r="A363" s="51">
        <v>44937</v>
      </c>
      <c r="B363" s="52">
        <v>8</v>
      </c>
      <c r="C363" s="8" t="s">
        <v>1637</v>
      </c>
      <c r="D363" s="8" t="s">
        <v>20</v>
      </c>
      <c r="E363" s="52">
        <v>1852</v>
      </c>
      <c r="F363" s="13">
        <v>2293.9499999999998</v>
      </c>
      <c r="G363" s="13"/>
    </row>
    <row r="364" spans="1:7" hidden="1" x14ac:dyDescent="0.75">
      <c r="A364" s="51">
        <v>44937</v>
      </c>
      <c r="B364" s="52">
        <v>8</v>
      </c>
      <c r="C364" s="8" t="s">
        <v>1481</v>
      </c>
      <c r="D364" s="8" t="s">
        <v>20</v>
      </c>
      <c r="E364" s="52">
        <v>1362</v>
      </c>
      <c r="F364" s="13">
        <v>20512.349999999999</v>
      </c>
      <c r="G364" s="13"/>
    </row>
    <row r="365" spans="1:7" hidden="1" x14ac:dyDescent="0.75">
      <c r="A365" s="51">
        <v>44937</v>
      </c>
      <c r="B365" s="52">
        <v>8</v>
      </c>
      <c r="C365" s="8" t="s">
        <v>1638</v>
      </c>
      <c r="D365" s="8" t="s">
        <v>20</v>
      </c>
      <c r="E365" s="52">
        <v>1518</v>
      </c>
      <c r="F365" s="13"/>
      <c r="G365" s="13">
        <v>1132.4000000000001</v>
      </c>
    </row>
    <row r="366" spans="1:7" hidden="1" x14ac:dyDescent="0.75">
      <c r="A366" s="51">
        <v>44937</v>
      </c>
      <c r="B366" s="52">
        <v>8</v>
      </c>
      <c r="C366" s="8" t="s">
        <v>1639</v>
      </c>
      <c r="D366" s="8" t="s">
        <v>20</v>
      </c>
      <c r="E366" s="52">
        <v>756</v>
      </c>
      <c r="F366" s="13"/>
      <c r="G366" s="13">
        <v>1260</v>
      </c>
    </row>
    <row r="367" spans="1:7" hidden="1" x14ac:dyDescent="0.75">
      <c r="A367" s="51">
        <v>44937</v>
      </c>
      <c r="B367" s="52">
        <v>8</v>
      </c>
      <c r="C367" s="8" t="s">
        <v>1549</v>
      </c>
      <c r="D367" s="8" t="s">
        <v>20</v>
      </c>
      <c r="E367" s="52">
        <v>374</v>
      </c>
      <c r="F367" s="13"/>
      <c r="G367" s="13">
        <v>22.4</v>
      </c>
    </row>
    <row r="368" spans="1:7" hidden="1" x14ac:dyDescent="0.75">
      <c r="A368" s="51">
        <v>44937</v>
      </c>
      <c r="B368" s="52">
        <v>8</v>
      </c>
      <c r="C368" s="8" t="s">
        <v>1549</v>
      </c>
      <c r="D368" s="8" t="s">
        <v>20</v>
      </c>
      <c r="E368" s="52">
        <v>374</v>
      </c>
      <c r="F368" s="13"/>
      <c r="G368" s="13">
        <v>71.23</v>
      </c>
    </row>
    <row r="369" spans="1:7" hidden="1" x14ac:dyDescent="0.75">
      <c r="A369" s="51">
        <v>44937</v>
      </c>
      <c r="B369" s="52">
        <v>8</v>
      </c>
      <c r="C369" s="8" t="s">
        <v>1640</v>
      </c>
      <c r="D369" s="8" t="s">
        <v>20</v>
      </c>
      <c r="E369" s="52">
        <v>1365</v>
      </c>
      <c r="F369" s="13"/>
      <c r="G369" s="13">
        <v>665</v>
      </c>
    </row>
    <row r="370" spans="1:7" hidden="1" x14ac:dyDescent="0.75">
      <c r="A370" s="51">
        <v>44937</v>
      </c>
      <c r="B370" s="52">
        <v>8</v>
      </c>
      <c r="C370" s="8" t="s">
        <v>1641</v>
      </c>
      <c r="D370" s="8" t="s">
        <v>20</v>
      </c>
      <c r="E370" s="52">
        <v>774</v>
      </c>
      <c r="F370" s="13"/>
      <c r="G370" s="13">
        <v>1730</v>
      </c>
    </row>
    <row r="371" spans="1:7" hidden="1" x14ac:dyDescent="0.75">
      <c r="A371" s="51">
        <v>44937</v>
      </c>
      <c r="B371" s="52">
        <v>8</v>
      </c>
      <c r="C371" s="8" t="s">
        <v>1642</v>
      </c>
      <c r="D371" s="8" t="s">
        <v>20</v>
      </c>
      <c r="E371" s="52">
        <v>1348</v>
      </c>
      <c r="F371" s="13"/>
      <c r="G371" s="13">
        <v>660</v>
      </c>
    </row>
    <row r="372" spans="1:7" hidden="1" x14ac:dyDescent="0.75">
      <c r="A372" s="51">
        <v>44937</v>
      </c>
      <c r="B372" s="52">
        <v>8</v>
      </c>
      <c r="C372" s="8" t="s">
        <v>1643</v>
      </c>
      <c r="D372" s="8" t="s">
        <v>20</v>
      </c>
      <c r="E372" s="52">
        <v>769</v>
      </c>
      <c r="F372" s="13"/>
      <c r="G372" s="13">
        <v>4436</v>
      </c>
    </row>
    <row r="373" spans="1:7" hidden="1" x14ac:dyDescent="0.75">
      <c r="A373" s="51">
        <v>44937</v>
      </c>
      <c r="B373" s="52">
        <v>8</v>
      </c>
      <c r="C373" s="8" t="s">
        <v>1644</v>
      </c>
      <c r="D373" s="8" t="s">
        <v>20</v>
      </c>
      <c r="E373" s="52">
        <v>769</v>
      </c>
      <c r="F373" s="13"/>
      <c r="G373" s="13">
        <v>385</v>
      </c>
    </row>
    <row r="374" spans="1:7" hidden="1" x14ac:dyDescent="0.75">
      <c r="A374" s="51">
        <v>44937</v>
      </c>
      <c r="B374" s="52">
        <v>8</v>
      </c>
      <c r="C374" s="8" t="s">
        <v>1645</v>
      </c>
      <c r="D374" s="8" t="s">
        <v>20</v>
      </c>
      <c r="E374" s="52">
        <v>1979</v>
      </c>
      <c r="F374" s="13"/>
      <c r="G374" s="13">
        <v>1809</v>
      </c>
    </row>
    <row r="375" spans="1:7" hidden="1" x14ac:dyDescent="0.75">
      <c r="A375" s="51">
        <v>44937</v>
      </c>
      <c r="B375" s="52">
        <v>8</v>
      </c>
      <c r="C375" s="8" t="s">
        <v>1646</v>
      </c>
      <c r="D375" s="8" t="s">
        <v>20</v>
      </c>
      <c r="E375" s="52">
        <v>1945</v>
      </c>
      <c r="F375" s="13"/>
      <c r="G375" s="13">
        <v>307.99</v>
      </c>
    </row>
    <row r="376" spans="1:7" hidden="1" x14ac:dyDescent="0.75">
      <c r="A376" s="51">
        <v>44937</v>
      </c>
      <c r="B376" s="52">
        <v>8</v>
      </c>
      <c r="C376" s="8" t="s">
        <v>1647</v>
      </c>
      <c r="D376" s="8" t="s">
        <v>20</v>
      </c>
      <c r="E376" s="52">
        <v>1945</v>
      </c>
      <c r="F376" s="13"/>
      <c r="G376" s="13">
        <v>186.67</v>
      </c>
    </row>
    <row r="377" spans="1:7" hidden="1" x14ac:dyDescent="0.75">
      <c r="A377" s="51">
        <v>44937</v>
      </c>
      <c r="B377" s="52">
        <v>8</v>
      </c>
      <c r="C377" s="8" t="s">
        <v>1549</v>
      </c>
      <c r="D377" s="8" t="s">
        <v>20</v>
      </c>
      <c r="E377" s="52">
        <v>374</v>
      </c>
      <c r="F377" s="13"/>
      <c r="G377" s="13">
        <v>10</v>
      </c>
    </row>
    <row r="378" spans="1:7" hidden="1" x14ac:dyDescent="0.75">
      <c r="A378" s="51">
        <v>44937</v>
      </c>
      <c r="B378" s="52">
        <v>8</v>
      </c>
      <c r="C378" s="8" t="s">
        <v>1648</v>
      </c>
      <c r="D378" s="8" t="s">
        <v>20</v>
      </c>
      <c r="E378" s="52">
        <v>374</v>
      </c>
      <c r="F378" s="13"/>
      <c r="G378" s="13">
        <v>1100</v>
      </c>
    </row>
    <row r="379" spans="1:7" hidden="1" x14ac:dyDescent="0.75">
      <c r="A379" s="51">
        <v>44937</v>
      </c>
      <c r="B379" s="52">
        <v>8</v>
      </c>
      <c r="C379" s="8" t="s">
        <v>1524</v>
      </c>
      <c r="D379" s="8" t="s">
        <v>20</v>
      </c>
      <c r="E379" s="52">
        <v>702</v>
      </c>
      <c r="F379" s="13"/>
      <c r="G379" s="13">
        <v>1520</v>
      </c>
    </row>
    <row r="380" spans="1:7" hidden="1" x14ac:dyDescent="0.75">
      <c r="A380" s="51">
        <v>44937</v>
      </c>
      <c r="B380" s="52">
        <v>8</v>
      </c>
      <c r="C380" s="8" t="s">
        <v>1525</v>
      </c>
      <c r="D380" s="8" t="s">
        <v>20</v>
      </c>
      <c r="E380" s="52">
        <v>703</v>
      </c>
      <c r="F380" s="13"/>
      <c r="G380" s="13">
        <v>450</v>
      </c>
    </row>
    <row r="381" spans="1:7" hidden="1" x14ac:dyDescent="0.75">
      <c r="A381" s="51">
        <v>44937</v>
      </c>
      <c r="B381" s="52">
        <v>8</v>
      </c>
      <c r="C381" s="8" t="s">
        <v>1537</v>
      </c>
      <c r="D381" s="8" t="s">
        <v>20</v>
      </c>
      <c r="E381" s="52">
        <v>973</v>
      </c>
      <c r="F381" s="13"/>
      <c r="G381" s="13">
        <v>80</v>
      </c>
    </row>
    <row r="382" spans="1:7" hidden="1" x14ac:dyDescent="0.75">
      <c r="A382" s="51">
        <v>44937</v>
      </c>
      <c r="B382" s="52">
        <v>8</v>
      </c>
      <c r="C382" s="8" t="s">
        <v>1649</v>
      </c>
      <c r="D382" s="8" t="s">
        <v>20</v>
      </c>
      <c r="E382" s="52">
        <v>973</v>
      </c>
      <c r="F382" s="13"/>
      <c r="G382" s="13">
        <v>73</v>
      </c>
    </row>
    <row r="383" spans="1:7" hidden="1" x14ac:dyDescent="0.75">
      <c r="A383" s="51">
        <v>44937</v>
      </c>
      <c r="B383" s="52">
        <v>8</v>
      </c>
      <c r="C383" s="8" t="s">
        <v>1525</v>
      </c>
      <c r="D383" s="8" t="s">
        <v>20</v>
      </c>
      <c r="E383" s="52">
        <v>703</v>
      </c>
      <c r="F383" s="13"/>
      <c r="G383" s="13">
        <v>513</v>
      </c>
    </row>
    <row r="384" spans="1:7" hidden="1" x14ac:dyDescent="0.75">
      <c r="A384" s="51">
        <v>44937</v>
      </c>
      <c r="B384" s="52">
        <v>8</v>
      </c>
      <c r="C384" s="8" t="s">
        <v>1537</v>
      </c>
      <c r="D384" s="8" t="s">
        <v>20</v>
      </c>
      <c r="E384" s="52">
        <v>973</v>
      </c>
      <c r="F384" s="13"/>
      <c r="G384" s="13">
        <v>161</v>
      </c>
    </row>
    <row r="385" spans="1:7" hidden="1" x14ac:dyDescent="0.75">
      <c r="A385" s="51">
        <v>44938</v>
      </c>
      <c r="B385" s="52">
        <v>8</v>
      </c>
      <c r="C385" s="8" t="s">
        <v>1650</v>
      </c>
      <c r="D385" s="8" t="s">
        <v>20</v>
      </c>
      <c r="E385" s="52">
        <v>25</v>
      </c>
      <c r="F385" s="13"/>
      <c r="G385" s="13">
        <v>40737.480000000003</v>
      </c>
    </row>
    <row r="386" spans="1:7" hidden="1" x14ac:dyDescent="0.75">
      <c r="A386" s="51">
        <v>44938</v>
      </c>
      <c r="B386" s="52">
        <v>8</v>
      </c>
      <c r="C386" s="8" t="s">
        <v>1651</v>
      </c>
      <c r="D386" s="8" t="s">
        <v>20</v>
      </c>
      <c r="E386" s="52">
        <v>754</v>
      </c>
      <c r="F386" s="13"/>
      <c r="G386" s="13">
        <v>488.3</v>
      </c>
    </row>
    <row r="387" spans="1:7" hidden="1" x14ac:dyDescent="0.75">
      <c r="A387" s="51">
        <v>44938</v>
      </c>
      <c r="B387" s="52">
        <v>8</v>
      </c>
      <c r="C387" s="8" t="s">
        <v>1652</v>
      </c>
      <c r="D387" s="8" t="s">
        <v>20</v>
      </c>
      <c r="E387" s="52">
        <v>774</v>
      </c>
      <c r="F387" s="13"/>
      <c r="G387" s="13">
        <v>420</v>
      </c>
    </row>
    <row r="388" spans="1:7" hidden="1" x14ac:dyDescent="0.75">
      <c r="A388" s="51">
        <v>44938</v>
      </c>
      <c r="B388" s="52">
        <v>8</v>
      </c>
      <c r="C388" s="8" t="s">
        <v>1653</v>
      </c>
      <c r="D388" s="8" t="s">
        <v>20</v>
      </c>
      <c r="E388" s="52">
        <v>1365</v>
      </c>
      <c r="F388" s="13"/>
      <c r="G388" s="13">
        <v>765</v>
      </c>
    </row>
    <row r="389" spans="1:7" hidden="1" x14ac:dyDescent="0.75">
      <c r="A389" s="51">
        <v>44938</v>
      </c>
      <c r="B389" s="52">
        <v>8</v>
      </c>
      <c r="C389" s="8" t="s">
        <v>1654</v>
      </c>
      <c r="D389" s="8" t="s">
        <v>20</v>
      </c>
      <c r="E389" s="52">
        <v>908</v>
      </c>
      <c r="F389" s="13"/>
      <c r="G389" s="13">
        <v>833.7</v>
      </c>
    </row>
    <row r="390" spans="1:7" hidden="1" x14ac:dyDescent="0.75">
      <c r="A390" s="51">
        <v>44938</v>
      </c>
      <c r="B390" s="52">
        <v>8</v>
      </c>
      <c r="C390" s="8" t="s">
        <v>1655</v>
      </c>
      <c r="D390" s="8" t="s">
        <v>20</v>
      </c>
      <c r="E390" s="52">
        <v>1551</v>
      </c>
      <c r="F390" s="13"/>
      <c r="G390" s="13">
        <v>950</v>
      </c>
    </row>
    <row r="391" spans="1:7" hidden="1" x14ac:dyDescent="0.75">
      <c r="A391" s="51">
        <v>44938</v>
      </c>
      <c r="B391" s="52">
        <v>8</v>
      </c>
      <c r="C391" s="8" t="s">
        <v>1656</v>
      </c>
      <c r="D391" s="8" t="s">
        <v>20</v>
      </c>
      <c r="E391" s="52">
        <v>762</v>
      </c>
      <c r="F391" s="13"/>
      <c r="G391" s="13">
        <v>5200</v>
      </c>
    </row>
    <row r="392" spans="1:7" hidden="1" x14ac:dyDescent="0.75">
      <c r="A392" s="51">
        <v>44938</v>
      </c>
      <c r="B392" s="52">
        <v>8</v>
      </c>
      <c r="C392" s="8" t="s">
        <v>1657</v>
      </c>
      <c r="D392" s="8" t="s">
        <v>20</v>
      </c>
      <c r="E392" s="52">
        <v>1672</v>
      </c>
      <c r="F392" s="13"/>
      <c r="G392" s="13">
        <v>60</v>
      </c>
    </row>
    <row r="393" spans="1:7" hidden="1" x14ac:dyDescent="0.75">
      <c r="A393" s="51">
        <v>44938</v>
      </c>
      <c r="B393" s="52">
        <v>8</v>
      </c>
      <c r="C393" s="8" t="s">
        <v>1549</v>
      </c>
      <c r="D393" s="8" t="s">
        <v>20</v>
      </c>
      <c r="E393" s="52">
        <v>374</v>
      </c>
      <c r="F393" s="13"/>
      <c r="G393" s="13">
        <v>16.8</v>
      </c>
    </row>
    <row r="394" spans="1:7" hidden="1" x14ac:dyDescent="0.75">
      <c r="A394" s="51">
        <v>44938</v>
      </c>
      <c r="B394" s="52">
        <v>8</v>
      </c>
      <c r="C394" s="8" t="s">
        <v>1549</v>
      </c>
      <c r="D394" s="8" t="s">
        <v>20</v>
      </c>
      <c r="E394" s="52">
        <v>374</v>
      </c>
      <c r="F394" s="13"/>
      <c r="G394" s="13">
        <v>11.5</v>
      </c>
    </row>
    <row r="395" spans="1:7" hidden="1" x14ac:dyDescent="0.75">
      <c r="A395" s="51">
        <v>44938</v>
      </c>
      <c r="B395" s="52">
        <v>8</v>
      </c>
      <c r="C395" s="8" t="s">
        <v>1549</v>
      </c>
      <c r="D395" s="8" t="s">
        <v>20</v>
      </c>
      <c r="E395" s="52">
        <v>374</v>
      </c>
      <c r="F395" s="13"/>
      <c r="G395" s="13">
        <v>11.5</v>
      </c>
    </row>
    <row r="396" spans="1:7" hidden="1" x14ac:dyDescent="0.75">
      <c r="A396" s="51">
        <v>44938</v>
      </c>
      <c r="B396" s="52">
        <v>8</v>
      </c>
      <c r="C396" s="8" t="s">
        <v>1549</v>
      </c>
      <c r="D396" s="8" t="s">
        <v>20</v>
      </c>
      <c r="E396" s="52">
        <v>374</v>
      </c>
      <c r="F396" s="13"/>
      <c r="G396" s="13">
        <v>1</v>
      </c>
    </row>
    <row r="397" spans="1:7" hidden="1" x14ac:dyDescent="0.75">
      <c r="A397" s="51">
        <v>44938</v>
      </c>
      <c r="B397" s="52">
        <v>8</v>
      </c>
      <c r="C397" s="8" t="s">
        <v>1658</v>
      </c>
      <c r="D397" s="8" t="s">
        <v>20</v>
      </c>
      <c r="E397" s="52">
        <v>1449</v>
      </c>
      <c r="F397" s="13"/>
      <c r="G397" s="13">
        <v>275</v>
      </c>
    </row>
    <row r="398" spans="1:7" hidden="1" x14ac:dyDescent="0.75">
      <c r="A398" s="51">
        <v>44938</v>
      </c>
      <c r="B398" s="52">
        <v>8</v>
      </c>
      <c r="C398" s="8" t="s">
        <v>1523</v>
      </c>
      <c r="D398" s="8" t="s">
        <v>20</v>
      </c>
      <c r="E398" s="52">
        <v>1900</v>
      </c>
      <c r="F398" s="13"/>
      <c r="G398" s="13">
        <v>2447.5</v>
      </c>
    </row>
    <row r="399" spans="1:7" hidden="1" x14ac:dyDescent="0.75">
      <c r="A399" s="51">
        <v>44938</v>
      </c>
      <c r="B399" s="52">
        <v>8</v>
      </c>
      <c r="C399" s="8" t="s">
        <v>1538</v>
      </c>
      <c r="D399" s="8" t="s">
        <v>20</v>
      </c>
      <c r="E399" s="52">
        <v>692</v>
      </c>
      <c r="F399" s="13"/>
      <c r="G399" s="13">
        <v>1529.6</v>
      </c>
    </row>
    <row r="400" spans="1:7" hidden="1" x14ac:dyDescent="0.75">
      <c r="A400" s="51">
        <v>44939</v>
      </c>
      <c r="B400" s="52">
        <v>8</v>
      </c>
      <c r="C400" s="8" t="s">
        <v>1659</v>
      </c>
      <c r="D400" s="8" t="s">
        <v>20</v>
      </c>
      <c r="E400" s="52">
        <v>1852</v>
      </c>
      <c r="F400" s="13">
        <v>2532.71</v>
      </c>
      <c r="G400" s="13"/>
    </row>
    <row r="401" spans="1:7" hidden="1" x14ac:dyDescent="0.75">
      <c r="A401" s="51">
        <v>44939</v>
      </c>
      <c r="B401" s="52">
        <v>8</v>
      </c>
      <c r="C401" s="8" t="s">
        <v>1660</v>
      </c>
      <c r="D401" s="8" t="s">
        <v>20</v>
      </c>
      <c r="E401" s="52">
        <v>1372</v>
      </c>
      <c r="F401" s="13"/>
      <c r="G401" s="13">
        <v>2795.18</v>
      </c>
    </row>
    <row r="402" spans="1:7" hidden="1" x14ac:dyDescent="0.75">
      <c r="A402" s="51">
        <v>44939</v>
      </c>
      <c r="B402" s="52">
        <v>8</v>
      </c>
      <c r="C402" s="8" t="s">
        <v>1661</v>
      </c>
      <c r="D402" s="8" t="s">
        <v>20</v>
      </c>
      <c r="E402" s="52">
        <v>1721</v>
      </c>
      <c r="F402" s="13"/>
      <c r="G402" s="13">
        <v>690</v>
      </c>
    </row>
    <row r="403" spans="1:7" hidden="1" x14ac:dyDescent="0.75">
      <c r="A403" s="51">
        <v>44939</v>
      </c>
      <c r="B403" s="52">
        <v>8</v>
      </c>
      <c r="C403" s="8" t="s">
        <v>1662</v>
      </c>
      <c r="D403" s="8" t="s">
        <v>20</v>
      </c>
      <c r="E403" s="52">
        <v>1365</v>
      </c>
      <c r="F403" s="13"/>
      <c r="G403" s="13">
        <v>500</v>
      </c>
    </row>
    <row r="404" spans="1:7" hidden="1" x14ac:dyDescent="0.75">
      <c r="A404" s="51">
        <v>44939</v>
      </c>
      <c r="B404" s="52">
        <v>8</v>
      </c>
      <c r="C404" s="8" t="s">
        <v>1663</v>
      </c>
      <c r="D404" s="8" t="s">
        <v>20</v>
      </c>
      <c r="E404" s="52">
        <v>1721</v>
      </c>
      <c r="F404" s="13"/>
      <c r="G404" s="13">
        <v>1012</v>
      </c>
    </row>
    <row r="405" spans="1:7" hidden="1" x14ac:dyDescent="0.75">
      <c r="A405" s="51">
        <v>44939</v>
      </c>
      <c r="B405" s="52">
        <v>8</v>
      </c>
      <c r="C405" s="8" t="s">
        <v>1664</v>
      </c>
      <c r="D405" s="8" t="s">
        <v>20</v>
      </c>
      <c r="E405" s="52">
        <v>1721</v>
      </c>
      <c r="F405" s="13"/>
      <c r="G405" s="13">
        <v>708.5</v>
      </c>
    </row>
    <row r="406" spans="1:7" hidden="1" x14ac:dyDescent="0.75">
      <c r="A406" s="51">
        <v>44939</v>
      </c>
      <c r="B406" s="52">
        <v>8</v>
      </c>
      <c r="C406" s="8" t="s">
        <v>1665</v>
      </c>
      <c r="D406" s="8" t="s">
        <v>20</v>
      </c>
      <c r="E406" s="52">
        <v>774</v>
      </c>
      <c r="F406" s="13"/>
      <c r="G406" s="13">
        <v>1260</v>
      </c>
    </row>
    <row r="407" spans="1:7" hidden="1" x14ac:dyDescent="0.75">
      <c r="A407" s="51">
        <v>44939</v>
      </c>
      <c r="B407" s="52">
        <v>8</v>
      </c>
      <c r="C407" s="8" t="s">
        <v>1666</v>
      </c>
      <c r="D407" s="8" t="s">
        <v>20</v>
      </c>
      <c r="E407" s="52">
        <v>771</v>
      </c>
      <c r="F407" s="13"/>
      <c r="G407" s="13">
        <v>360</v>
      </c>
    </row>
    <row r="408" spans="1:7" hidden="1" x14ac:dyDescent="0.75">
      <c r="A408" s="51">
        <v>44939</v>
      </c>
      <c r="B408" s="52">
        <v>8</v>
      </c>
      <c r="C408" s="8" t="s">
        <v>1667</v>
      </c>
      <c r="D408" s="8" t="s">
        <v>20</v>
      </c>
      <c r="E408" s="52">
        <v>1348</v>
      </c>
      <c r="F408" s="13"/>
      <c r="G408" s="13">
        <v>495</v>
      </c>
    </row>
    <row r="409" spans="1:7" hidden="1" x14ac:dyDescent="0.75">
      <c r="A409" s="51">
        <v>44939</v>
      </c>
      <c r="B409" s="52">
        <v>8</v>
      </c>
      <c r="C409" s="8" t="s">
        <v>1668</v>
      </c>
      <c r="D409" s="8" t="s">
        <v>20</v>
      </c>
      <c r="E409" s="52">
        <v>771</v>
      </c>
      <c r="F409" s="13"/>
      <c r="G409" s="13">
        <v>360</v>
      </c>
    </row>
    <row r="410" spans="1:7" hidden="1" x14ac:dyDescent="0.75">
      <c r="A410" s="51">
        <v>44939</v>
      </c>
      <c r="B410" s="52">
        <v>8</v>
      </c>
      <c r="C410" s="8" t="s">
        <v>1669</v>
      </c>
      <c r="D410" s="8" t="s">
        <v>20</v>
      </c>
      <c r="E410" s="52">
        <v>1598</v>
      </c>
      <c r="F410" s="13"/>
      <c r="G410" s="13">
        <v>3300</v>
      </c>
    </row>
    <row r="411" spans="1:7" hidden="1" x14ac:dyDescent="0.75">
      <c r="A411" s="51">
        <v>44939</v>
      </c>
      <c r="B411" s="52">
        <v>8</v>
      </c>
      <c r="C411" s="8" t="s">
        <v>1670</v>
      </c>
      <c r="D411" s="8" t="s">
        <v>20</v>
      </c>
      <c r="E411" s="52">
        <v>1461</v>
      </c>
      <c r="F411" s="13"/>
      <c r="G411" s="13">
        <v>19000</v>
      </c>
    </row>
    <row r="412" spans="1:7" hidden="1" x14ac:dyDescent="0.75">
      <c r="A412" s="51">
        <v>44939</v>
      </c>
      <c r="B412" s="52">
        <v>8</v>
      </c>
      <c r="C412" s="8" t="s">
        <v>1671</v>
      </c>
      <c r="D412" s="8" t="s">
        <v>20</v>
      </c>
      <c r="E412" s="52">
        <v>754</v>
      </c>
      <c r="F412" s="13"/>
      <c r="G412" s="13">
        <v>555</v>
      </c>
    </row>
    <row r="413" spans="1:7" hidden="1" x14ac:dyDescent="0.75">
      <c r="A413" s="51">
        <v>44939</v>
      </c>
      <c r="B413" s="52">
        <v>8</v>
      </c>
      <c r="C413" s="8" t="s">
        <v>1672</v>
      </c>
      <c r="D413" s="8" t="s">
        <v>20</v>
      </c>
      <c r="E413" s="52">
        <v>769</v>
      </c>
      <c r="F413" s="13"/>
      <c r="G413" s="13">
        <v>4715</v>
      </c>
    </row>
    <row r="414" spans="1:7" hidden="1" x14ac:dyDescent="0.75">
      <c r="A414" s="51">
        <v>44939</v>
      </c>
      <c r="B414" s="52">
        <v>8</v>
      </c>
      <c r="C414" s="8" t="s">
        <v>1673</v>
      </c>
      <c r="D414" s="8" t="s">
        <v>20</v>
      </c>
      <c r="E414" s="52">
        <v>948</v>
      </c>
      <c r="F414" s="13"/>
      <c r="G414" s="13">
        <v>1504.82</v>
      </c>
    </row>
    <row r="415" spans="1:7" hidden="1" x14ac:dyDescent="0.75">
      <c r="A415" s="51">
        <v>44939</v>
      </c>
      <c r="B415" s="52">
        <v>8</v>
      </c>
      <c r="C415" s="8" t="s">
        <v>1549</v>
      </c>
      <c r="D415" s="8" t="s">
        <v>20</v>
      </c>
      <c r="E415" s="52">
        <v>374</v>
      </c>
      <c r="F415" s="13"/>
      <c r="G415" s="13">
        <v>8.4</v>
      </c>
    </row>
    <row r="416" spans="1:7" hidden="1" x14ac:dyDescent="0.75">
      <c r="A416" s="51">
        <v>44939</v>
      </c>
      <c r="B416" s="52">
        <v>8</v>
      </c>
      <c r="C416" s="8" t="s">
        <v>1549</v>
      </c>
      <c r="D416" s="8" t="s">
        <v>20</v>
      </c>
      <c r="E416" s="52">
        <v>374</v>
      </c>
      <c r="F416" s="13"/>
      <c r="G416" s="13">
        <v>11.5</v>
      </c>
    </row>
    <row r="417" spans="1:7" hidden="1" x14ac:dyDescent="0.75">
      <c r="A417" s="51">
        <v>44939</v>
      </c>
      <c r="B417" s="52">
        <v>8</v>
      </c>
      <c r="C417" s="8" t="s">
        <v>1549</v>
      </c>
      <c r="D417" s="8" t="s">
        <v>20</v>
      </c>
      <c r="E417" s="52">
        <v>374</v>
      </c>
      <c r="F417" s="13"/>
      <c r="G417" s="13">
        <v>11.5</v>
      </c>
    </row>
    <row r="418" spans="1:7" hidden="1" x14ac:dyDescent="0.75">
      <c r="A418" s="51">
        <v>44939</v>
      </c>
      <c r="B418" s="52">
        <v>8</v>
      </c>
      <c r="C418" s="8" t="s">
        <v>1549</v>
      </c>
      <c r="D418" s="8" t="s">
        <v>20</v>
      </c>
      <c r="E418" s="52">
        <v>374</v>
      </c>
      <c r="F418" s="13"/>
      <c r="G418" s="13">
        <v>12.97</v>
      </c>
    </row>
    <row r="419" spans="1:7" hidden="1" x14ac:dyDescent="0.75">
      <c r="A419" s="51">
        <v>44939</v>
      </c>
      <c r="B419" s="52">
        <v>8</v>
      </c>
      <c r="C419" s="8" t="s">
        <v>1674</v>
      </c>
      <c r="D419" s="8" t="s">
        <v>20</v>
      </c>
      <c r="E419" s="52">
        <v>25</v>
      </c>
      <c r="F419" s="13"/>
      <c r="G419" s="13">
        <v>2155.35</v>
      </c>
    </row>
    <row r="420" spans="1:7" hidden="1" x14ac:dyDescent="0.75">
      <c r="A420" s="51">
        <v>44939</v>
      </c>
      <c r="B420" s="52">
        <v>8</v>
      </c>
      <c r="C420" s="8" t="s">
        <v>1576</v>
      </c>
      <c r="D420" s="8" t="s">
        <v>20</v>
      </c>
      <c r="E420" s="52">
        <v>1914</v>
      </c>
      <c r="F420" s="13"/>
      <c r="G420" s="13">
        <v>300</v>
      </c>
    </row>
    <row r="421" spans="1:7" hidden="1" x14ac:dyDescent="0.75">
      <c r="A421" s="51">
        <v>44939</v>
      </c>
      <c r="B421" s="52">
        <v>8</v>
      </c>
      <c r="C421" s="8" t="s">
        <v>1675</v>
      </c>
      <c r="D421" s="8" t="s">
        <v>20</v>
      </c>
      <c r="E421" s="52">
        <v>828</v>
      </c>
      <c r="F421" s="13"/>
      <c r="G421" s="13">
        <v>3000</v>
      </c>
    </row>
    <row r="422" spans="1:7" hidden="1" x14ac:dyDescent="0.75">
      <c r="A422" s="51">
        <v>44939</v>
      </c>
      <c r="B422" s="52">
        <v>8</v>
      </c>
      <c r="C422" s="8" t="s">
        <v>1676</v>
      </c>
      <c r="D422" s="8" t="s">
        <v>20</v>
      </c>
      <c r="E422" s="52">
        <v>828</v>
      </c>
      <c r="F422" s="13"/>
      <c r="G422" s="13">
        <v>2100</v>
      </c>
    </row>
    <row r="423" spans="1:7" hidden="1" x14ac:dyDescent="0.75">
      <c r="A423" s="51">
        <v>44939</v>
      </c>
      <c r="B423" s="52">
        <v>8</v>
      </c>
      <c r="C423" s="8" t="s">
        <v>1677</v>
      </c>
      <c r="D423" s="8" t="s">
        <v>20</v>
      </c>
      <c r="E423" s="52">
        <v>828</v>
      </c>
      <c r="F423" s="13"/>
      <c r="G423" s="13">
        <v>900</v>
      </c>
    </row>
    <row r="424" spans="1:7" hidden="1" x14ac:dyDescent="0.75">
      <c r="A424" s="51">
        <v>44942</v>
      </c>
      <c r="B424" s="52">
        <v>8</v>
      </c>
      <c r="C424" s="8" t="s">
        <v>1678</v>
      </c>
      <c r="D424" s="8" t="s">
        <v>20</v>
      </c>
      <c r="E424" s="52">
        <v>1852</v>
      </c>
      <c r="F424" s="13">
        <v>1777.63</v>
      </c>
      <c r="G424" s="13"/>
    </row>
    <row r="425" spans="1:7" hidden="1" x14ac:dyDescent="0.75">
      <c r="A425" s="51">
        <v>44942</v>
      </c>
      <c r="B425" s="52">
        <v>8</v>
      </c>
      <c r="C425" s="8" t="s">
        <v>1481</v>
      </c>
      <c r="D425" s="8" t="s">
        <v>20</v>
      </c>
      <c r="E425" s="52">
        <v>1362</v>
      </c>
      <c r="F425" s="13">
        <v>56625.09</v>
      </c>
      <c r="G425" s="13"/>
    </row>
    <row r="426" spans="1:7" hidden="1" x14ac:dyDescent="0.75">
      <c r="A426" s="51">
        <v>44942</v>
      </c>
      <c r="B426" s="52">
        <v>8</v>
      </c>
      <c r="C426" s="8" t="s">
        <v>1679</v>
      </c>
      <c r="D426" s="8" t="s">
        <v>20</v>
      </c>
      <c r="E426" s="52">
        <v>1898</v>
      </c>
      <c r="F426" s="13"/>
      <c r="G426" s="13">
        <v>3859.7</v>
      </c>
    </row>
    <row r="427" spans="1:7" hidden="1" x14ac:dyDescent="0.75">
      <c r="A427" s="51">
        <v>44942</v>
      </c>
      <c r="B427" s="52">
        <v>8</v>
      </c>
      <c r="C427" s="8" t="s">
        <v>1680</v>
      </c>
      <c r="D427" s="8" t="s">
        <v>20</v>
      </c>
      <c r="E427" s="52">
        <v>1898</v>
      </c>
      <c r="F427" s="13"/>
      <c r="G427" s="13">
        <v>835.7</v>
      </c>
    </row>
    <row r="428" spans="1:7" hidden="1" x14ac:dyDescent="0.75">
      <c r="A428" s="51">
        <v>44942</v>
      </c>
      <c r="B428" s="52">
        <v>8</v>
      </c>
      <c r="C428" s="8" t="s">
        <v>1681</v>
      </c>
      <c r="D428" s="8" t="s">
        <v>20</v>
      </c>
      <c r="E428" s="52">
        <v>751</v>
      </c>
      <c r="F428" s="13"/>
      <c r="G428" s="13">
        <v>1393.29</v>
      </c>
    </row>
    <row r="429" spans="1:7" hidden="1" x14ac:dyDescent="0.75">
      <c r="A429" s="51">
        <v>44942</v>
      </c>
      <c r="B429" s="52">
        <v>8</v>
      </c>
      <c r="C429" s="8" t="s">
        <v>1682</v>
      </c>
      <c r="D429" s="8" t="s">
        <v>20</v>
      </c>
      <c r="E429" s="52">
        <v>751</v>
      </c>
      <c r="F429" s="13"/>
      <c r="G429" s="13">
        <v>12056.98</v>
      </c>
    </row>
    <row r="430" spans="1:7" hidden="1" x14ac:dyDescent="0.75">
      <c r="A430" s="51">
        <v>44942</v>
      </c>
      <c r="B430" s="52">
        <v>8</v>
      </c>
      <c r="C430" s="8" t="s">
        <v>1683</v>
      </c>
      <c r="D430" s="8" t="s">
        <v>20</v>
      </c>
      <c r="E430" s="52">
        <v>1721</v>
      </c>
      <c r="F430" s="13"/>
      <c r="G430" s="13">
        <v>310</v>
      </c>
    </row>
    <row r="431" spans="1:7" hidden="1" x14ac:dyDescent="0.75">
      <c r="A431" s="51">
        <v>44942</v>
      </c>
      <c r="B431" s="52">
        <v>8</v>
      </c>
      <c r="C431" s="8" t="s">
        <v>1684</v>
      </c>
      <c r="D431" s="8" t="s">
        <v>20</v>
      </c>
      <c r="E431" s="52">
        <v>1379</v>
      </c>
      <c r="F431" s="13"/>
      <c r="G431" s="13">
        <v>1105.4000000000001</v>
      </c>
    </row>
    <row r="432" spans="1:7" hidden="1" x14ac:dyDescent="0.75">
      <c r="A432" s="51">
        <v>44942</v>
      </c>
      <c r="B432" s="52">
        <v>8</v>
      </c>
      <c r="C432" s="8" t="s">
        <v>1685</v>
      </c>
      <c r="D432" s="8" t="s">
        <v>20</v>
      </c>
      <c r="E432" s="52">
        <v>1444</v>
      </c>
      <c r="F432" s="13"/>
      <c r="G432" s="13">
        <v>175</v>
      </c>
    </row>
    <row r="433" spans="1:7" hidden="1" x14ac:dyDescent="0.75">
      <c r="A433" s="51">
        <v>44942</v>
      </c>
      <c r="B433" s="52">
        <v>8</v>
      </c>
      <c r="C433" s="8" t="s">
        <v>1686</v>
      </c>
      <c r="D433" s="8" t="s">
        <v>20</v>
      </c>
      <c r="E433" s="52">
        <v>757</v>
      </c>
      <c r="F433" s="13"/>
      <c r="G433" s="13">
        <v>866.69</v>
      </c>
    </row>
    <row r="434" spans="1:7" hidden="1" x14ac:dyDescent="0.75">
      <c r="A434" s="51">
        <v>44942</v>
      </c>
      <c r="B434" s="52">
        <v>8</v>
      </c>
      <c r="C434" s="8" t="s">
        <v>1687</v>
      </c>
      <c r="D434" s="8" t="s">
        <v>20</v>
      </c>
      <c r="E434" s="52">
        <v>1350</v>
      </c>
      <c r="F434" s="13"/>
      <c r="G434" s="13">
        <v>470</v>
      </c>
    </row>
    <row r="435" spans="1:7" hidden="1" x14ac:dyDescent="0.75">
      <c r="A435" s="51">
        <v>44942</v>
      </c>
      <c r="B435" s="52">
        <v>8</v>
      </c>
      <c r="C435" s="8" t="s">
        <v>1688</v>
      </c>
      <c r="D435" s="8" t="s">
        <v>20</v>
      </c>
      <c r="E435" s="52">
        <v>1721</v>
      </c>
      <c r="F435" s="13"/>
      <c r="G435" s="13">
        <v>2965</v>
      </c>
    </row>
    <row r="436" spans="1:7" hidden="1" x14ac:dyDescent="0.75">
      <c r="A436" s="51">
        <v>44942</v>
      </c>
      <c r="B436" s="52">
        <v>8</v>
      </c>
      <c r="C436" s="8" t="s">
        <v>1689</v>
      </c>
      <c r="D436" s="8" t="s">
        <v>20</v>
      </c>
      <c r="E436" s="52">
        <v>1721</v>
      </c>
      <c r="F436" s="13"/>
      <c r="G436" s="13">
        <v>2405</v>
      </c>
    </row>
    <row r="437" spans="1:7" hidden="1" x14ac:dyDescent="0.75">
      <c r="A437" s="51">
        <v>44942</v>
      </c>
      <c r="B437" s="52">
        <v>8</v>
      </c>
      <c r="C437" s="8" t="s">
        <v>1690</v>
      </c>
      <c r="D437" s="8" t="s">
        <v>20</v>
      </c>
      <c r="E437" s="52">
        <v>1721</v>
      </c>
      <c r="F437" s="13"/>
      <c r="G437" s="13">
        <v>1350</v>
      </c>
    </row>
    <row r="438" spans="1:7" hidden="1" x14ac:dyDescent="0.75">
      <c r="A438" s="51">
        <v>44942</v>
      </c>
      <c r="B438" s="52">
        <v>8</v>
      </c>
      <c r="C438" s="8" t="s">
        <v>1691</v>
      </c>
      <c r="D438" s="8" t="s">
        <v>20</v>
      </c>
      <c r="E438" s="52">
        <v>908</v>
      </c>
      <c r="F438" s="13"/>
      <c r="G438" s="13">
        <v>1923.94</v>
      </c>
    </row>
    <row r="439" spans="1:7" hidden="1" x14ac:dyDescent="0.75">
      <c r="A439" s="51">
        <v>44942</v>
      </c>
      <c r="B439" s="52">
        <v>8</v>
      </c>
      <c r="C439" s="8" t="s">
        <v>1692</v>
      </c>
      <c r="D439" s="8" t="s">
        <v>20</v>
      </c>
      <c r="E439" s="52">
        <v>1365</v>
      </c>
      <c r="F439" s="13"/>
      <c r="G439" s="13">
        <v>1330</v>
      </c>
    </row>
    <row r="440" spans="1:7" hidden="1" x14ac:dyDescent="0.75">
      <c r="A440" s="51">
        <v>44942</v>
      </c>
      <c r="B440" s="52">
        <v>8</v>
      </c>
      <c r="C440" s="8" t="s">
        <v>1693</v>
      </c>
      <c r="D440" s="8" t="s">
        <v>20</v>
      </c>
      <c r="E440" s="52">
        <v>774</v>
      </c>
      <c r="F440" s="13"/>
      <c r="G440" s="13">
        <v>730</v>
      </c>
    </row>
    <row r="441" spans="1:7" hidden="1" x14ac:dyDescent="0.75">
      <c r="A441" s="51">
        <v>44942</v>
      </c>
      <c r="B441" s="52">
        <v>8</v>
      </c>
      <c r="C441" s="8" t="s">
        <v>1694</v>
      </c>
      <c r="D441" s="8" t="s">
        <v>20</v>
      </c>
      <c r="E441" s="52">
        <v>1401</v>
      </c>
      <c r="F441" s="13"/>
      <c r="G441" s="13">
        <v>740</v>
      </c>
    </row>
    <row r="442" spans="1:7" hidden="1" x14ac:dyDescent="0.75">
      <c r="A442" s="51">
        <v>44942</v>
      </c>
      <c r="B442" s="52">
        <v>8</v>
      </c>
      <c r="C442" s="8" t="s">
        <v>1695</v>
      </c>
      <c r="D442" s="8" t="s">
        <v>20</v>
      </c>
      <c r="E442" s="52">
        <v>1348</v>
      </c>
      <c r="F442" s="13"/>
      <c r="G442" s="13">
        <v>330</v>
      </c>
    </row>
    <row r="443" spans="1:7" hidden="1" x14ac:dyDescent="0.75">
      <c r="A443" s="51">
        <v>44942</v>
      </c>
      <c r="B443" s="52">
        <v>8</v>
      </c>
      <c r="C443" s="8" t="s">
        <v>1696</v>
      </c>
      <c r="D443" s="8" t="s">
        <v>20</v>
      </c>
      <c r="E443" s="52">
        <v>1365</v>
      </c>
      <c r="F443" s="13"/>
      <c r="G443" s="13">
        <v>1250</v>
      </c>
    </row>
    <row r="444" spans="1:7" hidden="1" x14ac:dyDescent="0.75">
      <c r="A444" s="51">
        <v>44942</v>
      </c>
      <c r="B444" s="52">
        <v>8</v>
      </c>
      <c r="C444" s="8" t="s">
        <v>1697</v>
      </c>
      <c r="D444" s="8" t="s">
        <v>20</v>
      </c>
      <c r="E444" s="52">
        <v>754</v>
      </c>
      <c r="F444" s="13"/>
      <c r="G444" s="13">
        <v>860</v>
      </c>
    </row>
    <row r="445" spans="1:7" hidden="1" x14ac:dyDescent="0.75">
      <c r="A445" s="51">
        <v>44942</v>
      </c>
      <c r="B445" s="52">
        <v>8</v>
      </c>
      <c r="C445" s="8" t="s">
        <v>1698</v>
      </c>
      <c r="D445" s="8" t="s">
        <v>20</v>
      </c>
      <c r="E445" s="52">
        <v>774</v>
      </c>
      <c r="F445" s="13"/>
      <c r="G445" s="13">
        <v>1190</v>
      </c>
    </row>
    <row r="446" spans="1:7" hidden="1" x14ac:dyDescent="0.75">
      <c r="A446" s="51">
        <v>44942</v>
      </c>
      <c r="B446" s="52">
        <v>8</v>
      </c>
      <c r="C446" s="8" t="s">
        <v>1699</v>
      </c>
      <c r="D446" s="8" t="s">
        <v>20</v>
      </c>
      <c r="E446" s="52">
        <v>1350</v>
      </c>
      <c r="F446" s="13"/>
      <c r="G446" s="13">
        <v>560</v>
      </c>
    </row>
    <row r="447" spans="1:7" hidden="1" x14ac:dyDescent="0.75">
      <c r="A447" s="51">
        <v>44942</v>
      </c>
      <c r="B447" s="52">
        <v>8</v>
      </c>
      <c r="C447" s="8" t="s">
        <v>1700</v>
      </c>
      <c r="D447" s="8" t="s">
        <v>20</v>
      </c>
      <c r="E447" s="52">
        <v>774</v>
      </c>
      <c r="F447" s="13"/>
      <c r="G447" s="13">
        <v>540</v>
      </c>
    </row>
    <row r="448" spans="1:7" hidden="1" x14ac:dyDescent="0.75">
      <c r="A448" s="51">
        <v>44942</v>
      </c>
      <c r="B448" s="52">
        <v>8</v>
      </c>
      <c r="C448" s="8" t="s">
        <v>1701</v>
      </c>
      <c r="D448" s="8" t="s">
        <v>20</v>
      </c>
      <c r="E448" s="52">
        <v>1721</v>
      </c>
      <c r="F448" s="13"/>
      <c r="G448" s="13">
        <v>1145</v>
      </c>
    </row>
    <row r="449" spans="1:7" hidden="1" x14ac:dyDescent="0.75">
      <c r="A449" s="51">
        <v>44942</v>
      </c>
      <c r="B449" s="52">
        <v>8</v>
      </c>
      <c r="C449" s="8" t="s">
        <v>1702</v>
      </c>
      <c r="D449" s="8" t="s">
        <v>20</v>
      </c>
      <c r="E449" s="52">
        <v>769</v>
      </c>
      <c r="F449" s="13"/>
      <c r="G449" s="13">
        <v>5196</v>
      </c>
    </row>
    <row r="450" spans="1:7" hidden="1" x14ac:dyDescent="0.75">
      <c r="A450" s="51">
        <v>44942</v>
      </c>
      <c r="B450" s="52">
        <v>8</v>
      </c>
      <c r="C450" s="8" t="s">
        <v>1703</v>
      </c>
      <c r="D450" s="8" t="s">
        <v>20</v>
      </c>
      <c r="E450" s="52">
        <v>769</v>
      </c>
      <c r="F450" s="13"/>
      <c r="G450" s="13">
        <v>18000</v>
      </c>
    </row>
    <row r="451" spans="1:7" hidden="1" x14ac:dyDescent="0.75">
      <c r="A451" s="51">
        <v>44942</v>
      </c>
      <c r="B451" s="52">
        <v>8</v>
      </c>
      <c r="C451" s="8" t="s">
        <v>1704</v>
      </c>
      <c r="D451" s="8" t="s">
        <v>20</v>
      </c>
      <c r="E451" s="52">
        <v>769</v>
      </c>
      <c r="F451" s="13"/>
      <c r="G451" s="13">
        <v>1200</v>
      </c>
    </row>
    <row r="452" spans="1:7" hidden="1" x14ac:dyDescent="0.75">
      <c r="A452" s="51">
        <v>44942</v>
      </c>
      <c r="B452" s="52">
        <v>8</v>
      </c>
      <c r="C452" s="8" t="s">
        <v>1549</v>
      </c>
      <c r="D452" s="8" t="s">
        <v>20</v>
      </c>
      <c r="E452" s="52">
        <v>374</v>
      </c>
      <c r="F452" s="13"/>
      <c r="G452" s="13">
        <v>20</v>
      </c>
    </row>
    <row r="453" spans="1:7" hidden="1" x14ac:dyDescent="0.75">
      <c r="A453" s="51">
        <v>44942</v>
      </c>
      <c r="B453" s="52">
        <v>8</v>
      </c>
      <c r="C453" s="8" t="s">
        <v>1529</v>
      </c>
      <c r="D453" s="8" t="s">
        <v>20</v>
      </c>
      <c r="E453" s="52">
        <v>1406</v>
      </c>
      <c r="F453" s="13"/>
      <c r="G453" s="13">
        <v>6706.5</v>
      </c>
    </row>
    <row r="454" spans="1:7" hidden="1" x14ac:dyDescent="0.75">
      <c r="A454" s="51">
        <v>44942</v>
      </c>
      <c r="B454" s="52">
        <v>8</v>
      </c>
      <c r="C454" s="8" t="s">
        <v>1522</v>
      </c>
      <c r="D454" s="8" t="s">
        <v>20</v>
      </c>
      <c r="E454" s="52">
        <v>1794</v>
      </c>
      <c r="F454" s="13"/>
      <c r="G454" s="13">
        <v>7340.4</v>
      </c>
    </row>
    <row r="455" spans="1:7" hidden="1" x14ac:dyDescent="0.75">
      <c r="A455" s="51">
        <v>44942</v>
      </c>
      <c r="B455" s="52">
        <v>8</v>
      </c>
      <c r="C455" s="8" t="s">
        <v>1705</v>
      </c>
      <c r="D455" s="8" t="s">
        <v>20</v>
      </c>
      <c r="E455" s="52">
        <v>828</v>
      </c>
      <c r="F455" s="13"/>
      <c r="G455" s="13">
        <v>3000</v>
      </c>
    </row>
    <row r="456" spans="1:7" hidden="1" x14ac:dyDescent="0.75">
      <c r="A456" s="51">
        <v>44942</v>
      </c>
      <c r="B456" s="52">
        <v>8</v>
      </c>
      <c r="C456" s="8" t="s">
        <v>1706</v>
      </c>
      <c r="D456" s="8" t="s">
        <v>20</v>
      </c>
      <c r="E456" s="52">
        <v>828</v>
      </c>
      <c r="F456" s="13"/>
      <c r="G456" s="13">
        <v>1000</v>
      </c>
    </row>
    <row r="457" spans="1:7" hidden="1" x14ac:dyDescent="0.75">
      <c r="A457" s="51">
        <v>44942</v>
      </c>
      <c r="B457" s="52">
        <v>8</v>
      </c>
      <c r="C457" s="8" t="s">
        <v>1707</v>
      </c>
      <c r="D457" s="8" t="s">
        <v>20</v>
      </c>
      <c r="E457" s="52">
        <v>1378</v>
      </c>
      <c r="F457" s="13"/>
      <c r="G457" s="13">
        <v>3879.68</v>
      </c>
    </row>
    <row r="458" spans="1:7" hidden="1" x14ac:dyDescent="0.75">
      <c r="A458" s="51">
        <v>44942</v>
      </c>
      <c r="B458" s="52">
        <v>8</v>
      </c>
      <c r="C458" s="8" t="s">
        <v>1708</v>
      </c>
      <c r="D458" s="8" t="s">
        <v>20</v>
      </c>
      <c r="E458" s="52">
        <v>1677</v>
      </c>
      <c r="F458" s="13"/>
      <c r="G458" s="13">
        <v>178.2</v>
      </c>
    </row>
    <row r="459" spans="1:7" hidden="1" x14ac:dyDescent="0.75">
      <c r="A459" s="51">
        <v>44943</v>
      </c>
      <c r="B459" s="52">
        <v>8</v>
      </c>
      <c r="C459" s="8" t="s">
        <v>1549</v>
      </c>
      <c r="D459" s="8" t="s">
        <v>20</v>
      </c>
      <c r="E459" s="52">
        <v>374</v>
      </c>
      <c r="F459" s="13"/>
      <c r="G459" s="13">
        <v>20</v>
      </c>
    </row>
    <row r="460" spans="1:7" hidden="1" x14ac:dyDescent="0.75">
      <c r="A460" s="51">
        <v>44943</v>
      </c>
      <c r="B460" s="52">
        <v>8</v>
      </c>
      <c r="C460" s="8" t="s">
        <v>1709</v>
      </c>
      <c r="D460" s="8" t="s">
        <v>20</v>
      </c>
      <c r="E460" s="52">
        <v>757</v>
      </c>
      <c r="F460" s="13"/>
      <c r="G460" s="13">
        <v>385.31</v>
      </c>
    </row>
    <row r="461" spans="1:7" hidden="1" x14ac:dyDescent="0.75">
      <c r="A461" s="51">
        <v>44943</v>
      </c>
      <c r="B461" s="52">
        <v>8</v>
      </c>
      <c r="C461" s="8" t="s">
        <v>1710</v>
      </c>
      <c r="D461" s="8" t="s">
        <v>20</v>
      </c>
      <c r="E461" s="52">
        <v>754</v>
      </c>
      <c r="F461" s="13"/>
      <c r="G461" s="13">
        <v>770</v>
      </c>
    </row>
    <row r="462" spans="1:7" hidden="1" x14ac:dyDescent="0.75">
      <c r="A462" s="51">
        <v>44943</v>
      </c>
      <c r="B462" s="52">
        <v>8</v>
      </c>
      <c r="C462" s="8" t="s">
        <v>1711</v>
      </c>
      <c r="D462" s="8" t="s">
        <v>20</v>
      </c>
      <c r="E462" s="52">
        <v>771</v>
      </c>
      <c r="F462" s="13"/>
      <c r="G462" s="13">
        <v>600</v>
      </c>
    </row>
    <row r="463" spans="1:7" hidden="1" x14ac:dyDescent="0.75">
      <c r="A463" s="51">
        <v>44943</v>
      </c>
      <c r="B463" s="52">
        <v>8</v>
      </c>
      <c r="C463" s="8" t="s">
        <v>1712</v>
      </c>
      <c r="D463" s="8" t="s">
        <v>20</v>
      </c>
      <c r="E463" s="52">
        <v>1915</v>
      </c>
      <c r="F463" s="13"/>
      <c r="G463" s="13">
        <v>4950</v>
      </c>
    </row>
    <row r="464" spans="1:7" hidden="1" x14ac:dyDescent="0.75">
      <c r="A464" s="51">
        <v>44943</v>
      </c>
      <c r="B464" s="52">
        <v>8</v>
      </c>
      <c r="C464" s="8" t="s">
        <v>1535</v>
      </c>
      <c r="D464" s="8" t="s">
        <v>20</v>
      </c>
      <c r="E464" s="52">
        <v>1558</v>
      </c>
      <c r="F464" s="13"/>
      <c r="G464" s="13">
        <v>1041.01</v>
      </c>
    </row>
    <row r="465" spans="1:7" hidden="1" x14ac:dyDescent="0.75">
      <c r="A465" s="51">
        <v>44943</v>
      </c>
      <c r="B465" s="52">
        <v>8</v>
      </c>
      <c r="C465" s="8" t="s">
        <v>1525</v>
      </c>
      <c r="D465" s="8" t="s">
        <v>20</v>
      </c>
      <c r="E465" s="52">
        <v>703</v>
      </c>
      <c r="F465" s="13"/>
      <c r="G465" s="13">
        <v>320</v>
      </c>
    </row>
    <row r="466" spans="1:7" hidden="1" x14ac:dyDescent="0.75">
      <c r="A466" s="51">
        <v>44943</v>
      </c>
      <c r="B466" s="52">
        <v>8</v>
      </c>
      <c r="C466" s="8" t="s">
        <v>1713</v>
      </c>
      <c r="D466" s="8" t="s">
        <v>20</v>
      </c>
      <c r="E466" s="52">
        <v>350</v>
      </c>
      <c r="F466" s="13"/>
      <c r="G466" s="13">
        <v>549.62</v>
      </c>
    </row>
    <row r="467" spans="1:7" hidden="1" x14ac:dyDescent="0.75">
      <c r="A467" s="51">
        <v>44944</v>
      </c>
      <c r="B467" s="52">
        <v>8</v>
      </c>
      <c r="C467" s="8" t="s">
        <v>1481</v>
      </c>
      <c r="D467" s="8" t="s">
        <v>20</v>
      </c>
      <c r="E467" s="52">
        <v>1362</v>
      </c>
      <c r="F467" s="13">
        <v>17303.78</v>
      </c>
      <c r="G467" s="13"/>
    </row>
    <row r="468" spans="1:7" hidden="1" x14ac:dyDescent="0.75">
      <c r="A468" s="51">
        <v>44944</v>
      </c>
      <c r="B468" s="52">
        <v>8</v>
      </c>
      <c r="C468" s="8" t="s">
        <v>1714</v>
      </c>
      <c r="D468" s="8" t="s">
        <v>20</v>
      </c>
      <c r="E468" s="52">
        <v>1979</v>
      </c>
      <c r="F468" s="13"/>
      <c r="G468" s="13">
        <v>4976</v>
      </c>
    </row>
    <row r="469" spans="1:7" hidden="1" x14ac:dyDescent="0.75">
      <c r="A469" s="51">
        <v>44944</v>
      </c>
      <c r="B469" s="52">
        <v>8</v>
      </c>
      <c r="C469" s="8" t="s">
        <v>1549</v>
      </c>
      <c r="D469" s="8" t="s">
        <v>20</v>
      </c>
      <c r="E469" s="52">
        <v>374</v>
      </c>
      <c r="F469" s="13"/>
      <c r="G469" s="13">
        <v>2.8</v>
      </c>
    </row>
    <row r="470" spans="1:7" hidden="1" x14ac:dyDescent="0.75">
      <c r="A470" s="51">
        <v>44944</v>
      </c>
      <c r="B470" s="52">
        <v>8</v>
      </c>
      <c r="C470" s="8" t="s">
        <v>1549</v>
      </c>
      <c r="D470" s="8" t="s">
        <v>20</v>
      </c>
      <c r="E470" s="52">
        <v>374</v>
      </c>
      <c r="F470" s="13"/>
      <c r="G470" s="13">
        <v>10</v>
      </c>
    </row>
    <row r="471" spans="1:7" hidden="1" x14ac:dyDescent="0.75">
      <c r="A471" s="51">
        <v>44944</v>
      </c>
      <c r="B471" s="52">
        <v>8</v>
      </c>
      <c r="C471" s="8" t="s">
        <v>1715</v>
      </c>
      <c r="D471" s="8" t="s">
        <v>20</v>
      </c>
      <c r="E471" s="52">
        <v>1365</v>
      </c>
      <c r="F471" s="13"/>
      <c r="G471" s="13">
        <v>655</v>
      </c>
    </row>
    <row r="472" spans="1:7" hidden="1" x14ac:dyDescent="0.75">
      <c r="A472" s="51">
        <v>44944</v>
      </c>
      <c r="B472" s="52">
        <v>8</v>
      </c>
      <c r="C472" s="8" t="s">
        <v>1716</v>
      </c>
      <c r="D472" s="8" t="s">
        <v>20</v>
      </c>
      <c r="E472" s="52">
        <v>1350</v>
      </c>
      <c r="F472" s="13"/>
      <c r="G472" s="13">
        <v>200</v>
      </c>
    </row>
    <row r="473" spans="1:7" hidden="1" x14ac:dyDescent="0.75">
      <c r="A473" s="51">
        <v>44944</v>
      </c>
      <c r="B473" s="52">
        <v>8</v>
      </c>
      <c r="C473" s="8" t="s">
        <v>1717</v>
      </c>
      <c r="D473" s="8" t="s">
        <v>20</v>
      </c>
      <c r="E473" s="52">
        <v>774</v>
      </c>
      <c r="F473" s="13"/>
      <c r="G473" s="13">
        <v>1882</v>
      </c>
    </row>
    <row r="474" spans="1:7" hidden="1" x14ac:dyDescent="0.75">
      <c r="A474" s="51">
        <v>44944</v>
      </c>
      <c r="B474" s="52">
        <v>8</v>
      </c>
      <c r="C474" s="8" t="s">
        <v>1718</v>
      </c>
      <c r="D474" s="8" t="s">
        <v>20</v>
      </c>
      <c r="E474" s="52">
        <v>769</v>
      </c>
      <c r="F474" s="13"/>
      <c r="G474" s="13">
        <v>385</v>
      </c>
    </row>
    <row r="475" spans="1:7" hidden="1" x14ac:dyDescent="0.75">
      <c r="A475" s="51">
        <v>44944</v>
      </c>
      <c r="B475" s="52">
        <v>8</v>
      </c>
      <c r="C475" s="8" t="s">
        <v>1719</v>
      </c>
      <c r="D475" s="8" t="s">
        <v>20</v>
      </c>
      <c r="E475" s="52">
        <v>769</v>
      </c>
      <c r="F475" s="13"/>
      <c r="G475" s="13">
        <v>4686</v>
      </c>
    </row>
    <row r="476" spans="1:7" hidden="1" x14ac:dyDescent="0.75">
      <c r="A476" s="51">
        <v>44945</v>
      </c>
      <c r="B476" s="52">
        <v>8</v>
      </c>
      <c r="C476" s="8" t="s">
        <v>1720</v>
      </c>
      <c r="D476" s="8" t="s">
        <v>20</v>
      </c>
      <c r="E476" s="52">
        <v>749</v>
      </c>
      <c r="F476" s="13"/>
      <c r="G476" s="13">
        <v>1000</v>
      </c>
    </row>
    <row r="477" spans="1:7" hidden="1" x14ac:dyDescent="0.75">
      <c r="A477" s="51">
        <v>44945</v>
      </c>
      <c r="B477" s="52">
        <v>8</v>
      </c>
      <c r="C477" s="8" t="s">
        <v>1721</v>
      </c>
      <c r="D477" s="8" t="s">
        <v>20</v>
      </c>
      <c r="E477" s="52">
        <v>774</v>
      </c>
      <c r="F477" s="13"/>
      <c r="G477" s="13">
        <v>680</v>
      </c>
    </row>
    <row r="478" spans="1:7" hidden="1" x14ac:dyDescent="0.75">
      <c r="A478" s="51">
        <v>44945</v>
      </c>
      <c r="B478" s="52">
        <v>8</v>
      </c>
      <c r="C478" s="8" t="s">
        <v>1722</v>
      </c>
      <c r="D478" s="8" t="s">
        <v>20</v>
      </c>
      <c r="E478" s="52">
        <v>1348</v>
      </c>
      <c r="F478" s="13"/>
      <c r="G478" s="13">
        <v>340</v>
      </c>
    </row>
    <row r="479" spans="1:7" hidden="1" x14ac:dyDescent="0.75">
      <c r="A479" s="51">
        <v>44945</v>
      </c>
      <c r="B479" s="52">
        <v>8</v>
      </c>
      <c r="C479" s="8" t="s">
        <v>1723</v>
      </c>
      <c r="D479" s="8" t="s">
        <v>20</v>
      </c>
      <c r="E479" s="52">
        <v>771</v>
      </c>
      <c r="F479" s="13"/>
      <c r="G479" s="13">
        <v>620</v>
      </c>
    </row>
    <row r="480" spans="1:7" hidden="1" x14ac:dyDescent="0.75">
      <c r="A480" s="51">
        <v>44945</v>
      </c>
      <c r="B480" s="52">
        <v>8</v>
      </c>
      <c r="C480" s="8" t="s">
        <v>1724</v>
      </c>
      <c r="D480" s="8" t="s">
        <v>20</v>
      </c>
      <c r="E480" s="52">
        <v>754</v>
      </c>
      <c r="F480" s="13"/>
      <c r="G480" s="13">
        <v>300</v>
      </c>
    </row>
    <row r="481" spans="1:7" hidden="1" x14ac:dyDescent="0.75">
      <c r="A481" s="51">
        <v>44945</v>
      </c>
      <c r="B481" s="52">
        <v>8</v>
      </c>
      <c r="C481" s="8" t="s">
        <v>1725</v>
      </c>
      <c r="D481" s="8" t="s">
        <v>20</v>
      </c>
      <c r="E481" s="52">
        <v>754</v>
      </c>
      <c r="F481" s="13"/>
      <c r="G481" s="13">
        <v>462</v>
      </c>
    </row>
    <row r="482" spans="1:7" hidden="1" x14ac:dyDescent="0.75">
      <c r="A482" s="51">
        <v>44946</v>
      </c>
      <c r="B482" s="52">
        <v>8</v>
      </c>
      <c r="C482" s="8" t="s">
        <v>1481</v>
      </c>
      <c r="D482" s="8" t="s">
        <v>20</v>
      </c>
      <c r="E482" s="52">
        <v>1362</v>
      </c>
      <c r="F482" s="13">
        <v>176345.47</v>
      </c>
      <c r="G482" s="13"/>
    </row>
    <row r="483" spans="1:7" hidden="1" x14ac:dyDescent="0.75">
      <c r="A483" s="51">
        <v>44946</v>
      </c>
      <c r="B483" s="52">
        <v>8</v>
      </c>
      <c r="C483" s="8" t="s">
        <v>1576</v>
      </c>
      <c r="D483" s="8" t="s">
        <v>20</v>
      </c>
      <c r="E483" s="52">
        <v>1914</v>
      </c>
      <c r="F483" s="13"/>
      <c r="G483" s="13">
        <v>300</v>
      </c>
    </row>
    <row r="484" spans="1:7" hidden="1" x14ac:dyDescent="0.75">
      <c r="A484" s="51">
        <v>44946</v>
      </c>
      <c r="B484" s="52">
        <v>8</v>
      </c>
      <c r="C484" s="8" t="s">
        <v>1726</v>
      </c>
      <c r="D484" s="8" t="s">
        <v>20</v>
      </c>
      <c r="E484" s="52">
        <v>948</v>
      </c>
      <c r="F484" s="13"/>
      <c r="G484" s="13">
        <v>1323.72</v>
      </c>
    </row>
    <row r="485" spans="1:7" hidden="1" x14ac:dyDescent="0.75">
      <c r="A485" s="51">
        <v>44946</v>
      </c>
      <c r="B485" s="52">
        <v>8</v>
      </c>
      <c r="C485" s="8" t="s">
        <v>1727</v>
      </c>
      <c r="D485" s="8" t="s">
        <v>20</v>
      </c>
      <c r="E485" s="52">
        <v>948</v>
      </c>
      <c r="F485" s="13"/>
      <c r="G485" s="13">
        <v>1663.27</v>
      </c>
    </row>
    <row r="486" spans="1:7" hidden="1" x14ac:dyDescent="0.75">
      <c r="A486" s="51">
        <v>44946</v>
      </c>
      <c r="B486" s="52">
        <v>8</v>
      </c>
      <c r="C486" s="8" t="s">
        <v>1728</v>
      </c>
      <c r="D486" s="8" t="s">
        <v>20</v>
      </c>
      <c r="E486" s="52">
        <v>1372</v>
      </c>
      <c r="F486" s="13"/>
      <c r="G486" s="13">
        <v>2636.73</v>
      </c>
    </row>
    <row r="487" spans="1:7" hidden="1" x14ac:dyDescent="0.75">
      <c r="A487" s="51">
        <v>44946</v>
      </c>
      <c r="B487" s="52">
        <v>8</v>
      </c>
      <c r="C487" s="8" t="s">
        <v>1729</v>
      </c>
      <c r="D487" s="8" t="s">
        <v>20</v>
      </c>
      <c r="E487" s="52">
        <v>1366</v>
      </c>
      <c r="F487" s="13"/>
      <c r="G487" s="13">
        <v>240</v>
      </c>
    </row>
    <row r="488" spans="1:7" hidden="1" x14ac:dyDescent="0.75">
      <c r="A488" s="51">
        <v>44946</v>
      </c>
      <c r="B488" s="52">
        <v>8</v>
      </c>
      <c r="C488" s="8" t="s">
        <v>1730</v>
      </c>
      <c r="D488" s="8" t="s">
        <v>20</v>
      </c>
      <c r="E488" s="52">
        <v>1366</v>
      </c>
      <c r="F488" s="13"/>
      <c r="G488" s="13">
        <v>700</v>
      </c>
    </row>
    <row r="489" spans="1:7" hidden="1" x14ac:dyDescent="0.75">
      <c r="A489" s="51">
        <v>44946</v>
      </c>
      <c r="B489" s="52">
        <v>8</v>
      </c>
      <c r="C489" s="8" t="s">
        <v>1731</v>
      </c>
      <c r="D489" s="8" t="s">
        <v>20</v>
      </c>
      <c r="E489" s="52">
        <v>1366</v>
      </c>
      <c r="F489" s="13"/>
      <c r="G489" s="13">
        <v>610</v>
      </c>
    </row>
    <row r="490" spans="1:7" hidden="1" x14ac:dyDescent="0.75">
      <c r="A490" s="51">
        <v>44946</v>
      </c>
      <c r="B490" s="52">
        <v>8</v>
      </c>
      <c r="C490" s="8" t="s">
        <v>1732</v>
      </c>
      <c r="D490" s="8" t="s">
        <v>20</v>
      </c>
      <c r="E490" s="52">
        <v>1366</v>
      </c>
      <c r="F490" s="13"/>
      <c r="G490" s="13">
        <v>1860</v>
      </c>
    </row>
    <row r="491" spans="1:7" hidden="1" x14ac:dyDescent="0.75">
      <c r="A491" s="51">
        <v>44946</v>
      </c>
      <c r="B491" s="52">
        <v>8</v>
      </c>
      <c r="C491" s="8" t="s">
        <v>1733</v>
      </c>
      <c r="D491" s="8" t="s">
        <v>20</v>
      </c>
      <c r="E491" s="52">
        <v>1366</v>
      </c>
      <c r="F491" s="13"/>
      <c r="G491" s="13">
        <v>160</v>
      </c>
    </row>
    <row r="492" spans="1:7" hidden="1" x14ac:dyDescent="0.75">
      <c r="A492" s="51">
        <v>44946</v>
      </c>
      <c r="B492" s="52">
        <v>8</v>
      </c>
      <c r="C492" s="8" t="s">
        <v>1734</v>
      </c>
      <c r="D492" s="8" t="s">
        <v>20</v>
      </c>
      <c r="E492" s="52">
        <v>1366</v>
      </c>
      <c r="F492" s="13"/>
      <c r="G492" s="13">
        <v>1950</v>
      </c>
    </row>
    <row r="493" spans="1:7" hidden="1" x14ac:dyDescent="0.75">
      <c r="A493" s="51">
        <v>44946</v>
      </c>
      <c r="B493" s="52">
        <v>8</v>
      </c>
      <c r="C493" s="8" t="s">
        <v>1735</v>
      </c>
      <c r="D493" s="8" t="s">
        <v>20</v>
      </c>
      <c r="E493" s="52">
        <v>1366</v>
      </c>
      <c r="F493" s="13"/>
      <c r="G493" s="13">
        <v>300</v>
      </c>
    </row>
    <row r="494" spans="1:7" hidden="1" x14ac:dyDescent="0.75">
      <c r="A494" s="51">
        <v>44946</v>
      </c>
      <c r="B494" s="52">
        <v>8</v>
      </c>
      <c r="C494" s="8" t="s">
        <v>1736</v>
      </c>
      <c r="D494" s="8" t="s">
        <v>20</v>
      </c>
      <c r="E494" s="52">
        <v>1366</v>
      </c>
      <c r="F494" s="13"/>
      <c r="G494" s="13">
        <v>800</v>
      </c>
    </row>
    <row r="495" spans="1:7" hidden="1" x14ac:dyDescent="0.75">
      <c r="A495" s="51">
        <v>44946</v>
      </c>
      <c r="B495" s="52">
        <v>8</v>
      </c>
      <c r="C495" s="8" t="s">
        <v>1737</v>
      </c>
      <c r="D495" s="8" t="s">
        <v>20</v>
      </c>
      <c r="E495" s="52">
        <v>1366</v>
      </c>
      <c r="F495" s="13"/>
      <c r="G495" s="13">
        <v>1400</v>
      </c>
    </row>
    <row r="496" spans="1:7" hidden="1" x14ac:dyDescent="0.75">
      <c r="A496" s="51">
        <v>44946</v>
      </c>
      <c r="B496" s="52">
        <v>8</v>
      </c>
      <c r="C496" s="8" t="s">
        <v>1738</v>
      </c>
      <c r="D496" s="8" t="s">
        <v>20</v>
      </c>
      <c r="E496" s="52">
        <v>1366</v>
      </c>
      <c r="F496" s="13"/>
      <c r="G496" s="13">
        <v>840</v>
      </c>
    </row>
    <row r="497" spans="1:7" hidden="1" x14ac:dyDescent="0.75">
      <c r="A497" s="51">
        <v>44946</v>
      </c>
      <c r="B497" s="52">
        <v>8</v>
      </c>
      <c r="C497" s="8" t="s">
        <v>1739</v>
      </c>
      <c r="D497" s="8" t="s">
        <v>20</v>
      </c>
      <c r="E497" s="52">
        <v>1721</v>
      </c>
      <c r="F497" s="13"/>
      <c r="G497" s="13">
        <v>1150</v>
      </c>
    </row>
    <row r="498" spans="1:7" hidden="1" x14ac:dyDescent="0.75">
      <c r="A498" s="51">
        <v>44946</v>
      </c>
      <c r="B498" s="52">
        <v>8</v>
      </c>
      <c r="C498" s="8" t="s">
        <v>1740</v>
      </c>
      <c r="D498" s="8" t="s">
        <v>20</v>
      </c>
      <c r="E498" s="52">
        <v>1721</v>
      </c>
      <c r="F498" s="13"/>
      <c r="G498" s="13">
        <v>1105</v>
      </c>
    </row>
    <row r="499" spans="1:7" hidden="1" x14ac:dyDescent="0.75">
      <c r="A499" s="51">
        <v>44946</v>
      </c>
      <c r="B499" s="52">
        <v>8</v>
      </c>
      <c r="C499" s="8" t="s">
        <v>1741</v>
      </c>
      <c r="D499" s="8" t="s">
        <v>20</v>
      </c>
      <c r="E499" s="52">
        <v>771</v>
      </c>
      <c r="F499" s="13"/>
      <c r="G499" s="13">
        <v>380</v>
      </c>
    </row>
    <row r="500" spans="1:7" hidden="1" x14ac:dyDescent="0.75">
      <c r="A500" s="51">
        <v>44946</v>
      </c>
      <c r="B500" s="52">
        <v>8</v>
      </c>
      <c r="C500" s="8" t="s">
        <v>1742</v>
      </c>
      <c r="D500" s="8" t="s">
        <v>20</v>
      </c>
      <c r="E500" s="52">
        <v>774</v>
      </c>
      <c r="F500" s="13"/>
      <c r="G500" s="13">
        <v>1900</v>
      </c>
    </row>
    <row r="501" spans="1:7" hidden="1" x14ac:dyDescent="0.75">
      <c r="A501" s="51">
        <v>44946</v>
      </c>
      <c r="B501" s="52">
        <v>8</v>
      </c>
      <c r="C501" s="8" t="s">
        <v>1743</v>
      </c>
      <c r="D501" s="8" t="s">
        <v>20</v>
      </c>
      <c r="E501" s="52">
        <v>1365</v>
      </c>
      <c r="F501" s="13"/>
      <c r="G501" s="13">
        <v>250</v>
      </c>
    </row>
    <row r="502" spans="1:7" hidden="1" x14ac:dyDescent="0.75">
      <c r="A502" s="51">
        <v>44946</v>
      </c>
      <c r="B502" s="52">
        <v>8</v>
      </c>
      <c r="C502" s="8" t="s">
        <v>1744</v>
      </c>
      <c r="D502" s="8" t="s">
        <v>20</v>
      </c>
      <c r="E502" s="52">
        <v>754</v>
      </c>
      <c r="F502" s="13"/>
      <c r="G502" s="13">
        <v>415</v>
      </c>
    </row>
    <row r="503" spans="1:7" hidden="1" x14ac:dyDescent="0.75">
      <c r="A503" s="51">
        <v>44946</v>
      </c>
      <c r="B503" s="52">
        <v>8</v>
      </c>
      <c r="C503" s="8" t="s">
        <v>1745</v>
      </c>
      <c r="D503" s="8" t="s">
        <v>20</v>
      </c>
      <c r="E503" s="52">
        <v>1534</v>
      </c>
      <c r="F503" s="13"/>
      <c r="G503" s="13">
        <v>2491.52</v>
      </c>
    </row>
    <row r="504" spans="1:7" hidden="1" x14ac:dyDescent="0.75">
      <c r="A504" s="51">
        <v>44946</v>
      </c>
      <c r="B504" s="52">
        <v>8</v>
      </c>
      <c r="C504" s="8" t="s">
        <v>1746</v>
      </c>
      <c r="D504" s="8" t="s">
        <v>20</v>
      </c>
      <c r="E504" s="52">
        <v>1534</v>
      </c>
      <c r="F504" s="13"/>
      <c r="G504" s="13">
        <v>2150.04</v>
      </c>
    </row>
    <row r="505" spans="1:7" hidden="1" x14ac:dyDescent="0.75">
      <c r="A505" s="51">
        <v>44946</v>
      </c>
      <c r="B505" s="52">
        <v>8</v>
      </c>
      <c r="C505" s="8" t="s">
        <v>1747</v>
      </c>
      <c r="D505" s="8" t="s">
        <v>20</v>
      </c>
      <c r="E505" s="52">
        <v>769</v>
      </c>
      <c r="F505" s="13"/>
      <c r="G505" s="13">
        <v>378</v>
      </c>
    </row>
    <row r="506" spans="1:7" hidden="1" x14ac:dyDescent="0.75">
      <c r="A506" s="51">
        <v>44946</v>
      </c>
      <c r="B506" s="52">
        <v>8</v>
      </c>
      <c r="C506" s="8" t="s">
        <v>1748</v>
      </c>
      <c r="D506" s="8" t="s">
        <v>20</v>
      </c>
      <c r="E506" s="52">
        <v>874</v>
      </c>
      <c r="F506" s="13"/>
      <c r="G506" s="13">
        <v>8940.15</v>
      </c>
    </row>
    <row r="507" spans="1:7" hidden="1" x14ac:dyDescent="0.75">
      <c r="A507" s="51">
        <v>44946</v>
      </c>
      <c r="B507" s="52">
        <v>8</v>
      </c>
      <c r="C507" s="8" t="s">
        <v>1749</v>
      </c>
      <c r="D507" s="8" t="s">
        <v>20</v>
      </c>
      <c r="E507" s="52">
        <v>1483</v>
      </c>
      <c r="F507" s="13"/>
      <c r="G507" s="13">
        <v>2700</v>
      </c>
    </row>
    <row r="508" spans="1:7" hidden="1" x14ac:dyDescent="0.75">
      <c r="A508" s="51">
        <v>44946</v>
      </c>
      <c r="B508" s="52">
        <v>8</v>
      </c>
      <c r="C508" s="8" t="s">
        <v>1625</v>
      </c>
      <c r="D508" s="8" t="s">
        <v>20</v>
      </c>
      <c r="E508" s="52">
        <v>1405</v>
      </c>
      <c r="F508" s="13"/>
      <c r="G508" s="13">
        <v>18566.8</v>
      </c>
    </row>
    <row r="509" spans="1:7" hidden="1" x14ac:dyDescent="0.75">
      <c r="A509" s="51">
        <v>44946</v>
      </c>
      <c r="B509" s="52">
        <v>8</v>
      </c>
      <c r="C509" s="8" t="s">
        <v>1627</v>
      </c>
      <c r="D509" s="8" t="s">
        <v>20</v>
      </c>
      <c r="E509" s="52">
        <v>688</v>
      </c>
      <c r="F509" s="13"/>
      <c r="G509" s="13">
        <v>2403.75</v>
      </c>
    </row>
    <row r="510" spans="1:7" hidden="1" x14ac:dyDescent="0.75">
      <c r="A510" s="51">
        <v>44946</v>
      </c>
      <c r="B510" s="52">
        <v>8</v>
      </c>
      <c r="C510" s="8" t="s">
        <v>1628</v>
      </c>
      <c r="D510" s="8" t="s">
        <v>20</v>
      </c>
      <c r="E510" s="52">
        <v>686</v>
      </c>
      <c r="F510" s="13"/>
      <c r="G510" s="13">
        <v>1691.3</v>
      </c>
    </row>
    <row r="511" spans="1:7" hidden="1" x14ac:dyDescent="0.75">
      <c r="A511" s="51">
        <v>44946</v>
      </c>
      <c r="B511" s="52">
        <v>8</v>
      </c>
      <c r="C511" s="8" t="s">
        <v>1629</v>
      </c>
      <c r="D511" s="8" t="s">
        <v>20</v>
      </c>
      <c r="E511" s="52">
        <v>695</v>
      </c>
      <c r="F511" s="13"/>
      <c r="G511" s="13">
        <v>804</v>
      </c>
    </row>
    <row r="512" spans="1:7" hidden="1" x14ac:dyDescent="0.75">
      <c r="A512" s="51">
        <v>44946</v>
      </c>
      <c r="B512" s="52">
        <v>8</v>
      </c>
      <c r="C512" s="8" t="s">
        <v>1630</v>
      </c>
      <c r="D512" s="8" t="s">
        <v>20</v>
      </c>
      <c r="E512" s="52">
        <v>696</v>
      </c>
      <c r="F512" s="13"/>
      <c r="G512" s="13">
        <v>227</v>
      </c>
    </row>
    <row r="513" spans="1:7" hidden="1" x14ac:dyDescent="0.75">
      <c r="A513" s="51">
        <v>44946</v>
      </c>
      <c r="B513" s="52">
        <v>8</v>
      </c>
      <c r="C513" s="8" t="s">
        <v>1631</v>
      </c>
      <c r="D513" s="8" t="s">
        <v>20</v>
      </c>
      <c r="E513" s="52">
        <v>687</v>
      </c>
      <c r="F513" s="13"/>
      <c r="G513" s="13">
        <v>314</v>
      </c>
    </row>
    <row r="514" spans="1:7" hidden="1" x14ac:dyDescent="0.75">
      <c r="A514" s="51">
        <v>44946</v>
      </c>
      <c r="B514" s="52">
        <v>8</v>
      </c>
      <c r="C514" s="8" t="s">
        <v>1632</v>
      </c>
      <c r="D514" s="8" t="s">
        <v>20</v>
      </c>
      <c r="E514" s="52">
        <v>694</v>
      </c>
      <c r="F514" s="13"/>
      <c r="G514" s="13">
        <v>1151.4000000000001</v>
      </c>
    </row>
    <row r="515" spans="1:7" hidden="1" x14ac:dyDescent="0.75">
      <c r="A515" s="51">
        <v>44946</v>
      </c>
      <c r="B515" s="52">
        <v>8</v>
      </c>
      <c r="C515" s="8" t="s">
        <v>1633</v>
      </c>
      <c r="D515" s="8" t="s">
        <v>20</v>
      </c>
      <c r="E515" s="52">
        <v>1684</v>
      </c>
      <c r="F515" s="13"/>
      <c r="G515" s="13">
        <v>1604</v>
      </c>
    </row>
    <row r="516" spans="1:7" hidden="1" x14ac:dyDescent="0.75">
      <c r="A516" s="51">
        <v>44946</v>
      </c>
      <c r="B516" s="52">
        <v>8</v>
      </c>
      <c r="C516" s="8" t="s">
        <v>1536</v>
      </c>
      <c r="D516" s="8" t="s">
        <v>20</v>
      </c>
      <c r="E516" s="52">
        <v>690</v>
      </c>
      <c r="F516" s="13"/>
      <c r="G516" s="13">
        <v>6025.5</v>
      </c>
    </row>
    <row r="517" spans="1:7" hidden="1" x14ac:dyDescent="0.75">
      <c r="A517" s="51">
        <v>44946</v>
      </c>
      <c r="B517" s="52">
        <v>8</v>
      </c>
      <c r="C517" s="8" t="s">
        <v>1525</v>
      </c>
      <c r="D517" s="8" t="s">
        <v>20</v>
      </c>
      <c r="E517" s="52">
        <v>703</v>
      </c>
      <c r="F517" s="13"/>
      <c r="G517" s="13">
        <v>518.4</v>
      </c>
    </row>
    <row r="518" spans="1:7" hidden="1" x14ac:dyDescent="0.75">
      <c r="A518" s="51">
        <v>44946</v>
      </c>
      <c r="B518" s="52">
        <v>8</v>
      </c>
      <c r="C518" s="8" t="s">
        <v>1537</v>
      </c>
      <c r="D518" s="8" t="s">
        <v>20</v>
      </c>
      <c r="E518" s="52">
        <v>973</v>
      </c>
      <c r="F518" s="13"/>
      <c r="G518" s="13">
        <v>219</v>
      </c>
    </row>
    <row r="519" spans="1:7" hidden="1" x14ac:dyDescent="0.75">
      <c r="A519" s="51">
        <v>44946</v>
      </c>
      <c r="B519" s="52">
        <v>8</v>
      </c>
      <c r="C519" s="8" t="s">
        <v>1538</v>
      </c>
      <c r="D519" s="8" t="s">
        <v>20</v>
      </c>
      <c r="E519" s="52">
        <v>692</v>
      </c>
      <c r="F519" s="13"/>
      <c r="G519" s="13">
        <v>2036</v>
      </c>
    </row>
    <row r="520" spans="1:7" hidden="1" x14ac:dyDescent="0.75">
      <c r="A520" s="51">
        <v>44946</v>
      </c>
      <c r="B520" s="52">
        <v>8</v>
      </c>
      <c r="C520" s="8" t="s">
        <v>1750</v>
      </c>
      <c r="D520" s="8" t="s">
        <v>20</v>
      </c>
      <c r="E520" s="52">
        <v>1306</v>
      </c>
      <c r="F520" s="13"/>
      <c r="G520" s="13">
        <v>1860</v>
      </c>
    </row>
    <row r="521" spans="1:7" hidden="1" x14ac:dyDescent="0.75">
      <c r="A521" s="51">
        <v>44946</v>
      </c>
      <c r="B521" s="52">
        <v>8</v>
      </c>
      <c r="C521" s="8" t="s">
        <v>1751</v>
      </c>
      <c r="D521" s="8" t="s">
        <v>20</v>
      </c>
      <c r="E521" s="52">
        <v>1306</v>
      </c>
      <c r="F521" s="13"/>
      <c r="G521" s="13">
        <v>1675</v>
      </c>
    </row>
    <row r="522" spans="1:7" hidden="1" x14ac:dyDescent="0.75">
      <c r="A522" s="51">
        <v>44946</v>
      </c>
      <c r="B522" s="52">
        <v>8</v>
      </c>
      <c r="C522" s="8" t="s">
        <v>1752</v>
      </c>
      <c r="D522" s="8" t="s">
        <v>20</v>
      </c>
      <c r="E522" s="52">
        <v>1306</v>
      </c>
      <c r="F522" s="13"/>
      <c r="G522" s="13">
        <v>2330</v>
      </c>
    </row>
    <row r="523" spans="1:7" hidden="1" x14ac:dyDescent="0.75">
      <c r="A523" s="51">
        <v>44946</v>
      </c>
      <c r="B523" s="52">
        <v>8</v>
      </c>
      <c r="C523" s="8" t="s">
        <v>1753</v>
      </c>
      <c r="D523" s="8" t="s">
        <v>20</v>
      </c>
      <c r="E523" s="52">
        <v>1306</v>
      </c>
      <c r="F523" s="13"/>
      <c r="G523" s="13">
        <v>1655</v>
      </c>
    </row>
    <row r="524" spans="1:7" hidden="1" x14ac:dyDescent="0.75">
      <c r="A524" s="51">
        <v>44946</v>
      </c>
      <c r="B524" s="52">
        <v>8</v>
      </c>
      <c r="C524" s="8" t="s">
        <v>1593</v>
      </c>
      <c r="D524" s="8" t="s">
        <v>20</v>
      </c>
      <c r="E524" s="52">
        <v>1306</v>
      </c>
      <c r="F524" s="13"/>
      <c r="G524" s="13">
        <v>4445</v>
      </c>
    </row>
    <row r="525" spans="1:7" hidden="1" x14ac:dyDescent="0.75">
      <c r="A525" s="51">
        <v>44946</v>
      </c>
      <c r="B525" s="52">
        <v>8</v>
      </c>
      <c r="C525" s="8" t="s">
        <v>1523</v>
      </c>
      <c r="D525" s="8" t="s">
        <v>20</v>
      </c>
      <c r="E525" s="52">
        <v>1900</v>
      </c>
      <c r="F525" s="13"/>
      <c r="G525" s="13">
        <v>2795</v>
      </c>
    </row>
    <row r="526" spans="1:7" hidden="1" x14ac:dyDescent="0.75">
      <c r="A526" s="51">
        <v>44946</v>
      </c>
      <c r="B526" s="52">
        <v>8</v>
      </c>
      <c r="C526" s="8" t="s">
        <v>1526</v>
      </c>
      <c r="D526" s="8" t="s">
        <v>20</v>
      </c>
      <c r="E526" s="52">
        <v>689</v>
      </c>
      <c r="F526" s="13"/>
      <c r="G526" s="13">
        <v>6203.4</v>
      </c>
    </row>
    <row r="527" spans="1:7" hidden="1" x14ac:dyDescent="0.75">
      <c r="A527" s="51">
        <v>44946</v>
      </c>
      <c r="B527" s="52">
        <v>8</v>
      </c>
      <c r="C527" s="8" t="s">
        <v>1526</v>
      </c>
      <c r="D527" s="8" t="s">
        <v>20</v>
      </c>
      <c r="E527" s="52">
        <v>689</v>
      </c>
      <c r="F527" s="13"/>
      <c r="G527" s="13">
        <v>5022.6000000000004</v>
      </c>
    </row>
    <row r="528" spans="1:7" hidden="1" x14ac:dyDescent="0.75">
      <c r="A528" s="51">
        <v>44946</v>
      </c>
      <c r="B528" s="52">
        <v>8</v>
      </c>
      <c r="C528" s="8" t="s">
        <v>1754</v>
      </c>
      <c r="D528" s="8" t="s">
        <v>20</v>
      </c>
      <c r="E528" s="52">
        <v>992</v>
      </c>
      <c r="F528" s="13"/>
      <c r="G528" s="13">
        <v>390</v>
      </c>
    </row>
    <row r="529" spans="1:7" hidden="1" x14ac:dyDescent="0.75">
      <c r="A529" s="51">
        <v>44946</v>
      </c>
      <c r="B529" s="52">
        <v>8</v>
      </c>
      <c r="C529" s="8" t="s">
        <v>1755</v>
      </c>
      <c r="D529" s="8" t="s">
        <v>20</v>
      </c>
      <c r="E529" s="52">
        <v>554</v>
      </c>
      <c r="F529" s="13"/>
      <c r="G529" s="13">
        <v>1870.14</v>
      </c>
    </row>
    <row r="530" spans="1:7" hidden="1" x14ac:dyDescent="0.75">
      <c r="A530" s="51">
        <v>44949</v>
      </c>
      <c r="B530" s="52">
        <v>8</v>
      </c>
      <c r="C530" s="8" t="s">
        <v>1756</v>
      </c>
      <c r="D530" s="8" t="s">
        <v>20</v>
      </c>
      <c r="E530" s="52">
        <v>754</v>
      </c>
      <c r="F530" s="13"/>
      <c r="G530" s="13">
        <v>8250</v>
      </c>
    </row>
    <row r="531" spans="1:7" hidden="1" x14ac:dyDescent="0.75">
      <c r="A531" s="51">
        <v>44949</v>
      </c>
      <c r="B531" s="52">
        <v>8</v>
      </c>
      <c r="C531" s="8" t="s">
        <v>1549</v>
      </c>
      <c r="D531" s="8" t="s">
        <v>20</v>
      </c>
      <c r="E531" s="52">
        <v>374</v>
      </c>
      <c r="F531" s="13"/>
      <c r="G531" s="13">
        <v>22.4</v>
      </c>
    </row>
    <row r="532" spans="1:7" hidden="1" x14ac:dyDescent="0.75">
      <c r="A532" s="51">
        <v>44949</v>
      </c>
      <c r="B532" s="52">
        <v>8</v>
      </c>
      <c r="C532" s="8" t="s">
        <v>1549</v>
      </c>
      <c r="D532" s="8" t="s">
        <v>20</v>
      </c>
      <c r="E532" s="52">
        <v>374</v>
      </c>
      <c r="F532" s="13"/>
      <c r="G532" s="13">
        <v>21.58</v>
      </c>
    </row>
    <row r="533" spans="1:7" hidden="1" x14ac:dyDescent="0.75">
      <c r="A533" s="51">
        <v>44949</v>
      </c>
      <c r="B533" s="52">
        <v>8</v>
      </c>
      <c r="C533" s="8" t="s">
        <v>1549</v>
      </c>
      <c r="D533" s="8" t="s">
        <v>20</v>
      </c>
      <c r="E533" s="52">
        <v>374</v>
      </c>
      <c r="F533" s="13"/>
      <c r="G533" s="13">
        <v>42.97</v>
      </c>
    </row>
    <row r="534" spans="1:7" hidden="1" x14ac:dyDescent="0.75">
      <c r="A534" s="51">
        <v>44949</v>
      </c>
      <c r="B534" s="52">
        <v>8</v>
      </c>
      <c r="C534" s="8" t="s">
        <v>1549</v>
      </c>
      <c r="D534" s="8" t="s">
        <v>20</v>
      </c>
      <c r="E534" s="52">
        <v>374</v>
      </c>
      <c r="F534" s="13"/>
      <c r="G534" s="13">
        <v>10</v>
      </c>
    </row>
    <row r="535" spans="1:7" hidden="1" x14ac:dyDescent="0.75">
      <c r="A535" s="51">
        <v>44949</v>
      </c>
      <c r="B535" s="52">
        <v>8</v>
      </c>
      <c r="C535" s="8" t="s">
        <v>1757</v>
      </c>
      <c r="D535" s="8" t="s">
        <v>20</v>
      </c>
      <c r="E535" s="52">
        <v>1898</v>
      </c>
      <c r="F535" s="13"/>
      <c r="G535" s="13">
        <v>4003.2</v>
      </c>
    </row>
    <row r="536" spans="1:7" hidden="1" x14ac:dyDescent="0.75">
      <c r="A536" s="51">
        <v>44949</v>
      </c>
      <c r="B536" s="52">
        <v>8</v>
      </c>
      <c r="C536" s="8" t="s">
        <v>1758</v>
      </c>
      <c r="D536" s="8" t="s">
        <v>20</v>
      </c>
      <c r="E536" s="52">
        <v>1721</v>
      </c>
      <c r="F536" s="13"/>
      <c r="G536" s="13">
        <v>1222</v>
      </c>
    </row>
    <row r="537" spans="1:7" hidden="1" x14ac:dyDescent="0.75">
      <c r="A537" s="51">
        <v>44949</v>
      </c>
      <c r="B537" s="52">
        <v>8</v>
      </c>
      <c r="C537" s="8" t="s">
        <v>1759</v>
      </c>
      <c r="D537" s="8" t="s">
        <v>20</v>
      </c>
      <c r="E537" s="52">
        <v>1721</v>
      </c>
      <c r="F537" s="13"/>
      <c r="G537" s="13">
        <v>840</v>
      </c>
    </row>
    <row r="538" spans="1:7" hidden="1" x14ac:dyDescent="0.75">
      <c r="A538" s="51">
        <v>44949</v>
      </c>
      <c r="B538" s="52">
        <v>8</v>
      </c>
      <c r="C538" s="8" t="s">
        <v>1760</v>
      </c>
      <c r="D538" s="8" t="s">
        <v>20</v>
      </c>
      <c r="E538" s="52">
        <v>1721</v>
      </c>
      <c r="F538" s="13"/>
      <c r="G538" s="13">
        <v>255</v>
      </c>
    </row>
    <row r="539" spans="1:7" hidden="1" x14ac:dyDescent="0.75">
      <c r="A539" s="51">
        <v>44949</v>
      </c>
      <c r="B539" s="52">
        <v>8</v>
      </c>
      <c r="C539" s="8" t="s">
        <v>1761</v>
      </c>
      <c r="D539" s="8" t="s">
        <v>20</v>
      </c>
      <c r="E539" s="52">
        <v>908</v>
      </c>
      <c r="F539" s="13"/>
      <c r="G539" s="13">
        <v>1541.82</v>
      </c>
    </row>
    <row r="540" spans="1:7" hidden="1" x14ac:dyDescent="0.75">
      <c r="A540" s="51">
        <v>44949</v>
      </c>
      <c r="B540" s="52">
        <v>8</v>
      </c>
      <c r="C540" s="8" t="s">
        <v>1762</v>
      </c>
      <c r="D540" s="8" t="s">
        <v>20</v>
      </c>
      <c r="E540" s="52">
        <v>1350</v>
      </c>
      <c r="F540" s="13"/>
      <c r="G540" s="13">
        <v>190</v>
      </c>
    </row>
    <row r="541" spans="1:7" hidden="1" x14ac:dyDescent="0.75">
      <c r="A541" s="51">
        <v>44949</v>
      </c>
      <c r="B541" s="52">
        <v>8</v>
      </c>
      <c r="C541" s="8" t="s">
        <v>1763</v>
      </c>
      <c r="D541" s="8" t="s">
        <v>20</v>
      </c>
      <c r="E541" s="52">
        <v>1365</v>
      </c>
      <c r="F541" s="13"/>
      <c r="G541" s="13">
        <v>750</v>
      </c>
    </row>
    <row r="542" spans="1:7" hidden="1" x14ac:dyDescent="0.75">
      <c r="A542" s="51">
        <v>44949</v>
      </c>
      <c r="B542" s="52">
        <v>8</v>
      </c>
      <c r="C542" s="8" t="s">
        <v>1764</v>
      </c>
      <c r="D542" s="8" t="s">
        <v>20</v>
      </c>
      <c r="E542" s="52">
        <v>774</v>
      </c>
      <c r="F542" s="13"/>
      <c r="G542" s="13">
        <v>420</v>
      </c>
    </row>
    <row r="543" spans="1:7" hidden="1" x14ac:dyDescent="0.75">
      <c r="A543" s="51">
        <v>44949</v>
      </c>
      <c r="B543" s="52">
        <v>8</v>
      </c>
      <c r="C543" s="8" t="s">
        <v>1765</v>
      </c>
      <c r="D543" s="8" t="s">
        <v>20</v>
      </c>
      <c r="E543" s="52">
        <v>774</v>
      </c>
      <c r="F543" s="13"/>
      <c r="G543" s="13">
        <v>5610</v>
      </c>
    </row>
    <row r="544" spans="1:7" hidden="1" x14ac:dyDescent="0.75">
      <c r="A544" s="51">
        <v>44949</v>
      </c>
      <c r="B544" s="52">
        <v>8</v>
      </c>
      <c r="C544" s="8" t="s">
        <v>1766</v>
      </c>
      <c r="D544" s="8" t="s">
        <v>20</v>
      </c>
      <c r="E544" s="52">
        <v>1350</v>
      </c>
      <c r="F544" s="13"/>
      <c r="G544" s="13">
        <v>165</v>
      </c>
    </row>
    <row r="545" spans="1:7" hidden="1" x14ac:dyDescent="0.75">
      <c r="A545" s="51">
        <v>44949</v>
      </c>
      <c r="B545" s="52">
        <v>8</v>
      </c>
      <c r="C545" s="8" t="s">
        <v>1767</v>
      </c>
      <c r="D545" s="8" t="s">
        <v>20</v>
      </c>
      <c r="E545" s="52">
        <v>1365</v>
      </c>
      <c r="F545" s="13"/>
      <c r="G545" s="13">
        <v>455</v>
      </c>
    </row>
    <row r="546" spans="1:7" hidden="1" x14ac:dyDescent="0.75">
      <c r="A546" s="51">
        <v>44949</v>
      </c>
      <c r="B546" s="52">
        <v>8</v>
      </c>
      <c r="C546" s="8" t="s">
        <v>1768</v>
      </c>
      <c r="D546" s="8" t="s">
        <v>20</v>
      </c>
      <c r="E546" s="52">
        <v>769</v>
      </c>
      <c r="F546" s="13"/>
      <c r="G546" s="13">
        <v>5137.3100000000004</v>
      </c>
    </row>
    <row r="547" spans="1:7" hidden="1" x14ac:dyDescent="0.75">
      <c r="A547" s="51">
        <v>44949</v>
      </c>
      <c r="B547" s="52">
        <v>8</v>
      </c>
      <c r="C547" s="8" t="s">
        <v>1769</v>
      </c>
      <c r="D547" s="8" t="s">
        <v>20</v>
      </c>
      <c r="E547" s="52">
        <v>754</v>
      </c>
      <c r="F547" s="13"/>
      <c r="G547" s="13">
        <v>225</v>
      </c>
    </row>
    <row r="548" spans="1:7" hidden="1" x14ac:dyDescent="0.75">
      <c r="A548" s="51">
        <v>44949</v>
      </c>
      <c r="B548" s="52">
        <v>8</v>
      </c>
      <c r="C548" s="8" t="s">
        <v>1770</v>
      </c>
      <c r="D548" s="8" t="s">
        <v>20</v>
      </c>
      <c r="E548" s="52">
        <v>1721</v>
      </c>
      <c r="F548" s="13"/>
      <c r="G548" s="13">
        <v>1660</v>
      </c>
    </row>
    <row r="549" spans="1:7" hidden="1" x14ac:dyDescent="0.75">
      <c r="A549" s="51">
        <v>44949</v>
      </c>
      <c r="B549" s="52">
        <v>8</v>
      </c>
      <c r="C549" s="8" t="s">
        <v>1771</v>
      </c>
      <c r="D549" s="8" t="s">
        <v>20</v>
      </c>
      <c r="E549" s="52">
        <v>774</v>
      </c>
      <c r="F549" s="13"/>
      <c r="G549" s="13">
        <v>900</v>
      </c>
    </row>
    <row r="550" spans="1:7" hidden="1" x14ac:dyDescent="0.75">
      <c r="A550" s="51">
        <v>44949</v>
      </c>
      <c r="B550" s="52">
        <v>8</v>
      </c>
      <c r="C550" s="8" t="s">
        <v>1772</v>
      </c>
      <c r="D550" s="8" t="s">
        <v>20</v>
      </c>
      <c r="E550" s="52">
        <v>1348</v>
      </c>
      <c r="F550" s="13"/>
      <c r="G550" s="13">
        <v>330</v>
      </c>
    </row>
    <row r="551" spans="1:7" hidden="1" x14ac:dyDescent="0.75">
      <c r="A551" s="51">
        <v>44949</v>
      </c>
      <c r="B551" s="52">
        <v>8</v>
      </c>
      <c r="C551" s="8" t="s">
        <v>1773</v>
      </c>
      <c r="D551" s="8" t="s">
        <v>20</v>
      </c>
      <c r="E551" s="52">
        <v>754</v>
      </c>
      <c r="F551" s="13"/>
      <c r="G551" s="13">
        <v>16500</v>
      </c>
    </row>
    <row r="552" spans="1:7" hidden="1" x14ac:dyDescent="0.75">
      <c r="A552" s="51">
        <v>44949</v>
      </c>
      <c r="B552" s="52">
        <v>8</v>
      </c>
      <c r="C552" s="8" t="s">
        <v>1774</v>
      </c>
      <c r="D552" s="8" t="s">
        <v>20</v>
      </c>
      <c r="E552" s="52">
        <v>769</v>
      </c>
      <c r="F552" s="13"/>
      <c r="G552" s="13">
        <v>3500</v>
      </c>
    </row>
    <row r="553" spans="1:7" hidden="1" x14ac:dyDescent="0.75">
      <c r="A553" s="51">
        <v>44949</v>
      </c>
      <c r="B553" s="52">
        <v>8</v>
      </c>
      <c r="C553" s="8" t="s">
        <v>1775</v>
      </c>
      <c r="D553" s="8" t="s">
        <v>20</v>
      </c>
      <c r="E553" s="52">
        <v>769</v>
      </c>
      <c r="F553" s="13"/>
      <c r="G553" s="13">
        <v>16200</v>
      </c>
    </row>
    <row r="554" spans="1:7" hidden="1" x14ac:dyDescent="0.75">
      <c r="A554" s="51">
        <v>44949</v>
      </c>
      <c r="B554" s="52">
        <v>8</v>
      </c>
      <c r="C554" s="8" t="s">
        <v>1776</v>
      </c>
      <c r="D554" s="8" t="s">
        <v>20</v>
      </c>
      <c r="E554" s="52">
        <v>769</v>
      </c>
      <c r="F554" s="13"/>
      <c r="G554" s="13">
        <v>378</v>
      </c>
    </row>
    <row r="555" spans="1:7" hidden="1" x14ac:dyDescent="0.75">
      <c r="A555" s="51">
        <v>44949</v>
      </c>
      <c r="B555" s="52">
        <v>8</v>
      </c>
      <c r="C555" s="8" t="s">
        <v>1777</v>
      </c>
      <c r="D555" s="8" t="s">
        <v>20</v>
      </c>
      <c r="E555" s="52">
        <v>769</v>
      </c>
      <c r="F555" s="13"/>
      <c r="G555" s="13">
        <v>2268</v>
      </c>
    </row>
    <row r="556" spans="1:7" hidden="1" x14ac:dyDescent="0.75">
      <c r="A556" s="51">
        <v>44949</v>
      </c>
      <c r="B556" s="52">
        <v>8</v>
      </c>
      <c r="C556" s="8" t="s">
        <v>1778</v>
      </c>
      <c r="D556" s="8" t="s">
        <v>20</v>
      </c>
      <c r="E556" s="52">
        <v>67</v>
      </c>
      <c r="F556" s="13"/>
      <c r="G556" s="13">
        <v>173.15</v>
      </c>
    </row>
    <row r="557" spans="1:7" hidden="1" x14ac:dyDescent="0.75">
      <c r="A557" s="51">
        <v>44949</v>
      </c>
      <c r="B557" s="52">
        <v>8</v>
      </c>
      <c r="C557" s="8" t="s">
        <v>1779</v>
      </c>
      <c r="D557" s="8" t="s">
        <v>20</v>
      </c>
      <c r="E557" s="52">
        <v>560</v>
      </c>
      <c r="F557" s="13"/>
      <c r="G557" s="13">
        <v>117.09</v>
      </c>
    </row>
    <row r="558" spans="1:7" hidden="1" x14ac:dyDescent="0.75">
      <c r="A558" s="51">
        <v>44949</v>
      </c>
      <c r="B558" s="52">
        <v>8</v>
      </c>
      <c r="C558" s="8" t="s">
        <v>1780</v>
      </c>
      <c r="D558" s="8" t="s">
        <v>20</v>
      </c>
      <c r="E558" s="52">
        <v>1918</v>
      </c>
      <c r="F558" s="13"/>
      <c r="G558" s="13">
        <v>1222.97</v>
      </c>
    </row>
    <row r="559" spans="1:7" hidden="1" x14ac:dyDescent="0.75">
      <c r="A559" s="51">
        <v>44949</v>
      </c>
      <c r="B559" s="52">
        <v>8</v>
      </c>
      <c r="C559" s="8" t="s">
        <v>1781</v>
      </c>
      <c r="D559" s="8" t="s">
        <v>20</v>
      </c>
      <c r="E559" s="52">
        <v>1327</v>
      </c>
      <c r="F559" s="13"/>
      <c r="G559" s="13">
        <v>834</v>
      </c>
    </row>
    <row r="560" spans="1:7" hidden="1" x14ac:dyDescent="0.75">
      <c r="A560" s="51">
        <v>44949</v>
      </c>
      <c r="B560" s="52">
        <v>8</v>
      </c>
      <c r="C560" s="8" t="s">
        <v>1782</v>
      </c>
      <c r="D560" s="8" t="s">
        <v>20</v>
      </c>
      <c r="E560" s="52">
        <v>1353</v>
      </c>
      <c r="F560" s="13"/>
      <c r="G560" s="13">
        <v>880.48</v>
      </c>
    </row>
    <row r="561" spans="1:7" hidden="1" x14ac:dyDescent="0.75">
      <c r="A561" s="51">
        <v>44949</v>
      </c>
      <c r="B561" s="52">
        <v>8</v>
      </c>
      <c r="C561" s="8" t="s">
        <v>1783</v>
      </c>
      <c r="D561" s="8" t="s">
        <v>20</v>
      </c>
      <c r="E561" s="52">
        <v>1961</v>
      </c>
      <c r="F561" s="13"/>
      <c r="G561" s="13">
        <v>674.52</v>
      </c>
    </row>
    <row r="562" spans="1:7" hidden="1" x14ac:dyDescent="0.75">
      <c r="A562" s="51">
        <v>44950</v>
      </c>
      <c r="B562" s="52">
        <v>8</v>
      </c>
      <c r="C562" s="8" t="s">
        <v>1784</v>
      </c>
      <c r="D562" s="8" t="s">
        <v>20</v>
      </c>
      <c r="E562" s="52">
        <v>771</v>
      </c>
      <c r="F562" s="13"/>
      <c r="G562" s="13">
        <v>780</v>
      </c>
    </row>
    <row r="563" spans="1:7" hidden="1" x14ac:dyDescent="0.75">
      <c r="A563" s="51">
        <v>44950</v>
      </c>
      <c r="B563" s="52">
        <v>8</v>
      </c>
      <c r="C563" s="8" t="s">
        <v>1785</v>
      </c>
      <c r="D563" s="8" t="s">
        <v>20</v>
      </c>
      <c r="E563" s="52">
        <v>754</v>
      </c>
      <c r="F563" s="13"/>
      <c r="G563" s="13">
        <v>545</v>
      </c>
    </row>
    <row r="564" spans="1:7" hidden="1" x14ac:dyDescent="0.75">
      <c r="A564" s="51">
        <v>44950</v>
      </c>
      <c r="B564" s="52">
        <v>8</v>
      </c>
      <c r="C564" s="8" t="s">
        <v>1786</v>
      </c>
      <c r="D564" s="8" t="s">
        <v>20</v>
      </c>
      <c r="E564" s="52">
        <v>1359</v>
      </c>
      <c r="F564" s="13"/>
      <c r="G564" s="13">
        <v>400</v>
      </c>
    </row>
    <row r="565" spans="1:7" hidden="1" x14ac:dyDescent="0.75">
      <c r="A565" s="51">
        <v>44950</v>
      </c>
      <c r="B565" s="52">
        <v>8</v>
      </c>
      <c r="C565" s="8" t="s">
        <v>1549</v>
      </c>
      <c r="D565" s="8" t="s">
        <v>20</v>
      </c>
      <c r="E565" s="52">
        <v>374</v>
      </c>
      <c r="F565" s="13"/>
      <c r="G565" s="13">
        <v>14.35</v>
      </c>
    </row>
    <row r="566" spans="1:7" hidden="1" x14ac:dyDescent="0.75">
      <c r="A566" s="51">
        <v>44950</v>
      </c>
      <c r="B566" s="52">
        <v>8</v>
      </c>
      <c r="C566" s="8" t="s">
        <v>1535</v>
      </c>
      <c r="D566" s="8" t="s">
        <v>20</v>
      </c>
      <c r="E566" s="52">
        <v>1558</v>
      </c>
      <c r="F566" s="13"/>
      <c r="G566" s="13">
        <v>439.75</v>
      </c>
    </row>
    <row r="567" spans="1:7" hidden="1" x14ac:dyDescent="0.75">
      <c r="A567" s="51">
        <v>44950</v>
      </c>
      <c r="B567" s="52">
        <v>8</v>
      </c>
      <c r="C567" s="8" t="s">
        <v>1787</v>
      </c>
      <c r="D567" s="8" t="s">
        <v>20</v>
      </c>
      <c r="E567" s="52">
        <v>1915</v>
      </c>
      <c r="F567" s="13"/>
      <c r="G567" s="13">
        <v>4500</v>
      </c>
    </row>
    <row r="568" spans="1:7" hidden="1" x14ac:dyDescent="0.75">
      <c r="A568" s="51">
        <v>44951</v>
      </c>
      <c r="B568" s="52">
        <v>8</v>
      </c>
      <c r="C568" s="8" t="s">
        <v>1481</v>
      </c>
      <c r="D568" s="8" t="s">
        <v>20</v>
      </c>
      <c r="E568" s="52">
        <v>1362</v>
      </c>
      <c r="F568" s="13">
        <v>47312.19</v>
      </c>
      <c r="G568" s="13"/>
    </row>
    <row r="569" spans="1:7" hidden="1" x14ac:dyDescent="0.75">
      <c r="A569" s="51">
        <v>44951</v>
      </c>
      <c r="B569" s="52">
        <v>8</v>
      </c>
      <c r="C569" s="8" t="s">
        <v>1481</v>
      </c>
      <c r="D569" s="8" t="s">
        <v>20</v>
      </c>
      <c r="E569" s="52">
        <v>1362</v>
      </c>
      <c r="F569" s="13">
        <v>19182.330000000002</v>
      </c>
      <c r="G569" s="13"/>
    </row>
    <row r="570" spans="1:7" hidden="1" x14ac:dyDescent="0.75">
      <c r="A570" s="51">
        <v>44951</v>
      </c>
      <c r="B570" s="52">
        <v>8</v>
      </c>
      <c r="C570" s="8" t="s">
        <v>1788</v>
      </c>
      <c r="D570" s="8" t="s">
        <v>20</v>
      </c>
      <c r="E570" s="52">
        <v>769</v>
      </c>
      <c r="F570" s="13"/>
      <c r="G570" s="13">
        <v>385</v>
      </c>
    </row>
    <row r="571" spans="1:7" hidden="1" x14ac:dyDescent="0.75">
      <c r="A571" s="51">
        <v>44951</v>
      </c>
      <c r="B571" s="52">
        <v>8</v>
      </c>
      <c r="C571" s="8" t="s">
        <v>1789</v>
      </c>
      <c r="D571" s="8" t="s">
        <v>20</v>
      </c>
      <c r="E571" s="52">
        <v>1368</v>
      </c>
      <c r="F571" s="13"/>
      <c r="G571" s="13">
        <v>119.8</v>
      </c>
    </row>
    <row r="572" spans="1:7" hidden="1" x14ac:dyDescent="0.75">
      <c r="A572" s="51">
        <v>44951</v>
      </c>
      <c r="B572" s="52">
        <v>8</v>
      </c>
      <c r="C572" s="8" t="s">
        <v>1790</v>
      </c>
      <c r="D572" s="8" t="s">
        <v>20</v>
      </c>
      <c r="E572" s="52">
        <v>762</v>
      </c>
      <c r="F572" s="13"/>
      <c r="G572" s="13">
        <v>1560</v>
      </c>
    </row>
    <row r="573" spans="1:7" hidden="1" x14ac:dyDescent="0.75">
      <c r="A573" s="51">
        <v>44951</v>
      </c>
      <c r="B573" s="52">
        <v>8</v>
      </c>
      <c r="C573" s="8" t="s">
        <v>1791</v>
      </c>
      <c r="D573" s="8" t="s">
        <v>20</v>
      </c>
      <c r="E573" s="52">
        <v>744</v>
      </c>
      <c r="F573" s="13"/>
      <c r="G573" s="13">
        <v>2620</v>
      </c>
    </row>
    <row r="574" spans="1:7" hidden="1" x14ac:dyDescent="0.75">
      <c r="A574" s="51">
        <v>44951</v>
      </c>
      <c r="B574" s="52">
        <v>8</v>
      </c>
      <c r="C574" s="8" t="s">
        <v>1792</v>
      </c>
      <c r="D574" s="8" t="s">
        <v>20</v>
      </c>
      <c r="E574" s="52">
        <v>356</v>
      </c>
      <c r="F574" s="13"/>
      <c r="G574" s="13">
        <v>795.62</v>
      </c>
    </row>
    <row r="575" spans="1:7" hidden="1" x14ac:dyDescent="0.75">
      <c r="A575" s="51">
        <v>44951</v>
      </c>
      <c r="B575" s="52">
        <v>8</v>
      </c>
      <c r="C575" s="8" t="s">
        <v>1793</v>
      </c>
      <c r="D575" s="8" t="s">
        <v>20</v>
      </c>
      <c r="E575" s="52">
        <v>787</v>
      </c>
      <c r="F575" s="13"/>
      <c r="G575" s="13">
        <v>501.84</v>
      </c>
    </row>
    <row r="576" spans="1:7" hidden="1" x14ac:dyDescent="0.75">
      <c r="A576" s="51">
        <v>44951</v>
      </c>
      <c r="B576" s="52">
        <v>8</v>
      </c>
      <c r="C576" s="8" t="s">
        <v>1794</v>
      </c>
      <c r="D576" s="8" t="s">
        <v>20</v>
      </c>
      <c r="E576" s="52">
        <v>1365</v>
      </c>
      <c r="F576" s="13"/>
      <c r="G576" s="13">
        <v>408</v>
      </c>
    </row>
    <row r="577" spans="1:7" hidden="1" x14ac:dyDescent="0.75">
      <c r="A577" s="51">
        <v>44951</v>
      </c>
      <c r="B577" s="52">
        <v>8</v>
      </c>
      <c r="C577" s="8" t="s">
        <v>1795</v>
      </c>
      <c r="D577" s="8" t="s">
        <v>20</v>
      </c>
      <c r="E577" s="52">
        <v>1350</v>
      </c>
      <c r="F577" s="13"/>
      <c r="G577" s="13">
        <v>340</v>
      </c>
    </row>
    <row r="578" spans="1:7" hidden="1" x14ac:dyDescent="0.75">
      <c r="A578" s="51">
        <v>44951</v>
      </c>
      <c r="B578" s="52">
        <v>8</v>
      </c>
      <c r="C578" s="8" t="s">
        <v>1796</v>
      </c>
      <c r="D578" s="8" t="s">
        <v>20</v>
      </c>
      <c r="E578" s="52">
        <v>774</v>
      </c>
      <c r="F578" s="13"/>
      <c r="G578" s="13">
        <v>1128</v>
      </c>
    </row>
    <row r="579" spans="1:7" hidden="1" x14ac:dyDescent="0.75">
      <c r="A579" s="51">
        <v>44951</v>
      </c>
      <c r="B579" s="52">
        <v>8</v>
      </c>
      <c r="C579" s="8" t="s">
        <v>1549</v>
      </c>
      <c r="D579" s="8" t="s">
        <v>20</v>
      </c>
      <c r="E579" s="52">
        <v>374</v>
      </c>
      <c r="F579" s="13"/>
      <c r="G579" s="13">
        <v>10</v>
      </c>
    </row>
    <row r="580" spans="1:7" hidden="1" x14ac:dyDescent="0.75">
      <c r="A580" s="51">
        <v>44951</v>
      </c>
      <c r="B580" s="52">
        <v>8</v>
      </c>
      <c r="C580" s="8" t="s">
        <v>1797</v>
      </c>
      <c r="D580" s="8" t="s">
        <v>20</v>
      </c>
      <c r="E580" s="52">
        <v>1979</v>
      </c>
      <c r="F580" s="13"/>
      <c r="G580" s="13">
        <v>4484.5</v>
      </c>
    </row>
    <row r="581" spans="1:7" hidden="1" x14ac:dyDescent="0.75">
      <c r="A581" s="51">
        <v>44951</v>
      </c>
      <c r="B581" s="52">
        <v>8</v>
      </c>
      <c r="C581" s="8" t="s">
        <v>1798</v>
      </c>
      <c r="D581" s="8" t="s">
        <v>20</v>
      </c>
      <c r="E581" s="52">
        <v>769</v>
      </c>
      <c r="F581" s="13"/>
      <c r="G581" s="13">
        <v>3644.42</v>
      </c>
    </row>
    <row r="582" spans="1:7" hidden="1" x14ac:dyDescent="0.75">
      <c r="A582" s="51">
        <v>44952</v>
      </c>
      <c r="B582" s="52">
        <v>8</v>
      </c>
      <c r="C582" s="8" t="s">
        <v>1799</v>
      </c>
      <c r="D582" s="8" t="s">
        <v>20</v>
      </c>
      <c r="E582" s="52">
        <v>1711</v>
      </c>
      <c r="F582" s="13"/>
      <c r="G582" s="13">
        <v>500</v>
      </c>
    </row>
    <row r="583" spans="1:7" hidden="1" x14ac:dyDescent="0.75">
      <c r="A583" s="51">
        <v>44952</v>
      </c>
      <c r="B583" s="52">
        <v>8</v>
      </c>
      <c r="C583" s="8" t="s">
        <v>1800</v>
      </c>
      <c r="D583" s="8" t="s">
        <v>20</v>
      </c>
      <c r="E583" s="52">
        <v>681</v>
      </c>
      <c r="F583" s="13"/>
      <c r="G583" s="13">
        <v>5331.28</v>
      </c>
    </row>
    <row r="584" spans="1:7" hidden="1" x14ac:dyDescent="0.75">
      <c r="A584" s="51">
        <v>44952</v>
      </c>
      <c r="B584" s="52">
        <v>8</v>
      </c>
      <c r="C584" s="8" t="s">
        <v>1549</v>
      </c>
      <c r="D584" s="8" t="s">
        <v>20</v>
      </c>
      <c r="E584" s="52">
        <v>374</v>
      </c>
      <c r="F584" s="13"/>
      <c r="G584" s="13">
        <v>4.95</v>
      </c>
    </row>
    <row r="585" spans="1:7" hidden="1" x14ac:dyDescent="0.75">
      <c r="A585" s="51">
        <v>44952</v>
      </c>
      <c r="B585" s="52">
        <v>8</v>
      </c>
      <c r="C585" s="8" t="s">
        <v>1801</v>
      </c>
      <c r="D585" s="8" t="s">
        <v>20</v>
      </c>
      <c r="E585" s="52">
        <v>1350</v>
      </c>
      <c r="F585" s="13"/>
      <c r="G585" s="13">
        <v>245</v>
      </c>
    </row>
    <row r="586" spans="1:7" hidden="1" x14ac:dyDescent="0.75">
      <c r="A586" s="51">
        <v>44952</v>
      </c>
      <c r="B586" s="52">
        <v>8</v>
      </c>
      <c r="C586" s="8" t="s">
        <v>1802</v>
      </c>
      <c r="D586" s="8" t="s">
        <v>20</v>
      </c>
      <c r="E586" s="52">
        <v>1365</v>
      </c>
      <c r="F586" s="13"/>
      <c r="G586" s="13">
        <v>568</v>
      </c>
    </row>
    <row r="587" spans="1:7" hidden="1" x14ac:dyDescent="0.75">
      <c r="A587" s="51">
        <v>44952</v>
      </c>
      <c r="B587" s="52">
        <v>8</v>
      </c>
      <c r="C587" s="8" t="s">
        <v>1803</v>
      </c>
      <c r="D587" s="8" t="s">
        <v>20</v>
      </c>
      <c r="E587" s="52">
        <v>754</v>
      </c>
      <c r="F587" s="13"/>
      <c r="G587" s="13">
        <v>305</v>
      </c>
    </row>
    <row r="588" spans="1:7" hidden="1" x14ac:dyDescent="0.75">
      <c r="A588" s="51">
        <v>44952</v>
      </c>
      <c r="B588" s="52">
        <v>8</v>
      </c>
      <c r="C588" s="8" t="s">
        <v>1804</v>
      </c>
      <c r="D588" s="8" t="s">
        <v>20</v>
      </c>
      <c r="E588" s="52">
        <v>774</v>
      </c>
      <c r="F588" s="13"/>
      <c r="G588" s="13">
        <v>700</v>
      </c>
    </row>
    <row r="589" spans="1:7" hidden="1" x14ac:dyDescent="0.75">
      <c r="A589" s="51">
        <v>44952</v>
      </c>
      <c r="B589" s="52">
        <v>8</v>
      </c>
      <c r="C589" s="8" t="s">
        <v>1805</v>
      </c>
      <c r="D589" s="8" t="s">
        <v>20</v>
      </c>
      <c r="E589" s="52">
        <v>828</v>
      </c>
      <c r="F589" s="13"/>
      <c r="G589" s="13">
        <v>3000</v>
      </c>
    </row>
    <row r="590" spans="1:7" hidden="1" x14ac:dyDescent="0.75">
      <c r="A590" s="51">
        <v>44952</v>
      </c>
      <c r="B590" s="52">
        <v>8</v>
      </c>
      <c r="C590" s="8" t="s">
        <v>1806</v>
      </c>
      <c r="D590" s="8" t="s">
        <v>20</v>
      </c>
      <c r="E590" s="52">
        <v>828</v>
      </c>
      <c r="F590" s="13"/>
      <c r="G590" s="13">
        <v>3000</v>
      </c>
    </row>
    <row r="591" spans="1:7" hidden="1" x14ac:dyDescent="0.75">
      <c r="A591" s="51">
        <v>44953</v>
      </c>
      <c r="B591" s="52">
        <v>8</v>
      </c>
      <c r="C591" s="8" t="s">
        <v>1807</v>
      </c>
      <c r="D591" s="8" t="s">
        <v>20</v>
      </c>
      <c r="E591" s="52">
        <v>550</v>
      </c>
      <c r="F591" s="13"/>
      <c r="G591" s="13">
        <v>6459.33</v>
      </c>
    </row>
    <row r="592" spans="1:7" hidden="1" x14ac:dyDescent="0.75">
      <c r="A592" s="51">
        <v>44953</v>
      </c>
      <c r="B592" s="52">
        <v>8</v>
      </c>
      <c r="C592" s="8" t="s">
        <v>1808</v>
      </c>
      <c r="D592" s="8" t="s">
        <v>20</v>
      </c>
      <c r="E592" s="52">
        <v>769</v>
      </c>
      <c r="F592" s="13"/>
      <c r="G592" s="13">
        <v>3311</v>
      </c>
    </row>
    <row r="593" spans="1:7" hidden="1" x14ac:dyDescent="0.75">
      <c r="A593" s="51">
        <v>44953</v>
      </c>
      <c r="B593" s="52">
        <v>8</v>
      </c>
      <c r="C593" s="8" t="s">
        <v>1809</v>
      </c>
      <c r="D593" s="8" t="s">
        <v>20</v>
      </c>
      <c r="E593" s="52">
        <v>754</v>
      </c>
      <c r="F593" s="13"/>
      <c r="G593" s="13">
        <v>405</v>
      </c>
    </row>
    <row r="594" spans="1:7" hidden="1" x14ac:dyDescent="0.75">
      <c r="A594" s="51">
        <v>44953</v>
      </c>
      <c r="B594" s="52">
        <v>8</v>
      </c>
      <c r="C594" s="8" t="s">
        <v>1810</v>
      </c>
      <c r="D594" s="8" t="s">
        <v>20</v>
      </c>
      <c r="E594" s="52">
        <v>774</v>
      </c>
      <c r="F594" s="13"/>
      <c r="G594" s="13">
        <v>940</v>
      </c>
    </row>
    <row r="595" spans="1:7" hidden="1" x14ac:dyDescent="0.75">
      <c r="A595" s="51">
        <v>44953</v>
      </c>
      <c r="B595" s="52">
        <v>8</v>
      </c>
      <c r="C595" s="8" t="s">
        <v>1811</v>
      </c>
      <c r="D595" s="8" t="s">
        <v>20</v>
      </c>
      <c r="E595" s="52">
        <v>771</v>
      </c>
      <c r="F595" s="13"/>
      <c r="G595" s="13">
        <v>270</v>
      </c>
    </row>
    <row r="596" spans="1:7" hidden="1" x14ac:dyDescent="0.75">
      <c r="A596" s="51">
        <v>44953</v>
      </c>
      <c r="B596" s="52">
        <v>8</v>
      </c>
      <c r="C596" s="8" t="s">
        <v>1812</v>
      </c>
      <c r="D596" s="8" t="s">
        <v>20</v>
      </c>
      <c r="E596" s="52">
        <v>1721</v>
      </c>
      <c r="F596" s="13"/>
      <c r="G596" s="13">
        <v>1210</v>
      </c>
    </row>
    <row r="597" spans="1:7" hidden="1" x14ac:dyDescent="0.75">
      <c r="A597" s="51">
        <v>44953</v>
      </c>
      <c r="B597" s="52">
        <v>8</v>
      </c>
      <c r="C597" s="8" t="s">
        <v>1813</v>
      </c>
      <c r="D597" s="8" t="s">
        <v>20</v>
      </c>
      <c r="E597" s="52">
        <v>1721</v>
      </c>
      <c r="F597" s="13"/>
      <c r="G597" s="13">
        <v>1220</v>
      </c>
    </row>
    <row r="598" spans="1:7" hidden="1" x14ac:dyDescent="0.75">
      <c r="A598" s="51">
        <v>44953</v>
      </c>
      <c r="B598" s="52">
        <v>8</v>
      </c>
      <c r="C598" s="8" t="s">
        <v>1814</v>
      </c>
      <c r="D598" s="8" t="s">
        <v>20</v>
      </c>
      <c r="E598" s="52">
        <v>1721</v>
      </c>
      <c r="F598" s="13"/>
      <c r="G598" s="13">
        <v>610</v>
      </c>
    </row>
    <row r="599" spans="1:7" hidden="1" x14ac:dyDescent="0.75">
      <c r="A599" s="51">
        <v>44953</v>
      </c>
      <c r="B599" s="52">
        <v>8</v>
      </c>
      <c r="C599" s="8" t="s">
        <v>1815</v>
      </c>
      <c r="D599" s="8" t="s">
        <v>20</v>
      </c>
      <c r="E599" s="52">
        <v>948</v>
      </c>
      <c r="F599" s="13"/>
      <c r="G599" s="13">
        <v>1491.49</v>
      </c>
    </row>
    <row r="600" spans="1:7" hidden="1" x14ac:dyDescent="0.75">
      <c r="A600" s="51">
        <v>44953</v>
      </c>
      <c r="B600" s="52">
        <v>8</v>
      </c>
      <c r="C600" s="8" t="s">
        <v>1816</v>
      </c>
      <c r="D600" s="8" t="s">
        <v>20</v>
      </c>
      <c r="E600" s="52">
        <v>55</v>
      </c>
      <c r="F600" s="13"/>
      <c r="G600" s="13">
        <v>16216.04</v>
      </c>
    </row>
    <row r="601" spans="1:7" hidden="1" x14ac:dyDescent="0.75">
      <c r="A601" s="51">
        <v>44953</v>
      </c>
      <c r="B601" s="52">
        <v>8</v>
      </c>
      <c r="C601" s="8" t="s">
        <v>1817</v>
      </c>
      <c r="D601" s="8" t="s">
        <v>20</v>
      </c>
      <c r="E601" s="52">
        <v>1372</v>
      </c>
      <c r="F601" s="13"/>
      <c r="G601" s="13">
        <v>2808.51</v>
      </c>
    </row>
    <row r="602" spans="1:7" hidden="1" x14ac:dyDescent="0.75">
      <c r="A602" s="51">
        <v>44953</v>
      </c>
      <c r="B602" s="52">
        <v>8</v>
      </c>
      <c r="C602" s="8" t="s">
        <v>1818</v>
      </c>
      <c r="D602" s="8" t="s">
        <v>20</v>
      </c>
      <c r="E602" s="52">
        <v>350</v>
      </c>
      <c r="F602" s="13"/>
      <c r="G602" s="13">
        <v>383.76</v>
      </c>
    </row>
    <row r="603" spans="1:7" hidden="1" x14ac:dyDescent="0.75">
      <c r="A603" s="51">
        <v>44953</v>
      </c>
      <c r="B603" s="52">
        <v>8</v>
      </c>
      <c r="C603" s="8" t="s">
        <v>1576</v>
      </c>
      <c r="D603" s="8" t="s">
        <v>20</v>
      </c>
      <c r="E603" s="52">
        <v>1914</v>
      </c>
      <c r="F603" s="13"/>
      <c r="G603" s="13">
        <v>300</v>
      </c>
    </row>
    <row r="604" spans="1:7" hidden="1" x14ac:dyDescent="0.75">
      <c r="A604" s="51">
        <v>44953</v>
      </c>
      <c r="B604" s="52">
        <v>8</v>
      </c>
      <c r="C604" s="8" t="s">
        <v>1549</v>
      </c>
      <c r="D604" s="8" t="s">
        <v>20</v>
      </c>
      <c r="E604" s="52">
        <v>374</v>
      </c>
      <c r="F604" s="13"/>
      <c r="G604" s="13">
        <v>12.97</v>
      </c>
    </row>
    <row r="605" spans="1:7" hidden="1" x14ac:dyDescent="0.75">
      <c r="A605" s="51">
        <v>44953</v>
      </c>
      <c r="B605" s="52">
        <v>8</v>
      </c>
      <c r="C605" s="8" t="s">
        <v>1819</v>
      </c>
      <c r="D605" s="8" t="s">
        <v>20</v>
      </c>
      <c r="E605" s="52">
        <v>1648</v>
      </c>
      <c r="F605" s="13"/>
      <c r="G605" s="13">
        <v>10169</v>
      </c>
    </row>
    <row r="606" spans="1:7" hidden="1" x14ac:dyDescent="0.75">
      <c r="A606" s="51">
        <v>44953</v>
      </c>
      <c r="B606" s="52">
        <v>8</v>
      </c>
      <c r="C606" s="8" t="s">
        <v>1820</v>
      </c>
      <c r="D606" s="8" t="s">
        <v>20</v>
      </c>
      <c r="E606" s="52">
        <v>1648</v>
      </c>
      <c r="F606" s="13"/>
      <c r="G606" s="13">
        <v>3064</v>
      </c>
    </row>
    <row r="607" spans="1:7" hidden="1" x14ac:dyDescent="0.75">
      <c r="A607" s="51">
        <v>44953</v>
      </c>
      <c r="B607" s="52">
        <v>8</v>
      </c>
      <c r="C607" s="8" t="s">
        <v>1821</v>
      </c>
      <c r="D607" s="8" t="s">
        <v>20</v>
      </c>
      <c r="E607" s="52">
        <v>828</v>
      </c>
      <c r="F607" s="13"/>
      <c r="G607" s="13">
        <v>2000</v>
      </c>
    </row>
    <row r="608" spans="1:7" hidden="1" x14ac:dyDescent="0.75">
      <c r="A608" s="51">
        <v>44953</v>
      </c>
      <c r="B608" s="52">
        <v>8</v>
      </c>
      <c r="C608" s="8" t="s">
        <v>1822</v>
      </c>
      <c r="D608" s="8" t="s">
        <v>20</v>
      </c>
      <c r="E608" s="52">
        <v>828</v>
      </c>
      <c r="F608" s="13"/>
      <c r="G608" s="13">
        <v>2000</v>
      </c>
    </row>
    <row r="609" spans="1:7" hidden="1" x14ac:dyDescent="0.75">
      <c r="A609" s="51">
        <v>44956</v>
      </c>
      <c r="B609" s="52">
        <v>8</v>
      </c>
      <c r="C609" s="8" t="s">
        <v>1823</v>
      </c>
      <c r="D609" s="8" t="s">
        <v>20</v>
      </c>
      <c r="E609" s="52">
        <v>1949</v>
      </c>
      <c r="F609" s="13">
        <v>120000</v>
      </c>
      <c r="G609" s="13"/>
    </row>
    <row r="610" spans="1:7" hidden="1" x14ac:dyDescent="0.75">
      <c r="A610" s="51">
        <v>44956</v>
      </c>
      <c r="B610" s="52">
        <v>8</v>
      </c>
      <c r="C610" s="8" t="s">
        <v>1481</v>
      </c>
      <c r="D610" s="8" t="s">
        <v>20</v>
      </c>
      <c r="E610" s="52">
        <v>1362</v>
      </c>
      <c r="F610" s="13">
        <v>40079.08</v>
      </c>
      <c r="G610" s="13"/>
    </row>
    <row r="611" spans="1:7" hidden="1" x14ac:dyDescent="0.75">
      <c r="A611" s="51">
        <v>44956</v>
      </c>
      <c r="B611" s="52">
        <v>8</v>
      </c>
      <c r="C611" s="8" t="s">
        <v>1481</v>
      </c>
      <c r="D611" s="8" t="s">
        <v>20</v>
      </c>
      <c r="E611" s="52">
        <v>1362</v>
      </c>
      <c r="F611" s="13">
        <v>26280.76</v>
      </c>
      <c r="G611" s="13"/>
    </row>
    <row r="612" spans="1:7" hidden="1" x14ac:dyDescent="0.75">
      <c r="A612" s="51">
        <v>44956</v>
      </c>
      <c r="B612" s="52">
        <v>8</v>
      </c>
      <c r="C612" s="8" t="s">
        <v>1823</v>
      </c>
      <c r="D612" s="8" t="s">
        <v>20</v>
      </c>
      <c r="E612" s="52">
        <v>1949</v>
      </c>
      <c r="F612" s="13">
        <v>50000</v>
      </c>
      <c r="G612" s="13"/>
    </row>
    <row r="613" spans="1:7" hidden="1" x14ac:dyDescent="0.75">
      <c r="A613" s="51">
        <v>44956</v>
      </c>
      <c r="B613" s="52">
        <v>8</v>
      </c>
      <c r="C613" s="8" t="s">
        <v>1824</v>
      </c>
      <c r="D613" s="8" t="s">
        <v>20</v>
      </c>
      <c r="E613" s="52">
        <v>187</v>
      </c>
      <c r="F613" s="13"/>
      <c r="G613" s="13">
        <v>38680.17</v>
      </c>
    </row>
    <row r="614" spans="1:7" hidden="1" x14ac:dyDescent="0.75">
      <c r="A614" s="51">
        <v>44956</v>
      </c>
      <c r="B614" s="52">
        <v>8</v>
      </c>
      <c r="C614" s="8" t="s">
        <v>1825</v>
      </c>
      <c r="D614" s="8" t="s">
        <v>20</v>
      </c>
      <c r="E614" s="52">
        <v>769</v>
      </c>
      <c r="F614" s="13"/>
      <c r="G614" s="13">
        <v>2160</v>
      </c>
    </row>
    <row r="615" spans="1:7" hidden="1" x14ac:dyDescent="0.75">
      <c r="A615" s="51">
        <v>44956</v>
      </c>
      <c r="B615" s="52">
        <v>8</v>
      </c>
      <c r="C615" s="8" t="s">
        <v>1826</v>
      </c>
      <c r="D615" s="8" t="s">
        <v>20</v>
      </c>
      <c r="E615" s="52">
        <v>769</v>
      </c>
      <c r="F615" s="13"/>
      <c r="G615" s="13">
        <v>13500</v>
      </c>
    </row>
    <row r="616" spans="1:7" hidden="1" x14ac:dyDescent="0.75">
      <c r="A616" s="51">
        <v>44956</v>
      </c>
      <c r="B616" s="52">
        <v>8</v>
      </c>
      <c r="C616" s="8" t="s">
        <v>1827</v>
      </c>
      <c r="D616" s="8" t="s">
        <v>20</v>
      </c>
      <c r="E616" s="52">
        <v>769</v>
      </c>
      <c r="F616" s="13"/>
      <c r="G616" s="13">
        <v>6292</v>
      </c>
    </row>
    <row r="617" spans="1:7" hidden="1" x14ac:dyDescent="0.75">
      <c r="A617" s="51">
        <v>44956</v>
      </c>
      <c r="B617" s="52">
        <v>8</v>
      </c>
      <c r="C617" s="8" t="s">
        <v>1828</v>
      </c>
      <c r="D617" s="8" t="s">
        <v>20</v>
      </c>
      <c r="E617" s="52">
        <v>1401</v>
      </c>
      <c r="F617" s="13"/>
      <c r="G617" s="13">
        <v>925</v>
      </c>
    </row>
    <row r="618" spans="1:7" hidden="1" x14ac:dyDescent="0.75">
      <c r="A618" s="51">
        <v>44956</v>
      </c>
      <c r="B618" s="52">
        <v>8</v>
      </c>
      <c r="C618" s="8" t="s">
        <v>1829</v>
      </c>
      <c r="D618" s="8" t="s">
        <v>20</v>
      </c>
      <c r="E618" s="52">
        <v>774</v>
      </c>
      <c r="F618" s="13"/>
      <c r="G618" s="13">
        <v>608</v>
      </c>
    </row>
    <row r="619" spans="1:7" hidden="1" x14ac:dyDescent="0.75">
      <c r="A619" s="51">
        <v>44956</v>
      </c>
      <c r="B619" s="52">
        <v>8</v>
      </c>
      <c r="C619" s="8" t="s">
        <v>1830</v>
      </c>
      <c r="D619" s="8" t="s">
        <v>20</v>
      </c>
      <c r="E619" s="52">
        <v>1721</v>
      </c>
      <c r="F619" s="13"/>
      <c r="G619" s="13">
        <v>740</v>
      </c>
    </row>
    <row r="620" spans="1:7" hidden="1" x14ac:dyDescent="0.75">
      <c r="A620" s="51">
        <v>44956</v>
      </c>
      <c r="B620" s="52">
        <v>8</v>
      </c>
      <c r="C620" s="8" t="s">
        <v>1831</v>
      </c>
      <c r="D620" s="8" t="s">
        <v>20</v>
      </c>
      <c r="E620" s="52">
        <v>754</v>
      </c>
      <c r="F620" s="13"/>
      <c r="G620" s="13">
        <v>659</v>
      </c>
    </row>
    <row r="621" spans="1:7" hidden="1" x14ac:dyDescent="0.75">
      <c r="A621" s="51">
        <v>44956</v>
      </c>
      <c r="B621" s="52">
        <v>8</v>
      </c>
      <c r="C621" s="8" t="s">
        <v>1832</v>
      </c>
      <c r="D621" s="8" t="s">
        <v>20</v>
      </c>
      <c r="E621" s="52">
        <v>774</v>
      </c>
      <c r="F621" s="13"/>
      <c r="G621" s="13">
        <v>950</v>
      </c>
    </row>
    <row r="622" spans="1:7" hidden="1" x14ac:dyDescent="0.75">
      <c r="A622" s="51">
        <v>44956</v>
      </c>
      <c r="B622" s="52">
        <v>8</v>
      </c>
      <c r="C622" s="8" t="s">
        <v>1833</v>
      </c>
      <c r="D622" s="8" t="s">
        <v>20</v>
      </c>
      <c r="E622" s="52">
        <v>771</v>
      </c>
      <c r="F622" s="13"/>
      <c r="G622" s="13">
        <v>772</v>
      </c>
    </row>
    <row r="623" spans="1:7" hidden="1" x14ac:dyDescent="0.75">
      <c r="A623" s="51">
        <v>44956</v>
      </c>
      <c r="B623" s="52">
        <v>8</v>
      </c>
      <c r="C623" s="8" t="s">
        <v>1834</v>
      </c>
      <c r="D623" s="8" t="s">
        <v>20</v>
      </c>
      <c r="E623" s="52">
        <v>774</v>
      </c>
      <c r="F623" s="13"/>
      <c r="G623" s="13">
        <v>690</v>
      </c>
    </row>
    <row r="624" spans="1:7" hidden="1" x14ac:dyDescent="0.75">
      <c r="A624" s="51">
        <v>44956</v>
      </c>
      <c r="B624" s="52">
        <v>8</v>
      </c>
      <c r="C624" s="8" t="s">
        <v>1835</v>
      </c>
      <c r="D624" s="8" t="s">
        <v>20</v>
      </c>
      <c r="E624" s="52">
        <v>1350</v>
      </c>
      <c r="F624" s="13"/>
      <c r="G624" s="13">
        <v>470</v>
      </c>
    </row>
    <row r="625" spans="1:7" hidden="1" x14ac:dyDescent="0.75">
      <c r="A625" s="51">
        <v>44956</v>
      </c>
      <c r="B625" s="52">
        <v>8</v>
      </c>
      <c r="C625" s="8" t="s">
        <v>1836</v>
      </c>
      <c r="D625" s="8" t="s">
        <v>20</v>
      </c>
      <c r="E625" s="52">
        <v>1365</v>
      </c>
      <c r="F625" s="13"/>
      <c r="G625" s="13">
        <v>360</v>
      </c>
    </row>
    <row r="626" spans="1:7" hidden="1" x14ac:dyDescent="0.75">
      <c r="A626" s="51">
        <v>44956</v>
      </c>
      <c r="B626" s="52">
        <v>8</v>
      </c>
      <c r="C626" s="8" t="s">
        <v>1837</v>
      </c>
      <c r="D626" s="8" t="s">
        <v>20</v>
      </c>
      <c r="E626" s="52">
        <v>908</v>
      </c>
      <c r="F626" s="13"/>
      <c r="G626" s="13">
        <v>1312.02</v>
      </c>
    </row>
    <row r="627" spans="1:7" hidden="1" x14ac:dyDescent="0.75">
      <c r="A627" s="51">
        <v>44956</v>
      </c>
      <c r="B627" s="52">
        <v>8</v>
      </c>
      <c r="C627" s="8" t="s">
        <v>1838</v>
      </c>
      <c r="D627" s="8" t="s">
        <v>20</v>
      </c>
      <c r="E627" s="52">
        <v>753</v>
      </c>
      <c r="F627" s="13"/>
      <c r="G627" s="13">
        <v>1723.75</v>
      </c>
    </row>
    <row r="628" spans="1:7" hidden="1" x14ac:dyDescent="0.75">
      <c r="A628" s="51">
        <v>44956</v>
      </c>
      <c r="B628" s="52">
        <v>8</v>
      </c>
      <c r="C628" s="8" t="s">
        <v>1839</v>
      </c>
      <c r="D628" s="8" t="s">
        <v>20</v>
      </c>
      <c r="E628" s="52">
        <v>1982</v>
      </c>
      <c r="F628" s="13"/>
      <c r="G628" s="13">
        <v>2700</v>
      </c>
    </row>
    <row r="629" spans="1:7" hidden="1" x14ac:dyDescent="0.75">
      <c r="A629" s="51">
        <v>44956</v>
      </c>
      <c r="B629" s="52">
        <v>8</v>
      </c>
      <c r="C629" s="8" t="s">
        <v>1840</v>
      </c>
      <c r="D629" s="8" t="s">
        <v>20</v>
      </c>
      <c r="E629" s="52">
        <v>1914</v>
      </c>
      <c r="F629" s="13"/>
      <c r="G629" s="13">
        <v>2600</v>
      </c>
    </row>
    <row r="630" spans="1:7" hidden="1" x14ac:dyDescent="0.75">
      <c r="A630" s="51">
        <v>44956</v>
      </c>
      <c r="B630" s="52">
        <v>8</v>
      </c>
      <c r="C630" s="8" t="s">
        <v>1841</v>
      </c>
      <c r="D630" s="8" t="s">
        <v>20</v>
      </c>
      <c r="E630" s="52">
        <v>1366</v>
      </c>
      <c r="F630" s="13"/>
      <c r="G630" s="13">
        <v>420</v>
      </c>
    </row>
    <row r="631" spans="1:7" hidden="1" x14ac:dyDescent="0.75">
      <c r="A631" s="51">
        <v>44956</v>
      </c>
      <c r="B631" s="52">
        <v>8</v>
      </c>
      <c r="C631" s="8" t="s">
        <v>1842</v>
      </c>
      <c r="D631" s="8" t="s">
        <v>20</v>
      </c>
      <c r="E631" s="52">
        <v>1366</v>
      </c>
      <c r="F631" s="13"/>
      <c r="G631" s="13">
        <v>210</v>
      </c>
    </row>
    <row r="632" spans="1:7" hidden="1" x14ac:dyDescent="0.75">
      <c r="A632" s="51">
        <v>44956</v>
      </c>
      <c r="B632" s="52">
        <v>8</v>
      </c>
      <c r="C632" s="8" t="s">
        <v>1843</v>
      </c>
      <c r="D632" s="8" t="s">
        <v>20</v>
      </c>
      <c r="E632" s="52">
        <v>1366</v>
      </c>
      <c r="F632" s="13"/>
      <c r="G632" s="13">
        <v>760</v>
      </c>
    </row>
    <row r="633" spans="1:7" hidden="1" x14ac:dyDescent="0.75">
      <c r="A633" s="51">
        <v>44956</v>
      </c>
      <c r="B633" s="52">
        <v>8</v>
      </c>
      <c r="C633" s="8" t="s">
        <v>1844</v>
      </c>
      <c r="D633" s="8" t="s">
        <v>20</v>
      </c>
      <c r="E633" s="52">
        <v>1366</v>
      </c>
      <c r="F633" s="13"/>
      <c r="G633" s="13">
        <v>184</v>
      </c>
    </row>
    <row r="634" spans="1:7" hidden="1" x14ac:dyDescent="0.75">
      <c r="A634" s="51">
        <v>44956</v>
      </c>
      <c r="B634" s="52">
        <v>8</v>
      </c>
      <c r="C634" s="8" t="s">
        <v>1845</v>
      </c>
      <c r="D634" s="8" t="s">
        <v>20</v>
      </c>
      <c r="E634" s="52">
        <v>1366</v>
      </c>
      <c r="F634" s="13"/>
      <c r="G634" s="13">
        <v>1610</v>
      </c>
    </row>
    <row r="635" spans="1:7" hidden="1" x14ac:dyDescent="0.75">
      <c r="A635" s="51">
        <v>44956</v>
      </c>
      <c r="B635" s="52">
        <v>8</v>
      </c>
      <c r="C635" s="8" t="s">
        <v>1846</v>
      </c>
      <c r="D635" s="8" t="s">
        <v>20</v>
      </c>
      <c r="E635" s="52">
        <v>1366</v>
      </c>
      <c r="F635" s="13"/>
      <c r="G635" s="13">
        <v>460</v>
      </c>
    </row>
    <row r="636" spans="1:7" hidden="1" x14ac:dyDescent="0.75">
      <c r="A636" s="51">
        <v>44956</v>
      </c>
      <c r="B636" s="52">
        <v>8</v>
      </c>
      <c r="C636" s="8" t="s">
        <v>1847</v>
      </c>
      <c r="D636" s="8" t="s">
        <v>20</v>
      </c>
      <c r="E636" s="52">
        <v>1366</v>
      </c>
      <c r="F636" s="13"/>
      <c r="G636" s="13">
        <v>1035</v>
      </c>
    </row>
    <row r="637" spans="1:7" hidden="1" x14ac:dyDescent="0.75">
      <c r="A637" s="51">
        <v>44956</v>
      </c>
      <c r="B637" s="52">
        <v>8</v>
      </c>
      <c r="C637" s="8" t="s">
        <v>1848</v>
      </c>
      <c r="D637" s="8" t="s">
        <v>20</v>
      </c>
      <c r="E637" s="52">
        <v>1366</v>
      </c>
      <c r="F637" s="13"/>
      <c r="G637" s="13">
        <v>230</v>
      </c>
    </row>
    <row r="638" spans="1:7" hidden="1" x14ac:dyDescent="0.75">
      <c r="A638" s="51">
        <v>44956</v>
      </c>
      <c r="B638" s="52">
        <v>8</v>
      </c>
      <c r="C638" s="8" t="s">
        <v>1849</v>
      </c>
      <c r="D638" s="8" t="s">
        <v>20</v>
      </c>
      <c r="E638" s="52">
        <v>1982</v>
      </c>
      <c r="F638" s="13"/>
      <c r="G638" s="13">
        <v>16000</v>
      </c>
    </row>
    <row r="639" spans="1:7" hidden="1" x14ac:dyDescent="0.75">
      <c r="A639" s="51">
        <v>44956</v>
      </c>
      <c r="B639" s="52">
        <v>8</v>
      </c>
      <c r="C639" s="8" t="s">
        <v>1850</v>
      </c>
      <c r="D639" s="8" t="s">
        <v>20</v>
      </c>
      <c r="E639" s="52">
        <v>1898</v>
      </c>
      <c r="F639" s="13"/>
      <c r="G639" s="13">
        <v>5033.3999999999996</v>
      </c>
    </row>
    <row r="640" spans="1:7" hidden="1" x14ac:dyDescent="0.75">
      <c r="A640" s="51">
        <v>44956</v>
      </c>
      <c r="B640" s="52">
        <v>8</v>
      </c>
      <c r="C640" s="8" t="s">
        <v>1851</v>
      </c>
      <c r="D640" s="8" t="s">
        <v>20</v>
      </c>
      <c r="E640" s="52">
        <v>361</v>
      </c>
      <c r="F640" s="13"/>
      <c r="G640" s="13">
        <v>4608.5</v>
      </c>
    </row>
    <row r="641" spans="1:7" hidden="1" x14ac:dyDescent="0.75">
      <c r="A641" s="51">
        <v>44956</v>
      </c>
      <c r="B641" s="52">
        <v>8</v>
      </c>
      <c r="C641" s="8" t="s">
        <v>1748</v>
      </c>
      <c r="D641" s="8" t="s">
        <v>20</v>
      </c>
      <c r="E641" s="52">
        <v>874</v>
      </c>
      <c r="F641" s="13"/>
      <c r="G641" s="13">
        <v>12057.5</v>
      </c>
    </row>
    <row r="642" spans="1:7" hidden="1" x14ac:dyDescent="0.75">
      <c r="A642" s="51">
        <v>44956</v>
      </c>
      <c r="B642" s="52">
        <v>8</v>
      </c>
      <c r="C642" s="8" t="s">
        <v>1625</v>
      </c>
      <c r="D642" s="8" t="s">
        <v>20</v>
      </c>
      <c r="E642" s="52">
        <v>1405</v>
      </c>
      <c r="F642" s="13"/>
      <c r="G642" s="13">
        <v>19778.5</v>
      </c>
    </row>
    <row r="643" spans="1:7" hidden="1" x14ac:dyDescent="0.75">
      <c r="A643" s="51">
        <v>44956</v>
      </c>
      <c r="B643" s="52">
        <v>8</v>
      </c>
      <c r="C643" s="8" t="s">
        <v>1627</v>
      </c>
      <c r="D643" s="8" t="s">
        <v>20</v>
      </c>
      <c r="E643" s="52">
        <v>688</v>
      </c>
      <c r="F643" s="13"/>
      <c r="G643" s="13">
        <v>2675</v>
      </c>
    </row>
    <row r="644" spans="1:7" hidden="1" x14ac:dyDescent="0.75">
      <c r="A644" s="51">
        <v>44956</v>
      </c>
      <c r="B644" s="52">
        <v>8</v>
      </c>
      <c r="C644" s="8" t="s">
        <v>1627</v>
      </c>
      <c r="D644" s="8" t="s">
        <v>20</v>
      </c>
      <c r="E644" s="52">
        <v>688</v>
      </c>
      <c r="F644" s="13"/>
      <c r="G644" s="13">
        <v>2301.75</v>
      </c>
    </row>
    <row r="645" spans="1:7" hidden="1" x14ac:dyDescent="0.75">
      <c r="A645" s="51">
        <v>44956</v>
      </c>
      <c r="B645" s="52">
        <v>8</v>
      </c>
      <c r="C645" s="8" t="s">
        <v>1628</v>
      </c>
      <c r="D645" s="8" t="s">
        <v>20</v>
      </c>
      <c r="E645" s="52">
        <v>686</v>
      </c>
      <c r="F645" s="13"/>
      <c r="G645" s="13">
        <v>3020.3</v>
      </c>
    </row>
    <row r="646" spans="1:7" hidden="1" x14ac:dyDescent="0.75">
      <c r="A646" s="51">
        <v>44956</v>
      </c>
      <c r="B646" s="52">
        <v>8</v>
      </c>
      <c r="C646" s="8" t="s">
        <v>1628</v>
      </c>
      <c r="D646" s="8" t="s">
        <v>20</v>
      </c>
      <c r="E646" s="52">
        <v>686</v>
      </c>
      <c r="F646" s="13"/>
      <c r="G646" s="13">
        <v>2614.8000000000002</v>
      </c>
    </row>
    <row r="647" spans="1:7" hidden="1" x14ac:dyDescent="0.75">
      <c r="A647" s="51">
        <v>44956</v>
      </c>
      <c r="B647" s="52">
        <v>8</v>
      </c>
      <c r="C647" s="8" t="s">
        <v>1629</v>
      </c>
      <c r="D647" s="8" t="s">
        <v>20</v>
      </c>
      <c r="E647" s="52">
        <v>695</v>
      </c>
      <c r="F647" s="13"/>
      <c r="G647" s="13">
        <v>903</v>
      </c>
    </row>
    <row r="648" spans="1:7" hidden="1" x14ac:dyDescent="0.75">
      <c r="A648" s="51">
        <v>44956</v>
      </c>
      <c r="B648" s="52">
        <v>8</v>
      </c>
      <c r="C648" s="8" t="s">
        <v>1629</v>
      </c>
      <c r="D648" s="8" t="s">
        <v>20</v>
      </c>
      <c r="E648" s="52">
        <v>695</v>
      </c>
      <c r="F648" s="13"/>
      <c r="G648" s="13">
        <v>378</v>
      </c>
    </row>
    <row r="649" spans="1:7" hidden="1" x14ac:dyDescent="0.75">
      <c r="A649" s="51">
        <v>44956</v>
      </c>
      <c r="B649" s="52">
        <v>8</v>
      </c>
      <c r="C649" s="8" t="s">
        <v>1630</v>
      </c>
      <c r="D649" s="8" t="s">
        <v>20</v>
      </c>
      <c r="E649" s="52">
        <v>696</v>
      </c>
      <c r="F649" s="13"/>
      <c r="G649" s="13">
        <v>516</v>
      </c>
    </row>
    <row r="650" spans="1:7" hidden="1" x14ac:dyDescent="0.75">
      <c r="A650" s="51">
        <v>44956</v>
      </c>
      <c r="B650" s="52">
        <v>8</v>
      </c>
      <c r="C650" s="8" t="s">
        <v>1630</v>
      </c>
      <c r="D650" s="8" t="s">
        <v>20</v>
      </c>
      <c r="E650" s="52">
        <v>696</v>
      </c>
      <c r="F650" s="13"/>
      <c r="G650" s="13">
        <v>244</v>
      </c>
    </row>
    <row r="651" spans="1:7" hidden="1" x14ac:dyDescent="0.75">
      <c r="A651" s="51">
        <v>44956</v>
      </c>
      <c r="B651" s="52">
        <v>8</v>
      </c>
      <c r="C651" s="8" t="s">
        <v>1631</v>
      </c>
      <c r="D651" s="8" t="s">
        <v>20</v>
      </c>
      <c r="E651" s="52">
        <v>687</v>
      </c>
      <c r="F651" s="13"/>
      <c r="G651" s="13">
        <v>510.1</v>
      </c>
    </row>
    <row r="652" spans="1:7" hidden="1" x14ac:dyDescent="0.75">
      <c r="A652" s="51">
        <v>44956</v>
      </c>
      <c r="B652" s="52">
        <v>8</v>
      </c>
      <c r="C652" s="8" t="s">
        <v>1631</v>
      </c>
      <c r="D652" s="8" t="s">
        <v>20</v>
      </c>
      <c r="E652" s="52">
        <v>687</v>
      </c>
      <c r="F652" s="13"/>
      <c r="G652" s="13">
        <v>512.79999999999995</v>
      </c>
    </row>
    <row r="653" spans="1:7" hidden="1" x14ac:dyDescent="0.75">
      <c r="A653" s="51">
        <v>44956</v>
      </c>
      <c r="B653" s="52">
        <v>8</v>
      </c>
      <c r="C653" s="8" t="s">
        <v>1632</v>
      </c>
      <c r="D653" s="8" t="s">
        <v>20</v>
      </c>
      <c r="E653" s="52">
        <v>694</v>
      </c>
      <c r="F653" s="13"/>
      <c r="G653" s="13">
        <v>1805.6</v>
      </c>
    </row>
    <row r="654" spans="1:7" hidden="1" x14ac:dyDescent="0.75">
      <c r="A654" s="51">
        <v>44956</v>
      </c>
      <c r="B654" s="52">
        <v>8</v>
      </c>
      <c r="C654" s="8" t="s">
        <v>1632</v>
      </c>
      <c r="D654" s="8" t="s">
        <v>20</v>
      </c>
      <c r="E654" s="52">
        <v>694</v>
      </c>
      <c r="F654" s="13"/>
      <c r="G654" s="13">
        <v>1308.8</v>
      </c>
    </row>
    <row r="655" spans="1:7" hidden="1" x14ac:dyDescent="0.75">
      <c r="A655" s="51">
        <v>44956</v>
      </c>
      <c r="B655" s="52">
        <v>8</v>
      </c>
      <c r="C655" s="8" t="s">
        <v>1633</v>
      </c>
      <c r="D655" s="8" t="s">
        <v>20</v>
      </c>
      <c r="E655" s="52">
        <v>1684</v>
      </c>
      <c r="F655" s="13"/>
      <c r="G655" s="13">
        <v>1858.2</v>
      </c>
    </row>
    <row r="656" spans="1:7" hidden="1" x14ac:dyDescent="0.75">
      <c r="A656" s="51">
        <v>44956</v>
      </c>
      <c r="B656" s="52">
        <v>8</v>
      </c>
      <c r="C656" s="8" t="s">
        <v>1633</v>
      </c>
      <c r="D656" s="8" t="s">
        <v>20</v>
      </c>
      <c r="E656" s="52">
        <v>1684</v>
      </c>
      <c r="F656" s="13"/>
      <c r="G656" s="13">
        <v>1113.25</v>
      </c>
    </row>
    <row r="657" spans="1:7" hidden="1" x14ac:dyDescent="0.75">
      <c r="A657" s="51">
        <v>44956</v>
      </c>
      <c r="B657" s="52">
        <v>8</v>
      </c>
      <c r="C657" s="8" t="s">
        <v>1549</v>
      </c>
      <c r="D657" s="8" t="s">
        <v>20</v>
      </c>
      <c r="E657" s="52">
        <v>374</v>
      </c>
      <c r="F657" s="13"/>
      <c r="G657" s="13">
        <v>30</v>
      </c>
    </row>
    <row r="658" spans="1:7" hidden="1" x14ac:dyDescent="0.75">
      <c r="A658" s="51">
        <v>44956</v>
      </c>
      <c r="B658" s="52">
        <v>8</v>
      </c>
      <c r="C658" s="8" t="s">
        <v>1549</v>
      </c>
      <c r="D658" s="8" t="s">
        <v>20</v>
      </c>
      <c r="E658" s="52">
        <v>374</v>
      </c>
      <c r="F658" s="13"/>
      <c r="G658" s="13">
        <v>38.68</v>
      </c>
    </row>
    <row r="659" spans="1:7" hidden="1" x14ac:dyDescent="0.75">
      <c r="A659" s="51">
        <v>44956</v>
      </c>
      <c r="B659" s="52">
        <v>8</v>
      </c>
      <c r="C659" s="8" t="s">
        <v>1852</v>
      </c>
      <c r="D659" s="8" t="s">
        <v>20</v>
      </c>
      <c r="E659" s="52">
        <v>703</v>
      </c>
      <c r="F659" s="13"/>
      <c r="G659" s="13">
        <v>175</v>
      </c>
    </row>
    <row r="660" spans="1:7" hidden="1" x14ac:dyDescent="0.75">
      <c r="A660" s="51">
        <v>44956</v>
      </c>
      <c r="B660" s="52">
        <v>8</v>
      </c>
      <c r="C660" s="8" t="s">
        <v>1853</v>
      </c>
      <c r="D660" s="8" t="s">
        <v>20</v>
      </c>
      <c r="E660" s="52">
        <v>703</v>
      </c>
      <c r="F660" s="13"/>
      <c r="G660" s="13">
        <v>160</v>
      </c>
    </row>
    <row r="661" spans="1:7" hidden="1" x14ac:dyDescent="0.75">
      <c r="A661" s="51">
        <v>44956</v>
      </c>
      <c r="B661" s="52">
        <v>8</v>
      </c>
      <c r="C661" s="8" t="s">
        <v>1854</v>
      </c>
      <c r="D661" s="8" t="s">
        <v>20</v>
      </c>
      <c r="E661" s="52">
        <v>703</v>
      </c>
      <c r="F661" s="13"/>
      <c r="G661" s="13">
        <v>160</v>
      </c>
    </row>
    <row r="662" spans="1:7" hidden="1" x14ac:dyDescent="0.75">
      <c r="A662" s="51">
        <v>44956</v>
      </c>
      <c r="B662" s="52">
        <v>8</v>
      </c>
      <c r="C662" s="8" t="s">
        <v>1525</v>
      </c>
      <c r="D662" s="8" t="s">
        <v>20</v>
      </c>
      <c r="E662" s="52">
        <v>703</v>
      </c>
      <c r="F662" s="13"/>
      <c r="G662" s="13">
        <v>125</v>
      </c>
    </row>
    <row r="663" spans="1:7" hidden="1" x14ac:dyDescent="0.75">
      <c r="A663" s="51">
        <v>44956</v>
      </c>
      <c r="B663" s="52">
        <v>8</v>
      </c>
      <c r="C663" s="8" t="s">
        <v>1538</v>
      </c>
      <c r="D663" s="8" t="s">
        <v>20</v>
      </c>
      <c r="E663" s="52">
        <v>692</v>
      </c>
      <c r="F663" s="13"/>
      <c r="G663" s="13">
        <v>2990</v>
      </c>
    </row>
    <row r="664" spans="1:7" hidden="1" x14ac:dyDescent="0.75">
      <c r="A664" s="51">
        <v>44956</v>
      </c>
      <c r="B664" s="52">
        <v>8</v>
      </c>
      <c r="C664" s="8" t="s">
        <v>1523</v>
      </c>
      <c r="D664" s="8" t="s">
        <v>20</v>
      </c>
      <c r="E664" s="52">
        <v>1900</v>
      </c>
      <c r="F664" s="13"/>
      <c r="G664" s="13">
        <v>3448</v>
      </c>
    </row>
    <row r="665" spans="1:7" hidden="1" x14ac:dyDescent="0.75">
      <c r="A665" s="51">
        <v>44956</v>
      </c>
      <c r="B665" s="52">
        <v>8</v>
      </c>
      <c r="C665" s="8" t="s">
        <v>1538</v>
      </c>
      <c r="D665" s="8" t="s">
        <v>20</v>
      </c>
      <c r="E665" s="52">
        <v>692</v>
      </c>
      <c r="F665" s="13"/>
      <c r="G665" s="13">
        <v>3790</v>
      </c>
    </row>
    <row r="666" spans="1:7" hidden="1" x14ac:dyDescent="0.75">
      <c r="A666" s="51">
        <v>44956</v>
      </c>
      <c r="B666" s="52">
        <v>8</v>
      </c>
      <c r="C666" s="8" t="s">
        <v>1523</v>
      </c>
      <c r="D666" s="8" t="s">
        <v>20</v>
      </c>
      <c r="E666" s="52">
        <v>1900</v>
      </c>
      <c r="F666" s="13"/>
      <c r="G666" s="13">
        <v>5295</v>
      </c>
    </row>
    <row r="667" spans="1:7" hidden="1" x14ac:dyDescent="0.75">
      <c r="A667" s="51">
        <v>44956</v>
      </c>
      <c r="B667" s="52">
        <v>8</v>
      </c>
      <c r="C667" s="8" t="s">
        <v>1525</v>
      </c>
      <c r="D667" s="8" t="s">
        <v>20</v>
      </c>
      <c r="E667" s="52">
        <v>703</v>
      </c>
      <c r="F667" s="13"/>
      <c r="G667" s="13">
        <v>510</v>
      </c>
    </row>
    <row r="668" spans="1:7" hidden="1" x14ac:dyDescent="0.75">
      <c r="A668" s="51">
        <v>44956</v>
      </c>
      <c r="B668" s="52">
        <v>8</v>
      </c>
      <c r="C668" s="8" t="s">
        <v>1565</v>
      </c>
      <c r="D668" s="8" t="s">
        <v>20</v>
      </c>
      <c r="E668" s="52">
        <v>748</v>
      </c>
      <c r="F668" s="13"/>
      <c r="G668" s="13">
        <v>29311.5</v>
      </c>
    </row>
    <row r="669" spans="1:7" hidden="1" x14ac:dyDescent="0.75">
      <c r="A669" s="51">
        <v>44957</v>
      </c>
      <c r="B669" s="52">
        <v>8</v>
      </c>
      <c r="C669" s="8" t="s">
        <v>1855</v>
      </c>
      <c r="D669" s="8" t="s">
        <v>20</v>
      </c>
      <c r="E669" s="52">
        <v>806</v>
      </c>
      <c r="F669" s="13">
        <v>39.119999999999997</v>
      </c>
      <c r="G669" s="13"/>
    </row>
    <row r="670" spans="1:7" hidden="1" x14ac:dyDescent="0.75">
      <c r="A670" s="51">
        <v>44957</v>
      </c>
      <c r="B670" s="52">
        <v>8</v>
      </c>
      <c r="C670" s="8" t="s">
        <v>1856</v>
      </c>
      <c r="D670" s="8" t="s">
        <v>20</v>
      </c>
      <c r="E670" s="52">
        <v>361</v>
      </c>
      <c r="F670" s="13">
        <v>59.7</v>
      </c>
      <c r="G670" s="13"/>
    </row>
    <row r="671" spans="1:7" hidden="1" x14ac:dyDescent="0.75">
      <c r="A671" s="51">
        <v>44957</v>
      </c>
      <c r="B671" s="52">
        <v>8</v>
      </c>
      <c r="C671" s="8" t="s">
        <v>1857</v>
      </c>
      <c r="D671" s="8" t="s">
        <v>20</v>
      </c>
      <c r="E671" s="52">
        <v>550</v>
      </c>
      <c r="F671" s="13"/>
      <c r="G671" s="13">
        <v>3283.43</v>
      </c>
    </row>
    <row r="672" spans="1:7" hidden="1" x14ac:dyDescent="0.75">
      <c r="A672" s="51">
        <v>44957</v>
      </c>
      <c r="B672" s="52">
        <v>8</v>
      </c>
      <c r="C672" s="8" t="s">
        <v>1858</v>
      </c>
      <c r="D672" s="8" t="s">
        <v>20</v>
      </c>
      <c r="E672" s="52">
        <v>754</v>
      </c>
      <c r="F672" s="13"/>
      <c r="G672" s="13">
        <v>130</v>
      </c>
    </row>
    <row r="673" spans="1:7" hidden="1" x14ac:dyDescent="0.75">
      <c r="A673" s="51">
        <v>44957</v>
      </c>
      <c r="B673" s="52">
        <v>8</v>
      </c>
      <c r="C673" s="8" t="s">
        <v>1859</v>
      </c>
      <c r="D673" s="8" t="s">
        <v>20</v>
      </c>
      <c r="E673" s="52">
        <v>1721</v>
      </c>
      <c r="F673" s="13"/>
      <c r="G673" s="13">
        <v>955</v>
      </c>
    </row>
    <row r="674" spans="1:7" hidden="1" x14ac:dyDescent="0.75">
      <c r="A674" s="51">
        <v>44957</v>
      </c>
      <c r="B674" s="52">
        <v>8</v>
      </c>
      <c r="C674" s="8" t="s">
        <v>1860</v>
      </c>
      <c r="D674" s="8" t="s">
        <v>20</v>
      </c>
      <c r="E674" s="52">
        <v>771</v>
      </c>
      <c r="F674" s="13"/>
      <c r="G674" s="13">
        <v>585</v>
      </c>
    </row>
    <row r="675" spans="1:7" hidden="1" x14ac:dyDescent="0.75">
      <c r="A675" s="51">
        <v>44957</v>
      </c>
      <c r="B675" s="52">
        <v>8</v>
      </c>
      <c r="C675" s="8" t="s">
        <v>1861</v>
      </c>
      <c r="D675" s="8" t="s">
        <v>20</v>
      </c>
      <c r="E675" s="52">
        <v>178</v>
      </c>
      <c r="F675" s="13"/>
      <c r="G675" s="13">
        <v>80.41</v>
      </c>
    </row>
    <row r="676" spans="1:7" hidden="1" x14ac:dyDescent="0.75">
      <c r="A676" s="51">
        <v>44957</v>
      </c>
      <c r="B676" s="52">
        <v>8</v>
      </c>
      <c r="C676" s="8" t="s">
        <v>1862</v>
      </c>
      <c r="D676" s="8" t="s">
        <v>20</v>
      </c>
      <c r="E676" s="52">
        <v>941</v>
      </c>
      <c r="F676" s="13"/>
      <c r="G676" s="13">
        <v>7102.42</v>
      </c>
    </row>
    <row r="677" spans="1:7" hidden="1" x14ac:dyDescent="0.75">
      <c r="A677" s="51">
        <v>44957</v>
      </c>
      <c r="B677" s="52">
        <v>8</v>
      </c>
      <c r="C677" s="8" t="s">
        <v>1863</v>
      </c>
      <c r="D677" s="8" t="s">
        <v>20</v>
      </c>
      <c r="E677" s="52">
        <v>942</v>
      </c>
      <c r="F677" s="13"/>
      <c r="G677" s="13">
        <v>3142.11</v>
      </c>
    </row>
    <row r="678" spans="1:7" hidden="1" x14ac:dyDescent="0.75">
      <c r="A678" s="51">
        <v>44957</v>
      </c>
      <c r="B678" s="52">
        <v>8</v>
      </c>
      <c r="C678" s="8" t="s">
        <v>1864</v>
      </c>
      <c r="D678" s="8" t="s">
        <v>20</v>
      </c>
      <c r="E678" s="52">
        <v>1982</v>
      </c>
      <c r="F678" s="13"/>
      <c r="G678" s="13">
        <v>3359</v>
      </c>
    </row>
    <row r="679" spans="1:7" hidden="1" x14ac:dyDescent="0.75">
      <c r="A679" s="51">
        <v>44957</v>
      </c>
      <c r="B679" s="52">
        <v>8</v>
      </c>
      <c r="C679" s="8" t="s">
        <v>1865</v>
      </c>
      <c r="D679" s="8" t="s">
        <v>20</v>
      </c>
      <c r="E679" s="52">
        <v>1915</v>
      </c>
      <c r="F679" s="13"/>
      <c r="G679" s="13">
        <v>5400</v>
      </c>
    </row>
    <row r="680" spans="1:7" hidden="1" x14ac:dyDescent="0.75">
      <c r="A680" s="51">
        <v>44957</v>
      </c>
      <c r="B680" s="52">
        <v>8</v>
      </c>
      <c r="C680" s="8" t="s">
        <v>1866</v>
      </c>
      <c r="D680" s="8" t="s">
        <v>20</v>
      </c>
      <c r="E680" s="52">
        <v>560</v>
      </c>
      <c r="F680" s="13"/>
      <c r="G680" s="13">
        <v>450</v>
      </c>
    </row>
    <row r="681" spans="1:7" hidden="1" x14ac:dyDescent="0.75">
      <c r="A681" s="51">
        <v>44957</v>
      </c>
      <c r="B681" s="52">
        <v>8</v>
      </c>
      <c r="C681" s="8" t="s">
        <v>1867</v>
      </c>
      <c r="D681" s="8" t="s">
        <v>20</v>
      </c>
      <c r="E681" s="52">
        <v>769</v>
      </c>
      <c r="F681" s="13"/>
      <c r="G681" s="13">
        <v>486</v>
      </c>
    </row>
    <row r="682" spans="1:7" hidden="1" x14ac:dyDescent="0.75">
      <c r="A682" s="51">
        <v>44957</v>
      </c>
      <c r="B682" s="52">
        <v>8</v>
      </c>
      <c r="C682" s="8" t="s">
        <v>1549</v>
      </c>
      <c r="D682" s="8" t="s">
        <v>20</v>
      </c>
      <c r="E682" s="52">
        <v>374</v>
      </c>
      <c r="F682" s="13"/>
      <c r="G682" s="13">
        <v>19.600000000000001</v>
      </c>
    </row>
    <row r="683" spans="1:7" hidden="1" x14ac:dyDescent="0.75">
      <c r="A683" s="51">
        <v>44957</v>
      </c>
      <c r="B683" s="52">
        <v>8</v>
      </c>
      <c r="C683" s="8" t="s">
        <v>1549</v>
      </c>
      <c r="D683" s="8" t="s">
        <v>20</v>
      </c>
      <c r="E683" s="52">
        <v>374</v>
      </c>
      <c r="F683" s="13"/>
      <c r="G683" s="13">
        <v>41.52</v>
      </c>
    </row>
    <row r="684" spans="1:7" hidden="1" x14ac:dyDescent="0.75">
      <c r="A684" s="51">
        <v>44957</v>
      </c>
      <c r="B684" s="52">
        <v>8</v>
      </c>
      <c r="C684" s="8" t="s">
        <v>1549</v>
      </c>
      <c r="D684" s="8" t="s">
        <v>20</v>
      </c>
      <c r="E684" s="52">
        <v>374</v>
      </c>
      <c r="F684" s="13"/>
      <c r="G684" s="13">
        <v>54.45</v>
      </c>
    </row>
    <row r="685" spans="1:7" hidden="1" x14ac:dyDescent="0.75">
      <c r="A685" s="51">
        <v>44957</v>
      </c>
      <c r="B685" s="52">
        <v>8</v>
      </c>
      <c r="C685" s="8" t="s">
        <v>1535</v>
      </c>
      <c r="D685" s="8" t="s">
        <v>20</v>
      </c>
      <c r="E685" s="52">
        <v>1558</v>
      </c>
      <c r="F685" s="13"/>
      <c r="G685" s="13">
        <v>1592.38</v>
      </c>
    </row>
    <row r="686" spans="1:7" hidden="1" x14ac:dyDescent="0.75">
      <c r="A686" s="51">
        <v>44957</v>
      </c>
      <c r="B686" s="52">
        <v>8</v>
      </c>
      <c r="C686" s="8" t="s">
        <v>1522</v>
      </c>
      <c r="D686" s="8" t="s">
        <v>20</v>
      </c>
      <c r="E686" s="52">
        <v>1794</v>
      </c>
      <c r="F686" s="13"/>
      <c r="G686" s="13">
        <v>10987.2</v>
      </c>
    </row>
    <row r="687" spans="1:7" hidden="1" x14ac:dyDescent="0.75">
      <c r="A687" s="51">
        <v>44957</v>
      </c>
      <c r="B687" s="52">
        <v>8</v>
      </c>
      <c r="C687" s="8" t="s">
        <v>1868</v>
      </c>
      <c r="D687" s="8" t="s">
        <v>20</v>
      </c>
      <c r="E687" s="52">
        <v>560</v>
      </c>
      <c r="F687" s="13"/>
      <c r="G687" s="13">
        <v>711.64</v>
      </c>
    </row>
    <row r="688" spans="1:7" hidden="1" x14ac:dyDescent="0.75">
      <c r="A688" s="51">
        <v>44957</v>
      </c>
      <c r="B688" s="52">
        <v>8</v>
      </c>
      <c r="C688" s="8" t="s">
        <v>1529</v>
      </c>
      <c r="D688" s="8" t="s">
        <v>20</v>
      </c>
      <c r="E688" s="52">
        <v>1406</v>
      </c>
      <c r="F688" s="13"/>
      <c r="G688" s="13">
        <v>8028.25</v>
      </c>
    </row>
    <row r="689" spans="1:7" hidden="1" x14ac:dyDescent="0.75">
      <c r="A689" s="51">
        <v>44957</v>
      </c>
      <c r="B689" s="52">
        <v>8</v>
      </c>
      <c r="C689" s="8" t="s">
        <v>1869</v>
      </c>
      <c r="D689" s="8" t="s">
        <v>20</v>
      </c>
      <c r="E689" s="52">
        <v>690</v>
      </c>
      <c r="F689" s="13"/>
      <c r="G689" s="13">
        <v>5791.5</v>
      </c>
    </row>
    <row r="690" spans="1:7" hidden="1" x14ac:dyDescent="0.75">
      <c r="A690" s="51">
        <v>44957</v>
      </c>
      <c r="B690" s="52">
        <v>8</v>
      </c>
      <c r="C690" s="8" t="s">
        <v>1869</v>
      </c>
      <c r="D690" s="8" t="s">
        <v>20</v>
      </c>
      <c r="E690" s="52">
        <v>690</v>
      </c>
      <c r="F690" s="13"/>
      <c r="G690" s="13">
        <v>5910</v>
      </c>
    </row>
    <row r="691" spans="1:7" hidden="1" x14ac:dyDescent="0.75">
      <c r="A691" s="51">
        <v>44957</v>
      </c>
      <c r="B691" s="52">
        <v>8</v>
      </c>
      <c r="C691" s="8" t="s">
        <v>1537</v>
      </c>
      <c r="D691" s="8" t="s">
        <v>20</v>
      </c>
      <c r="E691" s="52">
        <v>973</v>
      </c>
      <c r="F691" s="13"/>
      <c r="G691" s="13">
        <v>163</v>
      </c>
    </row>
    <row r="692" spans="1:7" hidden="1" x14ac:dyDescent="0.75">
      <c r="A692" s="51">
        <v>44957</v>
      </c>
      <c r="B692" s="52">
        <v>8</v>
      </c>
      <c r="C692" s="8" t="s">
        <v>1537</v>
      </c>
      <c r="D692" s="8" t="s">
        <v>20</v>
      </c>
      <c r="E692" s="52">
        <v>973</v>
      </c>
      <c r="F692" s="13"/>
      <c r="G692" s="13">
        <v>219</v>
      </c>
    </row>
    <row r="693" spans="1:7" hidden="1" x14ac:dyDescent="0.75">
      <c r="A693" s="51">
        <v>44957</v>
      </c>
      <c r="B693" s="52">
        <v>8</v>
      </c>
      <c r="C693" s="8" t="s">
        <v>1526</v>
      </c>
      <c r="D693" s="8" t="s">
        <v>20</v>
      </c>
      <c r="E693" s="52">
        <v>689</v>
      </c>
      <c r="F693" s="13"/>
      <c r="G693" s="13">
        <v>5361.3</v>
      </c>
    </row>
    <row r="694" spans="1:7" hidden="1" x14ac:dyDescent="0.75">
      <c r="A694" s="51">
        <v>44957</v>
      </c>
      <c r="B694" s="52">
        <v>8</v>
      </c>
      <c r="C694" s="8" t="s">
        <v>1870</v>
      </c>
      <c r="D694" s="8" t="s">
        <v>20</v>
      </c>
      <c r="E694" s="52">
        <v>1016</v>
      </c>
      <c r="F694" s="13"/>
      <c r="G694" s="13">
        <v>249.28</v>
      </c>
    </row>
    <row r="695" spans="1:7" hidden="1" x14ac:dyDescent="0.75">
      <c r="A695" s="51">
        <v>44957</v>
      </c>
      <c r="B695" s="52">
        <v>8</v>
      </c>
      <c r="C695" s="8" t="s">
        <v>1871</v>
      </c>
      <c r="D695" s="8" t="s">
        <v>20</v>
      </c>
      <c r="E695" s="52"/>
      <c r="F695" s="13"/>
      <c r="G695" s="13">
        <v>34219.83</v>
      </c>
    </row>
    <row r="696" spans="1:7" hidden="1" x14ac:dyDescent="0.75">
      <c r="A696" s="51">
        <v>44928</v>
      </c>
      <c r="B696" s="52">
        <v>1461</v>
      </c>
      <c r="C696" s="8" t="s">
        <v>984</v>
      </c>
      <c r="D696" s="8" t="s">
        <v>21</v>
      </c>
      <c r="E696" s="52">
        <v>1462</v>
      </c>
      <c r="F696" s="13">
        <v>75</v>
      </c>
      <c r="G696" s="13"/>
    </row>
    <row r="697" spans="1:7" hidden="1" x14ac:dyDescent="0.75">
      <c r="A697" s="51">
        <v>44928</v>
      </c>
      <c r="B697" s="52">
        <v>1461</v>
      </c>
      <c r="C697" s="8" t="s">
        <v>985</v>
      </c>
      <c r="D697" s="8" t="s">
        <v>21</v>
      </c>
      <c r="E697" s="52">
        <v>374</v>
      </c>
      <c r="F697" s="13"/>
      <c r="G697" s="13">
        <v>75</v>
      </c>
    </row>
    <row r="698" spans="1:7" hidden="1" x14ac:dyDescent="0.75">
      <c r="A698" s="51">
        <v>44939</v>
      </c>
      <c r="B698" s="52">
        <v>1461</v>
      </c>
      <c r="C698" s="8" t="s">
        <v>1670</v>
      </c>
      <c r="D698" s="8" t="s">
        <v>21</v>
      </c>
      <c r="E698" s="52">
        <v>8</v>
      </c>
      <c r="F698" s="13">
        <v>19000</v>
      </c>
      <c r="G698" s="13"/>
    </row>
    <row r="699" spans="1:7" hidden="1" x14ac:dyDescent="0.75">
      <c r="A699" s="51">
        <v>44942</v>
      </c>
      <c r="B699" s="52">
        <v>1461</v>
      </c>
      <c r="C699" s="8" t="s">
        <v>984</v>
      </c>
      <c r="D699" s="8" t="s">
        <v>21</v>
      </c>
      <c r="E699" s="52">
        <v>1462</v>
      </c>
      <c r="F699" s="13">
        <v>18957.7</v>
      </c>
      <c r="G699" s="13"/>
    </row>
    <row r="700" spans="1:7" hidden="1" x14ac:dyDescent="0.75">
      <c r="A700" s="51">
        <v>44942</v>
      </c>
      <c r="B700" s="52">
        <v>1461</v>
      </c>
      <c r="C700" s="8" t="s">
        <v>986</v>
      </c>
      <c r="D700" s="8" t="s">
        <v>21</v>
      </c>
      <c r="E700" s="52">
        <v>1462</v>
      </c>
      <c r="F700" s="13"/>
      <c r="G700" s="13">
        <v>19000</v>
      </c>
    </row>
    <row r="701" spans="1:7" hidden="1" x14ac:dyDescent="0.75">
      <c r="A701" s="51">
        <v>44942</v>
      </c>
      <c r="B701" s="52">
        <v>1461</v>
      </c>
      <c r="C701" s="8" t="s">
        <v>987</v>
      </c>
      <c r="D701" s="8" t="s">
        <v>21</v>
      </c>
      <c r="E701" s="52">
        <v>375</v>
      </c>
      <c r="F701" s="13"/>
      <c r="G701" s="13">
        <v>423.74</v>
      </c>
    </row>
    <row r="702" spans="1:7" hidden="1" x14ac:dyDescent="0.75">
      <c r="A702" s="51">
        <v>44942</v>
      </c>
      <c r="B702" s="52">
        <v>1461</v>
      </c>
      <c r="C702" s="8" t="s">
        <v>988</v>
      </c>
      <c r="D702" s="8" t="s">
        <v>21</v>
      </c>
      <c r="E702" s="52">
        <v>1488</v>
      </c>
      <c r="F702" s="13"/>
      <c r="G702" s="13">
        <v>18533.96</v>
      </c>
    </row>
    <row r="703" spans="1:7" hidden="1" x14ac:dyDescent="0.75">
      <c r="A703" s="51">
        <v>44928</v>
      </c>
      <c r="B703" s="52">
        <v>1598</v>
      </c>
      <c r="C703" s="8" t="s">
        <v>985</v>
      </c>
      <c r="D703" s="8" t="s">
        <v>23</v>
      </c>
      <c r="E703" s="52">
        <v>374</v>
      </c>
      <c r="F703" s="13"/>
      <c r="G703" s="13">
        <v>100</v>
      </c>
    </row>
    <row r="704" spans="1:7" hidden="1" x14ac:dyDescent="0.75">
      <c r="A704" s="51">
        <v>44939</v>
      </c>
      <c r="B704" s="52">
        <v>1598</v>
      </c>
      <c r="C704" s="8" t="s">
        <v>1669</v>
      </c>
      <c r="D704" s="8" t="s">
        <v>23</v>
      </c>
      <c r="E704" s="52">
        <v>8</v>
      </c>
      <c r="F704" s="13">
        <v>3300</v>
      </c>
      <c r="G704" s="13"/>
    </row>
    <row r="705" spans="1:7" hidden="1" x14ac:dyDescent="0.75">
      <c r="A705" s="51">
        <v>44942</v>
      </c>
      <c r="B705" s="52">
        <v>1598</v>
      </c>
      <c r="C705" s="8" t="s">
        <v>990</v>
      </c>
      <c r="D705" s="8" t="s">
        <v>23</v>
      </c>
      <c r="E705" s="52">
        <v>375</v>
      </c>
      <c r="F705" s="13"/>
      <c r="G705" s="13">
        <v>357.23</v>
      </c>
    </row>
    <row r="706" spans="1:7" hidden="1" x14ac:dyDescent="0.75">
      <c r="A706" s="51">
        <v>44942</v>
      </c>
      <c r="B706" s="52">
        <v>1598</v>
      </c>
      <c r="C706" s="8" t="s">
        <v>989</v>
      </c>
      <c r="D706" s="8" t="s">
        <v>23</v>
      </c>
      <c r="E706" s="52">
        <v>1606</v>
      </c>
      <c r="F706" s="13"/>
      <c r="G706" s="13">
        <v>2659.09</v>
      </c>
    </row>
    <row r="707" spans="1:7" hidden="1" x14ac:dyDescent="0.75">
      <c r="A707" s="51">
        <v>44928</v>
      </c>
      <c r="B707" s="52">
        <v>1949</v>
      </c>
      <c r="C707" s="8" t="s">
        <v>1872</v>
      </c>
      <c r="D707" s="8" t="s">
        <v>1220</v>
      </c>
      <c r="E707" s="52">
        <v>374</v>
      </c>
      <c r="F707" s="13"/>
      <c r="G707" s="13">
        <v>3.04</v>
      </c>
    </row>
    <row r="708" spans="1:7" hidden="1" x14ac:dyDescent="0.75">
      <c r="A708" s="51">
        <v>44929</v>
      </c>
      <c r="B708" s="52">
        <v>1949</v>
      </c>
      <c r="C708" s="8" t="s">
        <v>1873</v>
      </c>
      <c r="D708" s="8" t="s">
        <v>1220</v>
      </c>
      <c r="E708" s="52">
        <v>1621</v>
      </c>
      <c r="F708" s="13">
        <v>5826.4</v>
      </c>
      <c r="G708" s="13"/>
    </row>
    <row r="709" spans="1:7" hidden="1" x14ac:dyDescent="0.75">
      <c r="A709" s="51">
        <v>44929</v>
      </c>
      <c r="B709" s="52">
        <v>1949</v>
      </c>
      <c r="C709" s="8" t="s">
        <v>1872</v>
      </c>
      <c r="D709" s="8" t="s">
        <v>1220</v>
      </c>
      <c r="E709" s="52">
        <v>374</v>
      </c>
      <c r="F709" s="13"/>
      <c r="G709" s="13">
        <v>21.28</v>
      </c>
    </row>
    <row r="710" spans="1:7" hidden="1" x14ac:dyDescent="0.75">
      <c r="A710" s="51">
        <v>44929</v>
      </c>
      <c r="B710" s="52">
        <v>1949</v>
      </c>
      <c r="C710" s="8" t="s">
        <v>1872</v>
      </c>
      <c r="D710" s="8" t="s">
        <v>1220</v>
      </c>
      <c r="E710" s="52">
        <v>374</v>
      </c>
      <c r="F710" s="13"/>
      <c r="G710" s="13">
        <v>182.7</v>
      </c>
    </row>
    <row r="711" spans="1:7" hidden="1" x14ac:dyDescent="0.75">
      <c r="A711" s="51">
        <v>44930</v>
      </c>
      <c r="B711" s="52">
        <v>1949</v>
      </c>
      <c r="C711" s="8" t="s">
        <v>1873</v>
      </c>
      <c r="D711" s="8" t="s">
        <v>1220</v>
      </c>
      <c r="E711" s="52">
        <v>1621</v>
      </c>
      <c r="F711" s="13">
        <v>6053.9</v>
      </c>
      <c r="G711" s="13"/>
    </row>
    <row r="712" spans="1:7" hidden="1" x14ac:dyDescent="0.75">
      <c r="A712" s="51">
        <v>44930</v>
      </c>
      <c r="B712" s="52">
        <v>1949</v>
      </c>
      <c r="C712" s="8" t="s">
        <v>1872</v>
      </c>
      <c r="D712" s="8" t="s">
        <v>1220</v>
      </c>
      <c r="E712" s="52">
        <v>374</v>
      </c>
      <c r="F712" s="13"/>
      <c r="G712" s="13">
        <v>6.08</v>
      </c>
    </row>
    <row r="713" spans="1:7" hidden="1" x14ac:dyDescent="0.75">
      <c r="A713" s="51">
        <v>44931</v>
      </c>
      <c r="B713" s="52">
        <v>1949</v>
      </c>
      <c r="C713" s="8" t="s">
        <v>1873</v>
      </c>
      <c r="D713" s="8" t="s">
        <v>1220</v>
      </c>
      <c r="E713" s="52">
        <v>1621</v>
      </c>
      <c r="F713" s="13">
        <v>4676.1499999999996</v>
      </c>
      <c r="G713" s="13"/>
    </row>
    <row r="714" spans="1:7" hidden="1" x14ac:dyDescent="0.75">
      <c r="A714" s="51">
        <v>44931</v>
      </c>
      <c r="B714" s="52">
        <v>1949</v>
      </c>
      <c r="C714" s="8" t="s">
        <v>1872</v>
      </c>
      <c r="D714" s="8" t="s">
        <v>1220</v>
      </c>
      <c r="E714" s="52">
        <v>374</v>
      </c>
      <c r="F714" s="13"/>
      <c r="G714" s="13">
        <v>6.08</v>
      </c>
    </row>
    <row r="715" spans="1:7" hidden="1" x14ac:dyDescent="0.75">
      <c r="A715" s="51">
        <v>44932</v>
      </c>
      <c r="B715" s="52">
        <v>1949</v>
      </c>
      <c r="C715" s="8" t="s">
        <v>1874</v>
      </c>
      <c r="D715" s="8" t="s">
        <v>1220</v>
      </c>
      <c r="E715" s="52">
        <v>1747</v>
      </c>
      <c r="F715" s="13">
        <v>4821</v>
      </c>
      <c r="G715" s="13"/>
    </row>
    <row r="716" spans="1:7" hidden="1" x14ac:dyDescent="0.75">
      <c r="A716" s="51">
        <v>44932</v>
      </c>
      <c r="B716" s="52">
        <v>1949</v>
      </c>
      <c r="C716" s="8" t="s">
        <v>1875</v>
      </c>
      <c r="D716" s="8" t="s">
        <v>1220</v>
      </c>
      <c r="E716" s="52">
        <v>1543</v>
      </c>
      <c r="F716" s="13">
        <v>674.66</v>
      </c>
      <c r="G716" s="13"/>
    </row>
    <row r="717" spans="1:7" hidden="1" x14ac:dyDescent="0.75">
      <c r="A717" s="51">
        <v>44932</v>
      </c>
      <c r="B717" s="52">
        <v>1949</v>
      </c>
      <c r="C717" s="8" t="s">
        <v>1872</v>
      </c>
      <c r="D717" s="8" t="s">
        <v>1220</v>
      </c>
      <c r="E717" s="52">
        <v>374</v>
      </c>
      <c r="F717" s="13"/>
      <c r="G717" s="13">
        <v>12.16</v>
      </c>
    </row>
    <row r="718" spans="1:7" hidden="1" x14ac:dyDescent="0.75">
      <c r="A718" s="51">
        <v>44935</v>
      </c>
      <c r="B718" s="52">
        <v>1949</v>
      </c>
      <c r="C718" s="8" t="s">
        <v>1876</v>
      </c>
      <c r="D718" s="8" t="s">
        <v>1220</v>
      </c>
      <c r="E718" s="52">
        <v>1906</v>
      </c>
      <c r="F718" s="13">
        <v>729.6</v>
      </c>
      <c r="G718" s="13"/>
    </row>
    <row r="719" spans="1:7" hidden="1" x14ac:dyDescent="0.75">
      <c r="A719" s="51">
        <v>44935</v>
      </c>
      <c r="B719" s="52">
        <v>1949</v>
      </c>
      <c r="C719" s="8" t="s">
        <v>1877</v>
      </c>
      <c r="D719" s="8" t="s">
        <v>1220</v>
      </c>
      <c r="E719" s="52">
        <v>1748</v>
      </c>
      <c r="F719" s="13">
        <v>194.4</v>
      </c>
      <c r="G719" s="13"/>
    </row>
    <row r="720" spans="1:7" hidden="1" x14ac:dyDescent="0.75">
      <c r="A720" s="51">
        <v>44935</v>
      </c>
      <c r="B720" s="52">
        <v>1949</v>
      </c>
      <c r="C720" s="8" t="s">
        <v>1878</v>
      </c>
      <c r="D720" s="8" t="s">
        <v>1220</v>
      </c>
      <c r="E720" s="52">
        <v>1906</v>
      </c>
      <c r="F720" s="13">
        <v>699</v>
      </c>
      <c r="G720" s="13"/>
    </row>
    <row r="721" spans="1:7" hidden="1" x14ac:dyDescent="0.75">
      <c r="A721" s="51">
        <v>44935</v>
      </c>
      <c r="B721" s="52">
        <v>1949</v>
      </c>
      <c r="C721" s="8" t="s">
        <v>1879</v>
      </c>
      <c r="D721" s="8" t="s">
        <v>1220</v>
      </c>
      <c r="E721" s="52">
        <v>1748</v>
      </c>
      <c r="F721" s="13">
        <v>912.3</v>
      </c>
      <c r="G721" s="13"/>
    </row>
    <row r="722" spans="1:7" hidden="1" x14ac:dyDescent="0.75">
      <c r="A722" s="51">
        <v>44935</v>
      </c>
      <c r="B722" s="52">
        <v>1949</v>
      </c>
      <c r="C722" s="8" t="s">
        <v>1880</v>
      </c>
      <c r="D722" s="8" t="s">
        <v>1220</v>
      </c>
      <c r="E722" s="52">
        <v>1752</v>
      </c>
      <c r="F722" s="13">
        <v>155.4</v>
      </c>
      <c r="G722" s="13"/>
    </row>
    <row r="723" spans="1:7" hidden="1" x14ac:dyDescent="0.75">
      <c r="A723" s="51">
        <v>44935</v>
      </c>
      <c r="B723" s="52">
        <v>1949</v>
      </c>
      <c r="C723" s="8" t="s">
        <v>1881</v>
      </c>
      <c r="D723" s="8" t="s">
        <v>1220</v>
      </c>
      <c r="E723" s="52">
        <v>1747</v>
      </c>
      <c r="F723" s="13">
        <v>1037.7</v>
      </c>
      <c r="G723" s="13"/>
    </row>
    <row r="724" spans="1:7" hidden="1" x14ac:dyDescent="0.75">
      <c r="A724" s="51">
        <v>44935</v>
      </c>
      <c r="B724" s="52">
        <v>1949</v>
      </c>
      <c r="C724" s="8" t="s">
        <v>1882</v>
      </c>
      <c r="D724" s="8" t="s">
        <v>1220</v>
      </c>
      <c r="E724" s="52">
        <v>1752</v>
      </c>
      <c r="F724" s="13">
        <v>619.95000000000005</v>
      </c>
      <c r="G724" s="13"/>
    </row>
    <row r="725" spans="1:7" hidden="1" x14ac:dyDescent="0.75">
      <c r="A725" s="51">
        <v>44935</v>
      </c>
      <c r="B725" s="52">
        <v>1949</v>
      </c>
      <c r="C725" s="8" t="s">
        <v>1873</v>
      </c>
      <c r="D725" s="8" t="s">
        <v>1220</v>
      </c>
      <c r="E725" s="52">
        <v>1621</v>
      </c>
      <c r="F725" s="13">
        <v>6702.89</v>
      </c>
      <c r="G725" s="13"/>
    </row>
    <row r="726" spans="1:7" hidden="1" x14ac:dyDescent="0.75">
      <c r="A726" s="51">
        <v>44935</v>
      </c>
      <c r="B726" s="52">
        <v>1949</v>
      </c>
      <c r="C726" s="8" t="s">
        <v>1872</v>
      </c>
      <c r="D726" s="8" t="s">
        <v>1220</v>
      </c>
      <c r="E726" s="52">
        <v>374</v>
      </c>
      <c r="F726" s="13"/>
      <c r="G726" s="13">
        <v>14.5</v>
      </c>
    </row>
    <row r="727" spans="1:7" hidden="1" x14ac:dyDescent="0.75">
      <c r="A727" s="51">
        <v>44936</v>
      </c>
      <c r="B727" s="52">
        <v>1949</v>
      </c>
      <c r="C727" s="8" t="s">
        <v>1883</v>
      </c>
      <c r="D727" s="8" t="s">
        <v>1220</v>
      </c>
      <c r="E727" s="52">
        <v>1906</v>
      </c>
      <c r="F727" s="13">
        <v>270.14999999999998</v>
      </c>
      <c r="G727" s="13"/>
    </row>
    <row r="728" spans="1:7" hidden="1" x14ac:dyDescent="0.75">
      <c r="A728" s="51">
        <v>44936</v>
      </c>
      <c r="B728" s="52">
        <v>1949</v>
      </c>
      <c r="C728" s="8" t="s">
        <v>1884</v>
      </c>
      <c r="D728" s="8" t="s">
        <v>1220</v>
      </c>
      <c r="E728" s="52">
        <v>1748</v>
      </c>
      <c r="F728" s="13">
        <v>530.70000000000005</v>
      </c>
      <c r="G728" s="13"/>
    </row>
    <row r="729" spans="1:7" hidden="1" x14ac:dyDescent="0.75">
      <c r="A729" s="51">
        <v>44936</v>
      </c>
      <c r="B729" s="52">
        <v>1949</v>
      </c>
      <c r="C729" s="8" t="s">
        <v>1885</v>
      </c>
      <c r="D729" s="8" t="s">
        <v>1220</v>
      </c>
      <c r="E729" s="52">
        <v>1751</v>
      </c>
      <c r="F729" s="13">
        <v>716.75</v>
      </c>
      <c r="G729" s="13"/>
    </row>
    <row r="730" spans="1:7" hidden="1" x14ac:dyDescent="0.75">
      <c r="A730" s="51">
        <v>44936</v>
      </c>
      <c r="B730" s="52">
        <v>1949</v>
      </c>
      <c r="C730" s="8" t="s">
        <v>1886</v>
      </c>
      <c r="D730" s="8" t="s">
        <v>1220</v>
      </c>
      <c r="E730" s="52">
        <v>1752</v>
      </c>
      <c r="F730" s="13">
        <v>394.85</v>
      </c>
      <c r="G730" s="13"/>
    </row>
    <row r="731" spans="1:7" hidden="1" x14ac:dyDescent="0.75">
      <c r="A731" s="51">
        <v>44936</v>
      </c>
      <c r="B731" s="52">
        <v>1949</v>
      </c>
      <c r="C731" s="8" t="s">
        <v>1873</v>
      </c>
      <c r="D731" s="8" t="s">
        <v>1220</v>
      </c>
      <c r="E731" s="52">
        <v>1621</v>
      </c>
      <c r="F731" s="13">
        <v>5067.59</v>
      </c>
      <c r="G731" s="13"/>
    </row>
    <row r="732" spans="1:7" hidden="1" x14ac:dyDescent="0.75">
      <c r="A732" s="51">
        <v>44936</v>
      </c>
      <c r="B732" s="52">
        <v>1949</v>
      </c>
      <c r="C732" s="8" t="s">
        <v>1872</v>
      </c>
      <c r="D732" s="8" t="s">
        <v>1220</v>
      </c>
      <c r="E732" s="52">
        <v>374</v>
      </c>
      <c r="F732" s="13"/>
      <c r="G732" s="13">
        <v>8.6999999999999993</v>
      </c>
    </row>
    <row r="733" spans="1:7" hidden="1" x14ac:dyDescent="0.75">
      <c r="A733" s="51">
        <v>44937</v>
      </c>
      <c r="B733" s="52">
        <v>1949</v>
      </c>
      <c r="C733" s="8" t="s">
        <v>1887</v>
      </c>
      <c r="D733" s="8" t="s">
        <v>1220</v>
      </c>
      <c r="E733" s="52">
        <v>1748</v>
      </c>
      <c r="F733" s="13">
        <v>283.75</v>
      </c>
      <c r="G733" s="13"/>
    </row>
    <row r="734" spans="1:7" hidden="1" x14ac:dyDescent="0.75">
      <c r="A734" s="51">
        <v>44937</v>
      </c>
      <c r="B734" s="52">
        <v>1949</v>
      </c>
      <c r="C734" s="8" t="s">
        <v>1888</v>
      </c>
      <c r="D734" s="8" t="s">
        <v>1220</v>
      </c>
      <c r="E734" s="52">
        <v>1752</v>
      </c>
      <c r="F734" s="13">
        <v>316.2</v>
      </c>
      <c r="G734" s="13"/>
    </row>
    <row r="735" spans="1:7" hidden="1" x14ac:dyDescent="0.75">
      <c r="A735" s="51">
        <v>44937</v>
      </c>
      <c r="B735" s="52">
        <v>1949</v>
      </c>
      <c r="C735" s="8" t="s">
        <v>1889</v>
      </c>
      <c r="D735" s="8" t="s">
        <v>1220</v>
      </c>
      <c r="E735" s="52">
        <v>1906</v>
      </c>
      <c r="F735" s="13">
        <v>214.15</v>
      </c>
      <c r="G735" s="13"/>
    </row>
    <row r="736" spans="1:7" hidden="1" x14ac:dyDescent="0.75">
      <c r="A736" s="51">
        <v>44937</v>
      </c>
      <c r="B736" s="52">
        <v>1949</v>
      </c>
      <c r="C736" s="8" t="s">
        <v>1873</v>
      </c>
      <c r="D736" s="8" t="s">
        <v>1220</v>
      </c>
      <c r="E736" s="52">
        <v>1621</v>
      </c>
      <c r="F736" s="13">
        <v>5141.01</v>
      </c>
      <c r="G736" s="13"/>
    </row>
    <row r="737" spans="1:7" hidden="1" x14ac:dyDescent="0.75">
      <c r="A737" s="51">
        <v>44937</v>
      </c>
      <c r="B737" s="52">
        <v>1949</v>
      </c>
      <c r="C737" s="8" t="s">
        <v>1872</v>
      </c>
      <c r="D737" s="8" t="s">
        <v>1220</v>
      </c>
      <c r="E737" s="52">
        <v>374</v>
      </c>
      <c r="F737" s="13"/>
      <c r="G737" s="13">
        <v>7.25</v>
      </c>
    </row>
    <row r="738" spans="1:7" hidden="1" x14ac:dyDescent="0.75">
      <c r="A738" s="51">
        <v>44938</v>
      </c>
      <c r="B738" s="52">
        <v>1949</v>
      </c>
      <c r="C738" s="8" t="s">
        <v>1890</v>
      </c>
      <c r="D738" s="8" t="s">
        <v>1220</v>
      </c>
      <c r="E738" s="52">
        <v>1751</v>
      </c>
      <c r="F738" s="13">
        <v>1320.45</v>
      </c>
      <c r="G738" s="13"/>
    </row>
    <row r="739" spans="1:7" hidden="1" x14ac:dyDescent="0.75">
      <c r="A739" s="51">
        <v>44938</v>
      </c>
      <c r="B739" s="52">
        <v>1949</v>
      </c>
      <c r="C739" s="8" t="s">
        <v>1891</v>
      </c>
      <c r="D739" s="8" t="s">
        <v>1220</v>
      </c>
      <c r="E739" s="52">
        <v>1752</v>
      </c>
      <c r="F739" s="13">
        <v>421.05</v>
      </c>
      <c r="G739" s="13"/>
    </row>
    <row r="740" spans="1:7" hidden="1" x14ac:dyDescent="0.75">
      <c r="A740" s="51">
        <v>44938</v>
      </c>
      <c r="B740" s="52">
        <v>1949</v>
      </c>
      <c r="C740" s="8" t="s">
        <v>1892</v>
      </c>
      <c r="D740" s="8" t="s">
        <v>1220</v>
      </c>
      <c r="E740" s="52">
        <v>1906</v>
      </c>
      <c r="F740" s="13">
        <v>622.95000000000005</v>
      </c>
      <c r="G740" s="13"/>
    </row>
    <row r="741" spans="1:7" hidden="1" x14ac:dyDescent="0.75">
      <c r="A741" s="51">
        <v>44938</v>
      </c>
      <c r="B741" s="52">
        <v>1949</v>
      </c>
      <c r="C741" s="8" t="s">
        <v>1893</v>
      </c>
      <c r="D741" s="8" t="s">
        <v>1220</v>
      </c>
      <c r="E741" s="52">
        <v>1748</v>
      </c>
      <c r="F741" s="13">
        <v>1234.4000000000001</v>
      </c>
      <c r="G741" s="13"/>
    </row>
    <row r="742" spans="1:7" hidden="1" x14ac:dyDescent="0.75">
      <c r="A742" s="51">
        <v>44938</v>
      </c>
      <c r="B742" s="52">
        <v>1949</v>
      </c>
      <c r="C742" s="8" t="s">
        <v>1894</v>
      </c>
      <c r="D742" s="8" t="s">
        <v>1220</v>
      </c>
      <c r="E742" s="52">
        <v>1747</v>
      </c>
      <c r="F742" s="13">
        <v>422.1</v>
      </c>
      <c r="G742" s="13"/>
    </row>
    <row r="743" spans="1:7" hidden="1" x14ac:dyDescent="0.75">
      <c r="A743" s="51">
        <v>44938</v>
      </c>
      <c r="B743" s="52">
        <v>1949</v>
      </c>
      <c r="C743" s="8" t="s">
        <v>1895</v>
      </c>
      <c r="D743" s="8" t="s">
        <v>1220</v>
      </c>
      <c r="E743" s="52">
        <v>1906</v>
      </c>
      <c r="F743" s="13">
        <v>287.10000000000002</v>
      </c>
      <c r="G743" s="13"/>
    </row>
    <row r="744" spans="1:7" hidden="1" x14ac:dyDescent="0.75">
      <c r="A744" s="51">
        <v>44938</v>
      </c>
      <c r="B744" s="52">
        <v>1949</v>
      </c>
      <c r="C744" s="8" t="s">
        <v>1896</v>
      </c>
      <c r="D744" s="8" t="s">
        <v>1220</v>
      </c>
      <c r="E744" s="52">
        <v>1748</v>
      </c>
      <c r="F744" s="13">
        <v>786.6</v>
      </c>
      <c r="G744" s="13"/>
    </row>
    <row r="745" spans="1:7" hidden="1" x14ac:dyDescent="0.75">
      <c r="A745" s="51">
        <v>44938</v>
      </c>
      <c r="B745" s="52">
        <v>1949</v>
      </c>
      <c r="C745" s="8" t="s">
        <v>1897</v>
      </c>
      <c r="D745" s="8" t="s">
        <v>1220</v>
      </c>
      <c r="E745" s="52">
        <v>1751</v>
      </c>
      <c r="F745" s="13">
        <v>858.6</v>
      </c>
      <c r="G745" s="13"/>
    </row>
    <row r="746" spans="1:7" hidden="1" x14ac:dyDescent="0.75">
      <c r="A746" s="51">
        <v>44938</v>
      </c>
      <c r="B746" s="52">
        <v>1949</v>
      </c>
      <c r="C746" s="8" t="s">
        <v>1873</v>
      </c>
      <c r="D746" s="8" t="s">
        <v>1220</v>
      </c>
      <c r="E746" s="52">
        <v>1621</v>
      </c>
      <c r="F746" s="13">
        <v>2075.6</v>
      </c>
      <c r="G746" s="13"/>
    </row>
    <row r="747" spans="1:7" hidden="1" x14ac:dyDescent="0.75">
      <c r="A747" s="51">
        <v>44938</v>
      </c>
      <c r="B747" s="52">
        <v>1949</v>
      </c>
      <c r="C747" s="8" t="s">
        <v>1872</v>
      </c>
      <c r="D747" s="8" t="s">
        <v>1220</v>
      </c>
      <c r="E747" s="52">
        <v>374</v>
      </c>
      <c r="F747" s="13"/>
      <c r="G747" s="13">
        <v>29.7</v>
      </c>
    </row>
    <row r="748" spans="1:7" hidden="1" x14ac:dyDescent="0.75">
      <c r="A748" s="51">
        <v>44939</v>
      </c>
      <c r="B748" s="52">
        <v>1949</v>
      </c>
      <c r="C748" s="8" t="s">
        <v>1898</v>
      </c>
      <c r="D748" s="8" t="s">
        <v>1220</v>
      </c>
      <c r="E748" s="52">
        <v>1543</v>
      </c>
      <c r="F748" s="13">
        <v>565.28</v>
      </c>
      <c r="G748" s="13"/>
    </row>
    <row r="749" spans="1:7" hidden="1" x14ac:dyDescent="0.75">
      <c r="A749" s="51">
        <v>44939</v>
      </c>
      <c r="B749" s="52">
        <v>1949</v>
      </c>
      <c r="C749" s="8" t="s">
        <v>1899</v>
      </c>
      <c r="D749" s="8" t="s">
        <v>1220</v>
      </c>
      <c r="E749" s="52">
        <v>1752</v>
      </c>
      <c r="F749" s="13">
        <v>91.45</v>
      </c>
      <c r="G749" s="13"/>
    </row>
    <row r="750" spans="1:7" hidden="1" x14ac:dyDescent="0.75">
      <c r="A750" s="51">
        <v>44939</v>
      </c>
      <c r="B750" s="52">
        <v>1949</v>
      </c>
      <c r="C750" s="8" t="s">
        <v>1872</v>
      </c>
      <c r="D750" s="8" t="s">
        <v>1220</v>
      </c>
      <c r="E750" s="52">
        <v>374</v>
      </c>
      <c r="F750" s="13"/>
      <c r="G750" s="13">
        <v>5.94</v>
      </c>
    </row>
    <row r="751" spans="1:7" hidden="1" x14ac:dyDescent="0.75">
      <c r="A751" s="51">
        <v>44942</v>
      </c>
      <c r="B751" s="52">
        <v>1949</v>
      </c>
      <c r="C751" s="8" t="s">
        <v>1900</v>
      </c>
      <c r="D751" s="8" t="s">
        <v>1220</v>
      </c>
      <c r="E751" s="52">
        <v>1748</v>
      </c>
      <c r="F751" s="13">
        <v>1381.8</v>
      </c>
      <c r="G751" s="13"/>
    </row>
    <row r="752" spans="1:7" hidden="1" x14ac:dyDescent="0.75">
      <c r="A752" s="51">
        <v>44942</v>
      </c>
      <c r="B752" s="52">
        <v>1949</v>
      </c>
      <c r="C752" s="8" t="s">
        <v>1901</v>
      </c>
      <c r="D752" s="8" t="s">
        <v>1220</v>
      </c>
      <c r="E752" s="52">
        <v>1747</v>
      </c>
      <c r="F752" s="13">
        <v>1707.9</v>
      </c>
      <c r="G752" s="13"/>
    </row>
    <row r="753" spans="1:7" hidden="1" x14ac:dyDescent="0.75">
      <c r="A753" s="51">
        <v>44942</v>
      </c>
      <c r="B753" s="52">
        <v>1949</v>
      </c>
      <c r="C753" s="8" t="s">
        <v>1902</v>
      </c>
      <c r="D753" s="8" t="s">
        <v>1220</v>
      </c>
      <c r="E753" s="52">
        <v>1906</v>
      </c>
      <c r="F753" s="13">
        <v>1016.7</v>
      </c>
      <c r="G753" s="13"/>
    </row>
    <row r="754" spans="1:7" hidden="1" x14ac:dyDescent="0.75">
      <c r="A754" s="51">
        <v>44942</v>
      </c>
      <c r="B754" s="52">
        <v>1949</v>
      </c>
      <c r="C754" s="8" t="s">
        <v>1903</v>
      </c>
      <c r="D754" s="8" t="s">
        <v>1220</v>
      </c>
      <c r="E754" s="52">
        <v>1906</v>
      </c>
      <c r="F754" s="13">
        <v>778.7</v>
      </c>
      <c r="G754" s="13"/>
    </row>
    <row r="755" spans="1:7" hidden="1" x14ac:dyDescent="0.75">
      <c r="A755" s="51">
        <v>44942</v>
      </c>
      <c r="B755" s="52">
        <v>1949</v>
      </c>
      <c r="C755" s="8" t="s">
        <v>1904</v>
      </c>
      <c r="D755" s="8" t="s">
        <v>1220</v>
      </c>
      <c r="E755" s="52">
        <v>1748</v>
      </c>
      <c r="F755" s="13">
        <v>1186.3499999999999</v>
      </c>
      <c r="G755" s="13"/>
    </row>
    <row r="756" spans="1:7" hidden="1" x14ac:dyDescent="0.75">
      <c r="A756" s="51">
        <v>44942</v>
      </c>
      <c r="B756" s="52">
        <v>1949</v>
      </c>
      <c r="C756" s="8" t="s">
        <v>1905</v>
      </c>
      <c r="D756" s="8" t="s">
        <v>1220</v>
      </c>
      <c r="E756" s="52">
        <v>1752</v>
      </c>
      <c r="F756" s="13">
        <v>762.45</v>
      </c>
      <c r="G756" s="13"/>
    </row>
    <row r="757" spans="1:7" hidden="1" x14ac:dyDescent="0.75">
      <c r="A757" s="51">
        <v>44942</v>
      </c>
      <c r="B757" s="52">
        <v>1949</v>
      </c>
      <c r="C757" s="8" t="s">
        <v>1906</v>
      </c>
      <c r="D757" s="8" t="s">
        <v>1220</v>
      </c>
      <c r="E757" s="52">
        <v>1747</v>
      </c>
      <c r="F757" s="13">
        <v>1820.75</v>
      </c>
      <c r="G757" s="13"/>
    </row>
    <row r="758" spans="1:7" hidden="1" x14ac:dyDescent="0.75">
      <c r="A758" s="51">
        <v>44942</v>
      </c>
      <c r="B758" s="52">
        <v>1949</v>
      </c>
      <c r="C758" s="8" t="s">
        <v>1873</v>
      </c>
      <c r="D758" s="8" t="s">
        <v>1220</v>
      </c>
      <c r="E758" s="52">
        <v>1621</v>
      </c>
      <c r="F758" s="13">
        <v>6606.09</v>
      </c>
      <c r="G758" s="13"/>
    </row>
    <row r="759" spans="1:7" hidden="1" x14ac:dyDescent="0.75">
      <c r="A759" s="51">
        <v>44942</v>
      </c>
      <c r="B759" s="52">
        <v>1949</v>
      </c>
      <c r="C759" s="8" t="s">
        <v>1872</v>
      </c>
      <c r="D759" s="8" t="s">
        <v>1220</v>
      </c>
      <c r="E759" s="52">
        <v>374</v>
      </c>
      <c r="F759" s="13"/>
      <c r="G759" s="13">
        <v>14.5</v>
      </c>
    </row>
    <row r="760" spans="1:7" hidden="1" x14ac:dyDescent="0.75">
      <c r="A760" s="51">
        <v>44943</v>
      </c>
      <c r="B760" s="52">
        <v>1949</v>
      </c>
      <c r="C760" s="8" t="s">
        <v>1907</v>
      </c>
      <c r="D760" s="8" t="s">
        <v>1220</v>
      </c>
      <c r="E760" s="52">
        <v>1752</v>
      </c>
      <c r="F760" s="13">
        <v>342.8</v>
      </c>
      <c r="G760" s="13"/>
    </row>
    <row r="761" spans="1:7" hidden="1" x14ac:dyDescent="0.75">
      <c r="A761" s="51">
        <v>44943</v>
      </c>
      <c r="B761" s="52">
        <v>1949</v>
      </c>
      <c r="C761" s="8" t="s">
        <v>1908</v>
      </c>
      <c r="D761" s="8" t="s">
        <v>1220</v>
      </c>
      <c r="E761" s="52">
        <v>1906</v>
      </c>
      <c r="F761" s="13">
        <v>434.65</v>
      </c>
      <c r="G761" s="13"/>
    </row>
    <row r="762" spans="1:7" hidden="1" x14ac:dyDescent="0.75">
      <c r="A762" s="51">
        <v>44943</v>
      </c>
      <c r="B762" s="52">
        <v>1949</v>
      </c>
      <c r="C762" s="8" t="s">
        <v>1909</v>
      </c>
      <c r="D762" s="8" t="s">
        <v>1220</v>
      </c>
      <c r="E762" s="52">
        <v>1748</v>
      </c>
      <c r="F762" s="13">
        <v>538.35</v>
      </c>
      <c r="G762" s="13"/>
    </row>
    <row r="763" spans="1:7" hidden="1" x14ac:dyDescent="0.75">
      <c r="A763" s="51">
        <v>44943</v>
      </c>
      <c r="B763" s="52">
        <v>1949</v>
      </c>
      <c r="C763" s="8" t="s">
        <v>1910</v>
      </c>
      <c r="D763" s="8" t="s">
        <v>1220</v>
      </c>
      <c r="E763" s="52">
        <v>1751</v>
      </c>
      <c r="F763" s="13">
        <v>614.65</v>
      </c>
      <c r="G763" s="13"/>
    </row>
    <row r="764" spans="1:7" hidden="1" x14ac:dyDescent="0.75">
      <c r="A764" s="51">
        <v>44943</v>
      </c>
      <c r="B764" s="52">
        <v>1949</v>
      </c>
      <c r="C764" s="8" t="s">
        <v>1873</v>
      </c>
      <c r="D764" s="8" t="s">
        <v>1220</v>
      </c>
      <c r="E764" s="52">
        <v>1621</v>
      </c>
      <c r="F764" s="13">
        <v>4415.4799999999996</v>
      </c>
      <c r="G764" s="13"/>
    </row>
    <row r="765" spans="1:7" hidden="1" x14ac:dyDescent="0.75">
      <c r="A765" s="51">
        <v>44943</v>
      </c>
      <c r="B765" s="52">
        <v>1949</v>
      </c>
      <c r="C765" s="8" t="s">
        <v>1872</v>
      </c>
      <c r="D765" s="8" t="s">
        <v>1220</v>
      </c>
      <c r="E765" s="52">
        <v>374</v>
      </c>
      <c r="F765" s="13"/>
      <c r="G765" s="13">
        <v>16.37</v>
      </c>
    </row>
    <row r="766" spans="1:7" hidden="1" x14ac:dyDescent="0.75">
      <c r="A766" s="51">
        <v>44944</v>
      </c>
      <c r="B766" s="52">
        <v>1949</v>
      </c>
      <c r="C766" s="8" t="s">
        <v>1911</v>
      </c>
      <c r="D766" s="8" t="s">
        <v>1220</v>
      </c>
      <c r="E766" s="52">
        <v>1906</v>
      </c>
      <c r="F766" s="13">
        <v>398.45</v>
      </c>
      <c r="G766" s="13"/>
    </row>
    <row r="767" spans="1:7" hidden="1" x14ac:dyDescent="0.75">
      <c r="A767" s="51">
        <v>44944</v>
      </c>
      <c r="B767" s="52">
        <v>1949</v>
      </c>
      <c r="C767" s="8" t="s">
        <v>1912</v>
      </c>
      <c r="D767" s="8" t="s">
        <v>1220</v>
      </c>
      <c r="E767" s="52">
        <v>1748</v>
      </c>
      <c r="F767" s="13">
        <v>532.9</v>
      </c>
      <c r="G767" s="13"/>
    </row>
    <row r="768" spans="1:7" hidden="1" x14ac:dyDescent="0.75">
      <c r="A768" s="51">
        <v>44944</v>
      </c>
      <c r="B768" s="52">
        <v>1949</v>
      </c>
      <c r="C768" s="8" t="s">
        <v>1913</v>
      </c>
      <c r="D768" s="8" t="s">
        <v>1220</v>
      </c>
      <c r="E768" s="52">
        <v>1751</v>
      </c>
      <c r="F768" s="13">
        <v>858.95</v>
      </c>
      <c r="G768" s="13"/>
    </row>
    <row r="769" spans="1:7" hidden="1" x14ac:dyDescent="0.75">
      <c r="A769" s="51">
        <v>44944</v>
      </c>
      <c r="B769" s="52">
        <v>1949</v>
      </c>
      <c r="C769" s="8" t="s">
        <v>1873</v>
      </c>
      <c r="D769" s="8" t="s">
        <v>1220</v>
      </c>
      <c r="E769" s="52">
        <v>1621</v>
      </c>
      <c r="F769" s="13">
        <v>3307.69</v>
      </c>
      <c r="G769" s="13"/>
    </row>
    <row r="770" spans="1:7" hidden="1" x14ac:dyDescent="0.75">
      <c r="A770" s="51">
        <v>44944</v>
      </c>
      <c r="B770" s="52">
        <v>1949</v>
      </c>
      <c r="C770" s="8" t="s">
        <v>1872</v>
      </c>
      <c r="D770" s="8" t="s">
        <v>1220</v>
      </c>
      <c r="E770" s="52">
        <v>374</v>
      </c>
      <c r="F770" s="13"/>
      <c r="G770" s="13">
        <v>13.33</v>
      </c>
    </row>
    <row r="771" spans="1:7" hidden="1" x14ac:dyDescent="0.75">
      <c r="A771" s="51">
        <v>44945</v>
      </c>
      <c r="B771" s="52">
        <v>1949</v>
      </c>
      <c r="C771" s="8" t="s">
        <v>1914</v>
      </c>
      <c r="D771" s="8" t="s">
        <v>1220</v>
      </c>
      <c r="E771" s="52">
        <v>1752</v>
      </c>
      <c r="F771" s="13">
        <v>586.45000000000005</v>
      </c>
      <c r="G771" s="13"/>
    </row>
    <row r="772" spans="1:7" hidden="1" x14ac:dyDescent="0.75">
      <c r="A772" s="51">
        <v>44945</v>
      </c>
      <c r="B772" s="52">
        <v>1949</v>
      </c>
      <c r="C772" s="8" t="s">
        <v>1915</v>
      </c>
      <c r="D772" s="8" t="s">
        <v>1220</v>
      </c>
      <c r="E772" s="52">
        <v>1906</v>
      </c>
      <c r="F772" s="13">
        <v>500.8</v>
      </c>
      <c r="G772" s="13"/>
    </row>
    <row r="773" spans="1:7" hidden="1" x14ac:dyDescent="0.75">
      <c r="A773" s="51">
        <v>44945</v>
      </c>
      <c r="B773" s="52">
        <v>1949</v>
      </c>
      <c r="C773" s="8" t="s">
        <v>1916</v>
      </c>
      <c r="D773" s="8" t="s">
        <v>1220</v>
      </c>
      <c r="E773" s="52">
        <v>1748</v>
      </c>
      <c r="F773" s="13">
        <v>943.95</v>
      </c>
      <c r="G773" s="13"/>
    </row>
    <row r="774" spans="1:7" hidden="1" x14ac:dyDescent="0.75">
      <c r="A774" s="51">
        <v>44945</v>
      </c>
      <c r="B774" s="52">
        <v>1949</v>
      </c>
      <c r="C774" s="8" t="s">
        <v>1917</v>
      </c>
      <c r="D774" s="8" t="s">
        <v>1220</v>
      </c>
      <c r="E774" s="52">
        <v>1747</v>
      </c>
      <c r="F774" s="13">
        <v>424.5</v>
      </c>
      <c r="G774" s="13"/>
    </row>
    <row r="775" spans="1:7" hidden="1" x14ac:dyDescent="0.75">
      <c r="A775" s="51">
        <v>44945</v>
      </c>
      <c r="B775" s="52">
        <v>1949</v>
      </c>
      <c r="C775" s="8" t="s">
        <v>1918</v>
      </c>
      <c r="D775" s="8" t="s">
        <v>1220</v>
      </c>
      <c r="E775" s="52">
        <v>1906</v>
      </c>
      <c r="F775" s="13">
        <v>287.10000000000002</v>
      </c>
      <c r="G775" s="13"/>
    </row>
    <row r="776" spans="1:7" hidden="1" x14ac:dyDescent="0.75">
      <c r="A776" s="51">
        <v>44945</v>
      </c>
      <c r="B776" s="52">
        <v>1949</v>
      </c>
      <c r="C776" s="8" t="s">
        <v>1919</v>
      </c>
      <c r="D776" s="8" t="s">
        <v>1220</v>
      </c>
      <c r="E776" s="52">
        <v>1751</v>
      </c>
      <c r="F776" s="13">
        <v>39</v>
      </c>
      <c r="G776" s="13"/>
    </row>
    <row r="777" spans="1:7" hidden="1" x14ac:dyDescent="0.75">
      <c r="A777" s="51">
        <v>44945</v>
      </c>
      <c r="B777" s="52">
        <v>1949</v>
      </c>
      <c r="C777" s="8" t="s">
        <v>1873</v>
      </c>
      <c r="D777" s="8" t="s">
        <v>1220</v>
      </c>
      <c r="E777" s="52">
        <v>1621</v>
      </c>
      <c r="F777" s="13">
        <v>3224.75</v>
      </c>
      <c r="G777" s="13"/>
    </row>
    <row r="778" spans="1:7" hidden="1" x14ac:dyDescent="0.75">
      <c r="A778" s="51">
        <v>44945</v>
      </c>
      <c r="B778" s="52">
        <v>1949</v>
      </c>
      <c r="C778" s="8" t="s">
        <v>1872</v>
      </c>
      <c r="D778" s="8" t="s">
        <v>1220</v>
      </c>
      <c r="E778" s="52">
        <v>374</v>
      </c>
      <c r="F778" s="13"/>
      <c r="G778" s="13">
        <v>10.15</v>
      </c>
    </row>
    <row r="779" spans="1:7" hidden="1" x14ac:dyDescent="0.75">
      <c r="A779" s="51">
        <v>44946</v>
      </c>
      <c r="B779" s="52">
        <v>1949</v>
      </c>
      <c r="C779" s="8" t="s">
        <v>1920</v>
      </c>
      <c r="D779" s="8" t="s">
        <v>1220</v>
      </c>
      <c r="E779" s="52">
        <v>1543</v>
      </c>
      <c r="F779" s="13">
        <v>422.35</v>
      </c>
      <c r="G779" s="13"/>
    </row>
    <row r="780" spans="1:7" hidden="1" x14ac:dyDescent="0.75">
      <c r="A780" s="51">
        <v>44946</v>
      </c>
      <c r="B780" s="52">
        <v>1949</v>
      </c>
      <c r="C780" s="8" t="s">
        <v>1872</v>
      </c>
      <c r="D780" s="8" t="s">
        <v>1220</v>
      </c>
      <c r="E780" s="52">
        <v>374</v>
      </c>
      <c r="F780" s="13"/>
      <c r="G780" s="13">
        <v>2.9</v>
      </c>
    </row>
    <row r="781" spans="1:7" hidden="1" x14ac:dyDescent="0.75">
      <c r="A781" s="51">
        <v>44949</v>
      </c>
      <c r="B781" s="52">
        <v>1949</v>
      </c>
      <c r="C781" s="8" t="s">
        <v>1921</v>
      </c>
      <c r="D781" s="8" t="s">
        <v>1220</v>
      </c>
      <c r="E781" s="52">
        <v>1765</v>
      </c>
      <c r="F781" s="13">
        <v>1705.91</v>
      </c>
      <c r="G781" s="13"/>
    </row>
    <row r="782" spans="1:7" hidden="1" x14ac:dyDescent="0.75">
      <c r="A782" s="51">
        <v>44949</v>
      </c>
      <c r="B782" s="52">
        <v>1949</v>
      </c>
      <c r="C782" s="8" t="s">
        <v>1872</v>
      </c>
      <c r="D782" s="8" t="s">
        <v>1220</v>
      </c>
      <c r="E782" s="52">
        <v>374</v>
      </c>
      <c r="F782" s="13"/>
      <c r="G782" s="13">
        <v>6.08</v>
      </c>
    </row>
    <row r="783" spans="1:7" hidden="1" x14ac:dyDescent="0.75">
      <c r="A783" s="51">
        <v>44950</v>
      </c>
      <c r="B783" s="52">
        <v>1949</v>
      </c>
      <c r="C783" s="8" t="s">
        <v>1922</v>
      </c>
      <c r="D783" s="8" t="s">
        <v>1220</v>
      </c>
      <c r="E783" s="52">
        <v>1765</v>
      </c>
      <c r="F783" s="13">
        <v>1973.63</v>
      </c>
      <c r="G783" s="13"/>
    </row>
    <row r="784" spans="1:7" hidden="1" x14ac:dyDescent="0.75">
      <c r="A784" s="51">
        <v>44950</v>
      </c>
      <c r="B784" s="52">
        <v>1949</v>
      </c>
      <c r="C784" s="8" t="s">
        <v>1872</v>
      </c>
      <c r="D784" s="8" t="s">
        <v>1220</v>
      </c>
      <c r="E784" s="52">
        <v>374</v>
      </c>
      <c r="F784" s="13"/>
      <c r="G784" s="13">
        <v>6.08</v>
      </c>
    </row>
    <row r="785" spans="1:7" hidden="1" x14ac:dyDescent="0.75">
      <c r="A785" s="51">
        <v>44951</v>
      </c>
      <c r="B785" s="52">
        <v>1949</v>
      </c>
      <c r="C785" s="8" t="s">
        <v>1923</v>
      </c>
      <c r="D785" s="8" t="s">
        <v>1220</v>
      </c>
      <c r="E785" s="52">
        <v>1765</v>
      </c>
      <c r="F785" s="13">
        <v>2690.93</v>
      </c>
      <c r="G785" s="13"/>
    </row>
    <row r="786" spans="1:7" hidden="1" x14ac:dyDescent="0.75">
      <c r="A786" s="51">
        <v>44952</v>
      </c>
      <c r="B786" s="52">
        <v>1949</v>
      </c>
      <c r="C786" s="8" t="s">
        <v>1872</v>
      </c>
      <c r="D786" s="8" t="s">
        <v>1220</v>
      </c>
      <c r="E786" s="52">
        <v>374</v>
      </c>
      <c r="F786" s="13"/>
      <c r="G786" s="13">
        <v>15.2</v>
      </c>
    </row>
    <row r="787" spans="1:7" hidden="1" x14ac:dyDescent="0.75">
      <c r="A787" s="51">
        <v>44953</v>
      </c>
      <c r="B787" s="52">
        <v>1949</v>
      </c>
      <c r="C787" s="8" t="s">
        <v>1924</v>
      </c>
      <c r="D787" s="8" t="s">
        <v>1220</v>
      </c>
      <c r="E787" s="52">
        <v>1747</v>
      </c>
      <c r="F787" s="13">
        <v>1151.3599999999999</v>
      </c>
      <c r="G787" s="13"/>
    </row>
    <row r="788" spans="1:7" hidden="1" x14ac:dyDescent="0.75">
      <c r="A788" s="51">
        <v>44953</v>
      </c>
      <c r="B788" s="52">
        <v>1949</v>
      </c>
      <c r="C788" s="8" t="s">
        <v>1925</v>
      </c>
      <c r="D788" s="8" t="s">
        <v>1220</v>
      </c>
      <c r="E788" s="52">
        <v>1747</v>
      </c>
      <c r="F788" s="13">
        <v>715.12</v>
      </c>
      <c r="G788" s="13"/>
    </row>
    <row r="789" spans="1:7" hidden="1" x14ac:dyDescent="0.75">
      <c r="A789" s="51">
        <v>44953</v>
      </c>
      <c r="B789" s="52">
        <v>1949</v>
      </c>
      <c r="C789" s="8" t="s">
        <v>1926</v>
      </c>
      <c r="D789" s="8" t="s">
        <v>1220</v>
      </c>
      <c r="E789" s="52">
        <v>1906</v>
      </c>
      <c r="F789" s="13">
        <v>633.84</v>
      </c>
      <c r="G789" s="13"/>
    </row>
    <row r="790" spans="1:7" hidden="1" x14ac:dyDescent="0.75">
      <c r="A790" s="51">
        <v>44953</v>
      </c>
      <c r="B790" s="52">
        <v>1949</v>
      </c>
      <c r="C790" s="8" t="s">
        <v>1927</v>
      </c>
      <c r="D790" s="8" t="s">
        <v>1220</v>
      </c>
      <c r="E790" s="52">
        <v>1752</v>
      </c>
      <c r="F790" s="13">
        <v>333.28</v>
      </c>
      <c r="G790" s="13"/>
    </row>
    <row r="791" spans="1:7" hidden="1" x14ac:dyDescent="0.75">
      <c r="A791" s="51">
        <v>44953</v>
      </c>
      <c r="B791" s="52">
        <v>1949</v>
      </c>
      <c r="C791" s="8" t="s">
        <v>1928</v>
      </c>
      <c r="D791" s="8" t="s">
        <v>1220</v>
      </c>
      <c r="E791" s="52">
        <v>1752</v>
      </c>
      <c r="F791" s="13">
        <v>802.51</v>
      </c>
      <c r="G791" s="13"/>
    </row>
    <row r="792" spans="1:7" hidden="1" x14ac:dyDescent="0.75">
      <c r="A792" s="51">
        <v>44953</v>
      </c>
      <c r="B792" s="52">
        <v>1949</v>
      </c>
      <c r="C792" s="8" t="s">
        <v>1929</v>
      </c>
      <c r="D792" s="8" t="s">
        <v>1220</v>
      </c>
      <c r="E792" s="52">
        <v>1751</v>
      </c>
      <c r="F792" s="13">
        <v>39.840000000000003</v>
      </c>
      <c r="G792" s="13"/>
    </row>
    <row r="793" spans="1:7" hidden="1" x14ac:dyDescent="0.75">
      <c r="A793" s="51">
        <v>44953</v>
      </c>
      <c r="B793" s="52">
        <v>1949</v>
      </c>
      <c r="C793" s="8" t="s">
        <v>1930</v>
      </c>
      <c r="D793" s="8" t="s">
        <v>1220</v>
      </c>
      <c r="E793" s="52">
        <v>1748</v>
      </c>
      <c r="F793" s="13">
        <v>333.28</v>
      </c>
      <c r="G793" s="13"/>
    </row>
    <row r="794" spans="1:7" hidden="1" x14ac:dyDescent="0.75">
      <c r="A794" s="51">
        <v>44953</v>
      </c>
      <c r="B794" s="52">
        <v>1949</v>
      </c>
      <c r="C794" s="8" t="s">
        <v>1931</v>
      </c>
      <c r="D794" s="8" t="s">
        <v>1220</v>
      </c>
      <c r="E794" s="52">
        <v>1906</v>
      </c>
      <c r="F794" s="13">
        <v>185.43</v>
      </c>
      <c r="G794" s="13"/>
    </row>
    <row r="795" spans="1:7" hidden="1" x14ac:dyDescent="0.75">
      <c r="A795" s="51">
        <v>44953</v>
      </c>
      <c r="B795" s="52">
        <v>1949</v>
      </c>
      <c r="C795" s="8" t="s">
        <v>1932</v>
      </c>
      <c r="D795" s="8" t="s">
        <v>1220</v>
      </c>
      <c r="E795" s="52">
        <v>1748</v>
      </c>
      <c r="F795" s="13">
        <v>1001.83</v>
      </c>
      <c r="G795" s="13"/>
    </row>
    <row r="796" spans="1:7" hidden="1" x14ac:dyDescent="0.75">
      <c r="A796" s="51">
        <v>44953</v>
      </c>
      <c r="B796" s="52">
        <v>1949</v>
      </c>
      <c r="C796" s="8" t="s">
        <v>1933</v>
      </c>
      <c r="D796" s="8" t="s">
        <v>1220</v>
      </c>
      <c r="E796" s="52">
        <v>1906</v>
      </c>
      <c r="F796" s="13">
        <v>659</v>
      </c>
      <c r="G796" s="13"/>
    </row>
    <row r="797" spans="1:7" hidden="1" x14ac:dyDescent="0.75">
      <c r="A797" s="51">
        <v>44953</v>
      </c>
      <c r="B797" s="52">
        <v>1949</v>
      </c>
      <c r="C797" s="8" t="s">
        <v>1934</v>
      </c>
      <c r="D797" s="8" t="s">
        <v>1220</v>
      </c>
      <c r="E797" s="52">
        <v>1751</v>
      </c>
      <c r="F797" s="13">
        <v>1162.3</v>
      </c>
      <c r="G797" s="13"/>
    </row>
    <row r="798" spans="1:7" hidden="1" x14ac:dyDescent="0.75">
      <c r="A798" s="51">
        <v>44953</v>
      </c>
      <c r="B798" s="52">
        <v>1949</v>
      </c>
      <c r="C798" s="8" t="s">
        <v>1935</v>
      </c>
      <c r="D798" s="8" t="s">
        <v>1220</v>
      </c>
      <c r="E798" s="52">
        <v>1748</v>
      </c>
      <c r="F798" s="13">
        <v>748.94</v>
      </c>
      <c r="G798" s="13"/>
    </row>
    <row r="799" spans="1:7" hidden="1" x14ac:dyDescent="0.75">
      <c r="A799" s="51">
        <v>44953</v>
      </c>
      <c r="B799" s="52">
        <v>1949</v>
      </c>
      <c r="C799" s="8" t="s">
        <v>1936</v>
      </c>
      <c r="D799" s="8" t="s">
        <v>1220</v>
      </c>
      <c r="E799" s="52">
        <v>1906</v>
      </c>
      <c r="F799" s="13">
        <v>625.04</v>
      </c>
      <c r="G799" s="13"/>
    </row>
    <row r="800" spans="1:7" hidden="1" x14ac:dyDescent="0.75">
      <c r="A800" s="51">
        <v>44953</v>
      </c>
      <c r="B800" s="52">
        <v>1949</v>
      </c>
      <c r="C800" s="8" t="s">
        <v>1937</v>
      </c>
      <c r="D800" s="8" t="s">
        <v>1220</v>
      </c>
      <c r="E800" s="52">
        <v>1751</v>
      </c>
      <c r="F800" s="13">
        <v>1215.21</v>
      </c>
      <c r="G800" s="13"/>
    </row>
    <row r="801" spans="1:7" hidden="1" x14ac:dyDescent="0.75">
      <c r="A801" s="51">
        <v>44953</v>
      </c>
      <c r="B801" s="52">
        <v>1949</v>
      </c>
      <c r="C801" s="8" t="s">
        <v>1938</v>
      </c>
      <c r="D801" s="8" t="s">
        <v>1220</v>
      </c>
      <c r="E801" s="52">
        <v>1748</v>
      </c>
      <c r="F801" s="13">
        <v>611.78</v>
      </c>
      <c r="G801" s="13"/>
    </row>
    <row r="802" spans="1:7" hidden="1" x14ac:dyDescent="0.75">
      <c r="A802" s="51">
        <v>44953</v>
      </c>
      <c r="B802" s="52">
        <v>1949</v>
      </c>
      <c r="C802" s="8" t="s">
        <v>1939</v>
      </c>
      <c r="D802" s="8" t="s">
        <v>1220</v>
      </c>
      <c r="E802" s="52">
        <v>1906</v>
      </c>
      <c r="F802" s="13">
        <v>614.59</v>
      </c>
      <c r="G802" s="13"/>
    </row>
    <row r="803" spans="1:7" hidden="1" x14ac:dyDescent="0.75">
      <c r="A803" s="51">
        <v>44953</v>
      </c>
      <c r="B803" s="52">
        <v>1949</v>
      </c>
      <c r="C803" s="8" t="s">
        <v>1940</v>
      </c>
      <c r="D803" s="8" t="s">
        <v>1220</v>
      </c>
      <c r="E803" s="52">
        <v>1752</v>
      </c>
      <c r="F803" s="13">
        <v>514.30999999999995</v>
      </c>
      <c r="G803" s="13"/>
    </row>
    <row r="804" spans="1:7" hidden="1" x14ac:dyDescent="0.75">
      <c r="A804" s="51">
        <v>44953</v>
      </c>
      <c r="B804" s="52">
        <v>1949</v>
      </c>
      <c r="C804" s="8" t="s">
        <v>1941</v>
      </c>
      <c r="D804" s="8" t="s">
        <v>1220</v>
      </c>
      <c r="E804" s="52">
        <v>1906</v>
      </c>
      <c r="F804" s="13">
        <v>287.10000000000002</v>
      </c>
      <c r="G804" s="13"/>
    </row>
    <row r="805" spans="1:7" hidden="1" x14ac:dyDescent="0.75">
      <c r="A805" s="51">
        <v>44953</v>
      </c>
      <c r="B805" s="52">
        <v>1949</v>
      </c>
      <c r="C805" s="8" t="s">
        <v>1942</v>
      </c>
      <c r="D805" s="8" t="s">
        <v>1220</v>
      </c>
      <c r="E805" s="52">
        <v>1543</v>
      </c>
      <c r="F805" s="13">
        <v>713.63</v>
      </c>
      <c r="G805" s="13"/>
    </row>
    <row r="806" spans="1:7" hidden="1" x14ac:dyDescent="0.75">
      <c r="A806" s="51">
        <v>44953</v>
      </c>
      <c r="B806" s="52">
        <v>1949</v>
      </c>
      <c r="C806" s="8" t="s">
        <v>1943</v>
      </c>
      <c r="D806" s="8" t="s">
        <v>1220</v>
      </c>
      <c r="E806" s="52">
        <v>1752</v>
      </c>
      <c r="F806" s="13">
        <v>208.5</v>
      </c>
      <c r="G806" s="13"/>
    </row>
    <row r="807" spans="1:7" hidden="1" x14ac:dyDescent="0.75">
      <c r="A807" s="51">
        <v>44953</v>
      </c>
      <c r="B807" s="52">
        <v>1949</v>
      </c>
      <c r="C807" s="8" t="s">
        <v>1944</v>
      </c>
      <c r="D807" s="8" t="s">
        <v>1220</v>
      </c>
      <c r="E807" s="52">
        <v>1747</v>
      </c>
      <c r="F807" s="13">
        <v>1433.86</v>
      </c>
      <c r="G807" s="13"/>
    </row>
    <row r="808" spans="1:7" hidden="1" x14ac:dyDescent="0.75">
      <c r="A808" s="51">
        <v>44953</v>
      </c>
      <c r="B808" s="52">
        <v>1949</v>
      </c>
      <c r="C808" s="8" t="s">
        <v>1945</v>
      </c>
      <c r="D808" s="8" t="s">
        <v>1220</v>
      </c>
      <c r="E808" s="52">
        <v>1747</v>
      </c>
      <c r="F808" s="13">
        <v>3619.06</v>
      </c>
      <c r="G808" s="13"/>
    </row>
    <row r="809" spans="1:7" hidden="1" x14ac:dyDescent="0.75">
      <c r="A809" s="51">
        <v>44953</v>
      </c>
      <c r="B809" s="52">
        <v>1949</v>
      </c>
      <c r="C809" s="8" t="s">
        <v>1946</v>
      </c>
      <c r="D809" s="8" t="s">
        <v>1220</v>
      </c>
      <c r="E809" s="52">
        <v>1747</v>
      </c>
      <c r="F809" s="13">
        <v>278.38</v>
      </c>
      <c r="G809" s="13"/>
    </row>
    <row r="810" spans="1:7" hidden="1" x14ac:dyDescent="0.75">
      <c r="A810" s="51">
        <v>44953</v>
      </c>
      <c r="B810" s="52">
        <v>1949</v>
      </c>
      <c r="C810" s="8" t="s">
        <v>1947</v>
      </c>
      <c r="D810" s="8" t="s">
        <v>1220</v>
      </c>
      <c r="E810" s="52">
        <v>1751</v>
      </c>
      <c r="F810" s="13">
        <v>1517.09</v>
      </c>
      <c r="G810" s="13"/>
    </row>
    <row r="811" spans="1:7" hidden="1" x14ac:dyDescent="0.75">
      <c r="A811" s="51">
        <v>44953</v>
      </c>
      <c r="B811" s="52">
        <v>1949</v>
      </c>
      <c r="C811" s="8" t="s">
        <v>1948</v>
      </c>
      <c r="D811" s="8" t="s">
        <v>1220</v>
      </c>
      <c r="E811" s="52">
        <v>1747</v>
      </c>
      <c r="F811" s="13">
        <v>1362.95</v>
      </c>
      <c r="G811" s="13"/>
    </row>
    <row r="812" spans="1:7" hidden="1" x14ac:dyDescent="0.75">
      <c r="A812" s="51">
        <v>44953</v>
      </c>
      <c r="B812" s="52">
        <v>1949</v>
      </c>
      <c r="C812" s="8" t="s">
        <v>1872</v>
      </c>
      <c r="D812" s="8" t="s">
        <v>1220</v>
      </c>
      <c r="E812" s="52">
        <v>374</v>
      </c>
      <c r="F812" s="13"/>
      <c r="G812" s="13">
        <v>46.96</v>
      </c>
    </row>
    <row r="813" spans="1:7" hidden="1" x14ac:dyDescent="0.75">
      <c r="A813" s="51">
        <v>44956</v>
      </c>
      <c r="B813" s="52">
        <v>1949</v>
      </c>
      <c r="C813" s="8" t="s">
        <v>1949</v>
      </c>
      <c r="D813" s="8" t="s">
        <v>1220</v>
      </c>
      <c r="E813" s="52">
        <v>1765</v>
      </c>
      <c r="F813" s="13">
        <v>2982.58</v>
      </c>
      <c r="G813" s="13"/>
    </row>
    <row r="814" spans="1:7" hidden="1" x14ac:dyDescent="0.75">
      <c r="A814" s="51">
        <v>44956</v>
      </c>
      <c r="B814" s="52">
        <v>1949</v>
      </c>
      <c r="C814" s="8" t="s">
        <v>1950</v>
      </c>
      <c r="D814" s="8" t="s">
        <v>1220</v>
      </c>
      <c r="E814" s="52">
        <v>432</v>
      </c>
      <c r="F814" s="13">
        <v>384.23</v>
      </c>
      <c r="G814" s="13"/>
    </row>
    <row r="815" spans="1:7" hidden="1" x14ac:dyDescent="0.75">
      <c r="A815" s="51">
        <v>44956</v>
      </c>
      <c r="B815" s="52">
        <v>1949</v>
      </c>
      <c r="C815" s="8" t="s">
        <v>1823</v>
      </c>
      <c r="D815" s="8" t="s">
        <v>1220</v>
      </c>
      <c r="E815" s="52">
        <v>8</v>
      </c>
      <c r="F815" s="13"/>
      <c r="G815" s="13">
        <v>120000</v>
      </c>
    </row>
    <row r="816" spans="1:7" hidden="1" x14ac:dyDescent="0.75">
      <c r="A816" s="51">
        <v>44956</v>
      </c>
      <c r="B816" s="52">
        <v>1949</v>
      </c>
      <c r="C816" s="8" t="s">
        <v>1823</v>
      </c>
      <c r="D816" s="8" t="s">
        <v>1220</v>
      </c>
      <c r="E816" s="52">
        <v>8</v>
      </c>
      <c r="F816" s="13"/>
      <c r="G816" s="13">
        <v>50000</v>
      </c>
    </row>
    <row r="817" spans="1:7" hidden="1" x14ac:dyDescent="0.75">
      <c r="A817" s="51">
        <v>44957</v>
      </c>
      <c r="B817" s="52">
        <v>1949</v>
      </c>
      <c r="C817" s="8" t="s">
        <v>1951</v>
      </c>
      <c r="D817" s="8" t="s">
        <v>1220</v>
      </c>
      <c r="E817" s="52">
        <v>1363</v>
      </c>
      <c r="F817" s="13">
        <v>1174.6500000000001</v>
      </c>
      <c r="G817" s="13"/>
    </row>
    <row r="818" spans="1:7" hidden="1" x14ac:dyDescent="0.75">
      <c r="A818" s="51">
        <v>44957</v>
      </c>
      <c r="B818" s="52">
        <v>1949</v>
      </c>
      <c r="C818" s="8" t="s">
        <v>1952</v>
      </c>
      <c r="D818" s="8" t="s">
        <v>1220</v>
      </c>
      <c r="E818" s="52">
        <v>1765</v>
      </c>
      <c r="F818" s="13">
        <v>3855.96</v>
      </c>
      <c r="G818" s="13"/>
    </row>
    <row r="819" spans="1:7" hidden="1" x14ac:dyDescent="0.75">
      <c r="A819" s="51">
        <v>44957</v>
      </c>
      <c r="B819" s="52">
        <v>1949</v>
      </c>
      <c r="C819" s="8" t="s">
        <v>1872</v>
      </c>
      <c r="D819" s="8" t="s">
        <v>1220</v>
      </c>
      <c r="E819" s="52">
        <v>374</v>
      </c>
      <c r="F819" s="13"/>
      <c r="G819" s="13">
        <v>25.77</v>
      </c>
    </row>
    <row r="820" spans="1:7" hidden="1" x14ac:dyDescent="0.75">
      <c r="A820" s="51">
        <v>44928</v>
      </c>
      <c r="B820" s="52">
        <v>1462</v>
      </c>
      <c r="C820" s="8" t="s">
        <v>984</v>
      </c>
      <c r="D820" s="8" t="s">
        <v>29</v>
      </c>
      <c r="E820" s="52">
        <v>1461</v>
      </c>
      <c r="F820" s="13"/>
      <c r="G820" s="13">
        <v>75</v>
      </c>
    </row>
    <row r="821" spans="1:7" hidden="1" x14ac:dyDescent="0.75">
      <c r="A821" s="51">
        <v>44942</v>
      </c>
      <c r="B821" s="52">
        <v>1462</v>
      </c>
      <c r="C821" s="8" t="s">
        <v>986</v>
      </c>
      <c r="D821" s="8" t="s">
        <v>29</v>
      </c>
      <c r="E821" s="52">
        <v>1461</v>
      </c>
      <c r="F821" s="13">
        <v>19000</v>
      </c>
      <c r="G821" s="13"/>
    </row>
    <row r="822" spans="1:7" hidden="1" x14ac:dyDescent="0.75">
      <c r="A822" s="51">
        <v>44942</v>
      </c>
      <c r="B822" s="52">
        <v>1462</v>
      </c>
      <c r="C822" s="8" t="s">
        <v>984</v>
      </c>
      <c r="D822" s="8" t="s">
        <v>29</v>
      </c>
      <c r="E822" s="52">
        <v>1461</v>
      </c>
      <c r="F822" s="13"/>
      <c r="G822" s="13">
        <v>18957.7</v>
      </c>
    </row>
    <row r="823" spans="1:7" hidden="1" x14ac:dyDescent="0.75">
      <c r="A823" s="51">
        <v>44957</v>
      </c>
      <c r="B823" s="52">
        <v>1462</v>
      </c>
      <c r="C823" s="8" t="s">
        <v>991</v>
      </c>
      <c r="D823" s="8" t="s">
        <v>29</v>
      </c>
      <c r="E823" s="52">
        <v>432</v>
      </c>
      <c r="F823" s="13">
        <v>53.74</v>
      </c>
      <c r="G823" s="13"/>
    </row>
    <row r="824" spans="1:7" hidden="1" x14ac:dyDescent="0.75">
      <c r="A824" s="51">
        <v>44957</v>
      </c>
      <c r="B824" s="52">
        <v>1463</v>
      </c>
      <c r="C824" s="8" t="s">
        <v>992</v>
      </c>
      <c r="D824" s="8" t="s">
        <v>31</v>
      </c>
      <c r="E824" s="52">
        <v>432</v>
      </c>
      <c r="F824" s="13">
        <v>357.1</v>
      </c>
      <c r="G824" s="13"/>
    </row>
    <row r="825" spans="1:7" hidden="1" x14ac:dyDescent="0.75">
      <c r="A825" s="51">
        <v>44957</v>
      </c>
      <c r="B825" s="52">
        <v>1599</v>
      </c>
      <c r="C825" s="8" t="s">
        <v>993</v>
      </c>
      <c r="D825" s="8" t="s">
        <v>33</v>
      </c>
      <c r="E825" s="52">
        <v>432</v>
      </c>
      <c r="F825" s="13">
        <v>76.17</v>
      </c>
      <c r="G825" s="13"/>
    </row>
    <row r="826" spans="1:7" hidden="1" x14ac:dyDescent="0.75">
      <c r="A826" s="51">
        <v>44929</v>
      </c>
      <c r="B826" s="52">
        <v>709</v>
      </c>
      <c r="C826" s="8" t="s">
        <v>1953</v>
      </c>
      <c r="D826" s="8" t="s">
        <v>39</v>
      </c>
      <c r="E826" s="52">
        <v>408</v>
      </c>
      <c r="F826" s="13">
        <v>2074.16</v>
      </c>
      <c r="G826" s="13"/>
    </row>
    <row r="827" spans="1:7" hidden="1" x14ac:dyDescent="0.75">
      <c r="A827" s="51">
        <v>44936</v>
      </c>
      <c r="B827" s="52">
        <v>709</v>
      </c>
      <c r="C827" s="8" t="s">
        <v>1954</v>
      </c>
      <c r="D827" s="8" t="s">
        <v>39</v>
      </c>
      <c r="E827" s="52">
        <v>1362</v>
      </c>
      <c r="F827" s="13"/>
      <c r="G827" s="13">
        <v>1004.4</v>
      </c>
    </row>
    <row r="828" spans="1:7" hidden="1" x14ac:dyDescent="0.75">
      <c r="A828" s="51">
        <v>44936</v>
      </c>
      <c r="B828" s="52">
        <v>709</v>
      </c>
      <c r="C828" s="8" t="s">
        <v>1954</v>
      </c>
      <c r="D828" s="8" t="s">
        <v>39</v>
      </c>
      <c r="E828" s="52">
        <v>1362</v>
      </c>
      <c r="F828" s="13"/>
      <c r="G828" s="13">
        <v>2018.52</v>
      </c>
    </row>
    <row r="829" spans="1:7" hidden="1" x14ac:dyDescent="0.75">
      <c r="A829" s="51">
        <v>44936</v>
      </c>
      <c r="B829" s="52">
        <v>709</v>
      </c>
      <c r="C829" s="8" t="s">
        <v>1954</v>
      </c>
      <c r="D829" s="8" t="s">
        <v>39</v>
      </c>
      <c r="E829" s="52">
        <v>1362</v>
      </c>
      <c r="F829" s="13"/>
      <c r="G829" s="13">
        <v>2354.12</v>
      </c>
    </row>
    <row r="830" spans="1:7" hidden="1" x14ac:dyDescent="0.75">
      <c r="A830" s="51">
        <v>44936</v>
      </c>
      <c r="B830" s="52">
        <v>709</v>
      </c>
      <c r="C830" s="8" t="s">
        <v>1954</v>
      </c>
      <c r="D830" s="8" t="s">
        <v>39</v>
      </c>
      <c r="E830" s="52">
        <v>1362</v>
      </c>
      <c r="F830" s="13"/>
      <c r="G830" s="13">
        <v>2074.16</v>
      </c>
    </row>
    <row r="831" spans="1:7" hidden="1" x14ac:dyDescent="0.75">
      <c r="A831" s="51">
        <v>44937</v>
      </c>
      <c r="B831" s="52">
        <v>709</v>
      </c>
      <c r="C831" s="8" t="s">
        <v>1955</v>
      </c>
      <c r="D831" s="8" t="s">
        <v>39</v>
      </c>
      <c r="E831" s="52">
        <v>408</v>
      </c>
      <c r="F831" s="13">
        <v>1216.2</v>
      </c>
      <c r="G831" s="13"/>
    </row>
    <row r="832" spans="1:7" hidden="1" x14ac:dyDescent="0.75">
      <c r="A832" s="51">
        <v>44940</v>
      </c>
      <c r="B832" s="52">
        <v>709</v>
      </c>
      <c r="C832" s="8" t="s">
        <v>1956</v>
      </c>
      <c r="D832" s="8" t="s">
        <v>39</v>
      </c>
      <c r="E832" s="52">
        <v>408</v>
      </c>
      <c r="F832" s="13">
        <v>667.68</v>
      </c>
      <c r="G832" s="13"/>
    </row>
    <row r="833" spans="1:7" hidden="1" x14ac:dyDescent="0.75">
      <c r="A833" s="51">
        <v>44944</v>
      </c>
      <c r="B833" s="52">
        <v>709</v>
      </c>
      <c r="C833" s="8" t="s">
        <v>1957</v>
      </c>
      <c r="D833" s="8" t="s">
        <v>39</v>
      </c>
      <c r="E833" s="52">
        <v>408</v>
      </c>
      <c r="F833" s="13">
        <v>2690.66</v>
      </c>
      <c r="G833" s="13"/>
    </row>
    <row r="834" spans="1:7" hidden="1" x14ac:dyDescent="0.75">
      <c r="A834" s="51">
        <v>44950</v>
      </c>
      <c r="B834" s="52">
        <v>709</v>
      </c>
      <c r="C834" s="8" t="s">
        <v>1958</v>
      </c>
      <c r="D834" s="8" t="s">
        <v>39</v>
      </c>
      <c r="E834" s="52">
        <v>408</v>
      </c>
      <c r="F834" s="13">
        <v>2081.44</v>
      </c>
      <c r="G834" s="13"/>
    </row>
    <row r="835" spans="1:7" hidden="1" x14ac:dyDescent="0.75">
      <c r="A835" s="51">
        <v>44950</v>
      </c>
      <c r="B835" s="52">
        <v>709</v>
      </c>
      <c r="C835" s="8" t="s">
        <v>1959</v>
      </c>
      <c r="D835" s="8" t="s">
        <v>39</v>
      </c>
      <c r="E835" s="52">
        <v>408</v>
      </c>
      <c r="F835" s="13">
        <v>1900.76</v>
      </c>
      <c r="G835" s="13"/>
    </row>
    <row r="836" spans="1:7" hidden="1" x14ac:dyDescent="0.75">
      <c r="A836" s="51">
        <v>44928</v>
      </c>
      <c r="B836" s="52">
        <v>1124</v>
      </c>
      <c r="C836" s="8" t="s">
        <v>1960</v>
      </c>
      <c r="D836" s="8" t="s">
        <v>40</v>
      </c>
      <c r="E836" s="52">
        <v>408</v>
      </c>
      <c r="F836" s="13">
        <v>2171.04</v>
      </c>
      <c r="G836" s="13"/>
    </row>
    <row r="837" spans="1:7" hidden="1" x14ac:dyDescent="0.75">
      <c r="A837" s="51">
        <v>44928</v>
      </c>
      <c r="B837" s="52">
        <v>1124</v>
      </c>
      <c r="C837" s="8" t="s">
        <v>1961</v>
      </c>
      <c r="D837" s="8" t="s">
        <v>40</v>
      </c>
      <c r="E837" s="52">
        <v>408</v>
      </c>
      <c r="F837" s="13">
        <v>255</v>
      </c>
      <c r="G837" s="13"/>
    </row>
    <row r="838" spans="1:7" hidden="1" x14ac:dyDescent="0.75">
      <c r="A838" s="51">
        <v>44929</v>
      </c>
      <c r="B838" s="52">
        <v>1124</v>
      </c>
      <c r="C838" s="8" t="s">
        <v>1962</v>
      </c>
      <c r="D838" s="8" t="s">
        <v>40</v>
      </c>
      <c r="E838" s="52">
        <v>408</v>
      </c>
      <c r="F838" s="13">
        <v>2185.16</v>
      </c>
      <c r="G838" s="13"/>
    </row>
    <row r="839" spans="1:7" hidden="1" x14ac:dyDescent="0.75">
      <c r="A839" s="51">
        <v>44930</v>
      </c>
      <c r="B839" s="52">
        <v>1124</v>
      </c>
      <c r="C839" s="8" t="s">
        <v>1963</v>
      </c>
      <c r="D839" s="8" t="s">
        <v>40</v>
      </c>
      <c r="E839" s="52">
        <v>408</v>
      </c>
      <c r="F839" s="13">
        <v>1661.93</v>
      </c>
      <c r="G839" s="13"/>
    </row>
    <row r="840" spans="1:7" hidden="1" x14ac:dyDescent="0.75">
      <c r="A840" s="51">
        <v>44931</v>
      </c>
      <c r="B840" s="52">
        <v>1124</v>
      </c>
      <c r="C840" s="8" t="s">
        <v>1964</v>
      </c>
      <c r="D840" s="8" t="s">
        <v>40</v>
      </c>
      <c r="E840" s="52">
        <v>408</v>
      </c>
      <c r="F840" s="13">
        <v>1725.72</v>
      </c>
      <c r="G840" s="13"/>
    </row>
    <row r="841" spans="1:7" hidden="1" x14ac:dyDescent="0.75">
      <c r="A841" s="51">
        <v>44932</v>
      </c>
      <c r="B841" s="52">
        <v>1124</v>
      </c>
      <c r="C841" s="8" t="s">
        <v>1965</v>
      </c>
      <c r="D841" s="8" t="s">
        <v>40</v>
      </c>
      <c r="E841" s="52">
        <v>408</v>
      </c>
      <c r="F841" s="13">
        <v>2061.08</v>
      </c>
      <c r="G841" s="13"/>
    </row>
    <row r="842" spans="1:7" hidden="1" x14ac:dyDescent="0.75">
      <c r="A842" s="51">
        <v>44933</v>
      </c>
      <c r="B842" s="52">
        <v>1124</v>
      </c>
      <c r="C842" s="8" t="s">
        <v>1966</v>
      </c>
      <c r="D842" s="8" t="s">
        <v>40</v>
      </c>
      <c r="E842" s="52">
        <v>408</v>
      </c>
      <c r="F842" s="13">
        <v>1461.62</v>
      </c>
      <c r="G842" s="13"/>
    </row>
    <row r="843" spans="1:7" hidden="1" x14ac:dyDescent="0.75">
      <c r="A843" s="51">
        <v>44935</v>
      </c>
      <c r="B843" s="52">
        <v>1124</v>
      </c>
      <c r="C843" s="8" t="s">
        <v>1967</v>
      </c>
      <c r="D843" s="8" t="s">
        <v>40</v>
      </c>
      <c r="E843" s="52">
        <v>408</v>
      </c>
      <c r="F843" s="13">
        <v>255</v>
      </c>
      <c r="G843" s="13"/>
    </row>
    <row r="844" spans="1:7" hidden="1" x14ac:dyDescent="0.75">
      <c r="A844" s="51">
        <v>44935</v>
      </c>
      <c r="B844" s="52">
        <v>1124</v>
      </c>
      <c r="C844" s="8" t="s">
        <v>1968</v>
      </c>
      <c r="D844" s="8" t="s">
        <v>40</v>
      </c>
      <c r="E844" s="52">
        <v>408</v>
      </c>
      <c r="F844" s="13">
        <v>2582.3200000000002</v>
      </c>
      <c r="G844" s="13"/>
    </row>
    <row r="845" spans="1:7" hidden="1" x14ac:dyDescent="0.75">
      <c r="A845" s="51">
        <v>44936</v>
      </c>
      <c r="B845" s="52">
        <v>1124</v>
      </c>
      <c r="C845" s="8" t="s">
        <v>1969</v>
      </c>
      <c r="D845" s="8" t="s">
        <v>40</v>
      </c>
      <c r="E845" s="52">
        <v>408</v>
      </c>
      <c r="F845" s="13">
        <v>1055.8399999999999</v>
      </c>
      <c r="G845" s="13"/>
    </row>
    <row r="846" spans="1:7" hidden="1" x14ac:dyDescent="0.75">
      <c r="A846" s="51">
        <v>44936</v>
      </c>
      <c r="B846" s="52">
        <v>1124</v>
      </c>
      <c r="C846" s="8" t="s">
        <v>1970</v>
      </c>
      <c r="D846" s="8" t="s">
        <v>40</v>
      </c>
      <c r="E846" s="52">
        <v>1362</v>
      </c>
      <c r="F846" s="13"/>
      <c r="G846" s="13">
        <v>1796.48</v>
      </c>
    </row>
    <row r="847" spans="1:7" hidden="1" x14ac:dyDescent="0.75">
      <c r="A847" s="51">
        <v>44936</v>
      </c>
      <c r="B847" s="52">
        <v>1124</v>
      </c>
      <c r="C847" s="8" t="s">
        <v>1970</v>
      </c>
      <c r="D847" s="8" t="s">
        <v>40</v>
      </c>
      <c r="E847" s="52">
        <v>1362</v>
      </c>
      <c r="F847" s="13"/>
      <c r="G847" s="13">
        <v>2131.11</v>
      </c>
    </row>
    <row r="848" spans="1:7" hidden="1" x14ac:dyDescent="0.75">
      <c r="A848" s="51">
        <v>44936</v>
      </c>
      <c r="B848" s="52">
        <v>1124</v>
      </c>
      <c r="C848" s="8" t="s">
        <v>1970</v>
      </c>
      <c r="D848" s="8" t="s">
        <v>40</v>
      </c>
      <c r="E848" s="52">
        <v>1362</v>
      </c>
      <c r="F848" s="13"/>
      <c r="G848" s="13">
        <v>240</v>
      </c>
    </row>
    <row r="849" spans="1:7" hidden="1" x14ac:dyDescent="0.75">
      <c r="A849" s="51">
        <v>44936</v>
      </c>
      <c r="B849" s="52">
        <v>1124</v>
      </c>
      <c r="C849" s="8" t="s">
        <v>1971</v>
      </c>
      <c r="D849" s="8" t="s">
        <v>40</v>
      </c>
      <c r="E849" s="52">
        <v>1362</v>
      </c>
      <c r="F849" s="13"/>
      <c r="G849" s="13">
        <v>192</v>
      </c>
    </row>
    <row r="850" spans="1:7" hidden="1" x14ac:dyDescent="0.75">
      <c r="A850" s="51">
        <v>44936</v>
      </c>
      <c r="B850" s="52">
        <v>1124</v>
      </c>
      <c r="C850" s="8" t="s">
        <v>1972</v>
      </c>
      <c r="D850" s="8" t="s">
        <v>40</v>
      </c>
      <c r="E850" s="52">
        <v>1362</v>
      </c>
      <c r="F850" s="13"/>
      <c r="G850" s="13">
        <v>3742.12</v>
      </c>
    </row>
    <row r="851" spans="1:7" hidden="1" x14ac:dyDescent="0.75">
      <c r="A851" s="51">
        <v>44936</v>
      </c>
      <c r="B851" s="52">
        <v>1124</v>
      </c>
      <c r="C851" s="8" t="s">
        <v>1970</v>
      </c>
      <c r="D851" s="8" t="s">
        <v>40</v>
      </c>
      <c r="E851" s="52">
        <v>1362</v>
      </c>
      <c r="F851" s="13"/>
      <c r="G851" s="13">
        <v>1943.94</v>
      </c>
    </row>
    <row r="852" spans="1:7" hidden="1" x14ac:dyDescent="0.75">
      <c r="A852" s="51">
        <v>44936</v>
      </c>
      <c r="B852" s="52">
        <v>1124</v>
      </c>
      <c r="C852" s="8" t="s">
        <v>1970</v>
      </c>
      <c r="D852" s="8" t="s">
        <v>40</v>
      </c>
      <c r="E852" s="52">
        <v>1362</v>
      </c>
      <c r="F852" s="13"/>
      <c r="G852" s="13">
        <v>1194.25</v>
      </c>
    </row>
    <row r="853" spans="1:7" hidden="1" x14ac:dyDescent="0.75">
      <c r="A853" s="51">
        <v>44936</v>
      </c>
      <c r="B853" s="52">
        <v>1124</v>
      </c>
      <c r="C853" s="8" t="s">
        <v>1970</v>
      </c>
      <c r="D853" s="8" t="s">
        <v>40</v>
      </c>
      <c r="E853" s="52">
        <v>1362</v>
      </c>
      <c r="F853" s="13"/>
      <c r="G853" s="13">
        <v>1652.54</v>
      </c>
    </row>
    <row r="854" spans="1:7" hidden="1" x14ac:dyDescent="0.75">
      <c r="A854" s="51">
        <v>44936</v>
      </c>
      <c r="B854" s="52">
        <v>1124</v>
      </c>
      <c r="C854" s="8" t="s">
        <v>1970</v>
      </c>
      <c r="D854" s="8" t="s">
        <v>40</v>
      </c>
      <c r="E854" s="52">
        <v>1362</v>
      </c>
      <c r="F854" s="13"/>
      <c r="G854" s="13">
        <v>2086.2600000000002</v>
      </c>
    </row>
    <row r="855" spans="1:7" hidden="1" x14ac:dyDescent="0.75">
      <c r="A855" s="51">
        <v>44936</v>
      </c>
      <c r="B855" s="52">
        <v>1124</v>
      </c>
      <c r="C855" s="8" t="s">
        <v>1970</v>
      </c>
      <c r="D855" s="8" t="s">
        <v>40</v>
      </c>
      <c r="E855" s="52">
        <v>1362</v>
      </c>
      <c r="F855" s="13"/>
      <c r="G855" s="13">
        <v>2477.31</v>
      </c>
    </row>
    <row r="856" spans="1:7" hidden="1" x14ac:dyDescent="0.75">
      <c r="A856" s="51">
        <v>44936</v>
      </c>
      <c r="B856" s="52">
        <v>1124</v>
      </c>
      <c r="C856" s="8" t="s">
        <v>1970</v>
      </c>
      <c r="D856" s="8" t="s">
        <v>40</v>
      </c>
      <c r="E856" s="52">
        <v>1362</v>
      </c>
      <c r="F856" s="13"/>
      <c r="G856" s="13">
        <v>1662.44</v>
      </c>
    </row>
    <row r="857" spans="1:7" hidden="1" x14ac:dyDescent="0.75">
      <c r="A857" s="51">
        <v>44936</v>
      </c>
      <c r="B857" s="52">
        <v>1124</v>
      </c>
      <c r="C857" s="8" t="s">
        <v>1970</v>
      </c>
      <c r="D857" s="8" t="s">
        <v>40</v>
      </c>
      <c r="E857" s="52">
        <v>1362</v>
      </c>
      <c r="F857" s="13"/>
      <c r="G857" s="13">
        <v>3373.5</v>
      </c>
    </row>
    <row r="858" spans="1:7" hidden="1" x14ac:dyDescent="0.75">
      <c r="A858" s="51">
        <v>44936</v>
      </c>
      <c r="B858" s="52">
        <v>1124</v>
      </c>
      <c r="C858" s="8" t="s">
        <v>1970</v>
      </c>
      <c r="D858" s="8" t="s">
        <v>40</v>
      </c>
      <c r="E858" s="52">
        <v>1362</v>
      </c>
      <c r="F858" s="13"/>
      <c r="G858" s="13">
        <v>255</v>
      </c>
    </row>
    <row r="859" spans="1:7" hidden="1" x14ac:dyDescent="0.75">
      <c r="A859" s="51">
        <v>44936</v>
      </c>
      <c r="B859" s="52">
        <v>1124</v>
      </c>
      <c r="C859" s="8" t="s">
        <v>1970</v>
      </c>
      <c r="D859" s="8" t="s">
        <v>40</v>
      </c>
      <c r="E859" s="52">
        <v>1362</v>
      </c>
      <c r="F859" s="13"/>
      <c r="G859" s="13">
        <v>1770.41</v>
      </c>
    </row>
    <row r="860" spans="1:7" hidden="1" x14ac:dyDescent="0.75">
      <c r="A860" s="51">
        <v>44936</v>
      </c>
      <c r="B860" s="52">
        <v>1124</v>
      </c>
      <c r="C860" s="8" t="s">
        <v>1970</v>
      </c>
      <c r="D860" s="8" t="s">
        <v>40</v>
      </c>
      <c r="E860" s="52">
        <v>1362</v>
      </c>
      <c r="F860" s="13"/>
      <c r="G860" s="13">
        <v>3001.96</v>
      </c>
    </row>
    <row r="861" spans="1:7" hidden="1" x14ac:dyDescent="0.75">
      <c r="A861" s="51">
        <v>44936</v>
      </c>
      <c r="B861" s="52">
        <v>1124</v>
      </c>
      <c r="C861" s="8" t="s">
        <v>1970</v>
      </c>
      <c r="D861" s="8" t="s">
        <v>40</v>
      </c>
      <c r="E861" s="52">
        <v>1362</v>
      </c>
      <c r="F861" s="13"/>
      <c r="G861" s="13">
        <v>3138.14</v>
      </c>
    </row>
    <row r="862" spans="1:7" hidden="1" x14ac:dyDescent="0.75">
      <c r="A862" s="51">
        <v>44936</v>
      </c>
      <c r="B862" s="52">
        <v>1124</v>
      </c>
      <c r="C862" s="8" t="s">
        <v>1970</v>
      </c>
      <c r="D862" s="8" t="s">
        <v>40</v>
      </c>
      <c r="E862" s="52">
        <v>1362</v>
      </c>
      <c r="F862" s="13"/>
      <c r="G862" s="13">
        <v>2891.61</v>
      </c>
    </row>
    <row r="863" spans="1:7" hidden="1" x14ac:dyDescent="0.75">
      <c r="A863" s="51">
        <v>44936</v>
      </c>
      <c r="B863" s="52">
        <v>1124</v>
      </c>
      <c r="C863" s="8" t="s">
        <v>1970</v>
      </c>
      <c r="D863" s="8" t="s">
        <v>40</v>
      </c>
      <c r="E863" s="52">
        <v>1362</v>
      </c>
      <c r="F863" s="13"/>
      <c r="G863" s="13">
        <v>280.5</v>
      </c>
    </row>
    <row r="864" spans="1:7" hidden="1" x14ac:dyDescent="0.75">
      <c r="A864" s="51">
        <v>44936</v>
      </c>
      <c r="B864" s="52">
        <v>1124</v>
      </c>
      <c r="C864" s="8" t="s">
        <v>1970</v>
      </c>
      <c r="D864" s="8" t="s">
        <v>40</v>
      </c>
      <c r="E864" s="52">
        <v>1362</v>
      </c>
      <c r="F864" s="13"/>
      <c r="G864" s="13">
        <v>819.03</v>
      </c>
    </row>
    <row r="865" spans="1:7" hidden="1" x14ac:dyDescent="0.75">
      <c r="A865" s="51">
        <v>44936</v>
      </c>
      <c r="B865" s="52">
        <v>1124</v>
      </c>
      <c r="C865" s="8" t="s">
        <v>1970</v>
      </c>
      <c r="D865" s="8" t="s">
        <v>40</v>
      </c>
      <c r="E865" s="52">
        <v>1362</v>
      </c>
      <c r="F865" s="13"/>
      <c r="G865" s="13">
        <v>867.67</v>
      </c>
    </row>
    <row r="866" spans="1:7" hidden="1" x14ac:dyDescent="0.75">
      <c r="A866" s="51">
        <v>44936</v>
      </c>
      <c r="B866" s="52">
        <v>1124</v>
      </c>
      <c r="C866" s="8" t="s">
        <v>1970</v>
      </c>
      <c r="D866" s="8" t="s">
        <v>40</v>
      </c>
      <c r="E866" s="52">
        <v>1362</v>
      </c>
      <c r="F866" s="13"/>
      <c r="G866" s="13">
        <v>1452.44</v>
      </c>
    </row>
    <row r="867" spans="1:7" hidden="1" x14ac:dyDescent="0.75">
      <c r="A867" s="51">
        <v>44936</v>
      </c>
      <c r="B867" s="52">
        <v>1124</v>
      </c>
      <c r="C867" s="8" t="s">
        <v>1970</v>
      </c>
      <c r="D867" s="8" t="s">
        <v>40</v>
      </c>
      <c r="E867" s="52">
        <v>1362</v>
      </c>
      <c r="F867" s="13"/>
      <c r="G867" s="13">
        <v>1935.88</v>
      </c>
    </row>
    <row r="868" spans="1:7" hidden="1" x14ac:dyDescent="0.75">
      <c r="A868" s="51">
        <v>44936</v>
      </c>
      <c r="B868" s="52">
        <v>1124</v>
      </c>
      <c r="C868" s="8" t="s">
        <v>1970</v>
      </c>
      <c r="D868" s="8" t="s">
        <v>40</v>
      </c>
      <c r="E868" s="52">
        <v>1362</v>
      </c>
      <c r="F868" s="13"/>
      <c r="G868" s="13">
        <v>2029.11</v>
      </c>
    </row>
    <row r="869" spans="1:7" hidden="1" x14ac:dyDescent="0.75">
      <c r="A869" s="51">
        <v>44936</v>
      </c>
      <c r="B869" s="52">
        <v>1124</v>
      </c>
      <c r="C869" s="8" t="s">
        <v>1970</v>
      </c>
      <c r="D869" s="8" t="s">
        <v>40</v>
      </c>
      <c r="E869" s="52">
        <v>1362</v>
      </c>
      <c r="F869" s="13"/>
      <c r="G869" s="13">
        <v>1712.38</v>
      </c>
    </row>
    <row r="870" spans="1:7" hidden="1" x14ac:dyDescent="0.75">
      <c r="A870" s="51">
        <v>44936</v>
      </c>
      <c r="B870" s="52">
        <v>1124</v>
      </c>
      <c r="C870" s="8" t="s">
        <v>1970</v>
      </c>
      <c r="D870" s="8" t="s">
        <v>40</v>
      </c>
      <c r="E870" s="52">
        <v>1362</v>
      </c>
      <c r="F870" s="13"/>
      <c r="G870" s="13">
        <v>2171.04</v>
      </c>
    </row>
    <row r="871" spans="1:7" hidden="1" x14ac:dyDescent="0.75">
      <c r="A871" s="51">
        <v>44936</v>
      </c>
      <c r="B871" s="52">
        <v>1124</v>
      </c>
      <c r="C871" s="8" t="s">
        <v>1970</v>
      </c>
      <c r="D871" s="8" t="s">
        <v>40</v>
      </c>
      <c r="E871" s="52">
        <v>1362</v>
      </c>
      <c r="F871" s="13"/>
      <c r="G871" s="13">
        <v>255</v>
      </c>
    </row>
    <row r="872" spans="1:7" hidden="1" x14ac:dyDescent="0.75">
      <c r="A872" s="51">
        <v>44936</v>
      </c>
      <c r="B872" s="52">
        <v>1124</v>
      </c>
      <c r="C872" s="8" t="s">
        <v>1970</v>
      </c>
      <c r="D872" s="8" t="s">
        <v>40</v>
      </c>
      <c r="E872" s="52">
        <v>1362</v>
      </c>
      <c r="F872" s="13"/>
      <c r="G872" s="13">
        <v>2185.16</v>
      </c>
    </row>
    <row r="873" spans="1:7" hidden="1" x14ac:dyDescent="0.75">
      <c r="A873" s="51">
        <v>44936</v>
      </c>
      <c r="B873" s="52">
        <v>1124</v>
      </c>
      <c r="C873" s="8" t="s">
        <v>1970</v>
      </c>
      <c r="D873" s="8" t="s">
        <v>40</v>
      </c>
      <c r="E873" s="52">
        <v>1362</v>
      </c>
      <c r="F873" s="13"/>
      <c r="G873" s="13">
        <v>1661.93</v>
      </c>
    </row>
    <row r="874" spans="1:7" hidden="1" x14ac:dyDescent="0.75">
      <c r="A874" s="51">
        <v>44936</v>
      </c>
      <c r="B874" s="52">
        <v>1124</v>
      </c>
      <c r="C874" s="8" t="s">
        <v>1970</v>
      </c>
      <c r="D874" s="8" t="s">
        <v>40</v>
      </c>
      <c r="E874" s="52">
        <v>1362</v>
      </c>
      <c r="F874" s="13"/>
      <c r="G874" s="13">
        <v>1725.72</v>
      </c>
    </row>
    <row r="875" spans="1:7" hidden="1" x14ac:dyDescent="0.75">
      <c r="A875" s="51">
        <v>44936</v>
      </c>
      <c r="B875" s="52">
        <v>1124</v>
      </c>
      <c r="C875" s="8" t="s">
        <v>1970</v>
      </c>
      <c r="D875" s="8" t="s">
        <v>40</v>
      </c>
      <c r="E875" s="52">
        <v>1362</v>
      </c>
      <c r="F875" s="13"/>
      <c r="G875" s="13">
        <v>2061.08</v>
      </c>
    </row>
    <row r="876" spans="1:7" hidden="1" x14ac:dyDescent="0.75">
      <c r="A876" s="51">
        <v>44936</v>
      </c>
      <c r="B876" s="52">
        <v>1124</v>
      </c>
      <c r="C876" s="8" t="s">
        <v>1970</v>
      </c>
      <c r="D876" s="8" t="s">
        <v>40</v>
      </c>
      <c r="E876" s="52">
        <v>1362</v>
      </c>
      <c r="F876" s="13"/>
      <c r="G876" s="13">
        <v>1461.62</v>
      </c>
    </row>
    <row r="877" spans="1:7" hidden="1" x14ac:dyDescent="0.75">
      <c r="A877" s="51">
        <v>44937</v>
      </c>
      <c r="B877" s="52">
        <v>1124</v>
      </c>
      <c r="C877" s="8" t="s">
        <v>1973</v>
      </c>
      <c r="D877" s="8" t="s">
        <v>40</v>
      </c>
      <c r="E877" s="52">
        <v>408</v>
      </c>
      <c r="F877" s="13">
        <v>1857.28</v>
      </c>
      <c r="G877" s="13"/>
    </row>
    <row r="878" spans="1:7" hidden="1" x14ac:dyDescent="0.75">
      <c r="A878" s="51">
        <v>44938</v>
      </c>
      <c r="B878" s="52">
        <v>1124</v>
      </c>
      <c r="C878" s="8" t="s">
        <v>1974</v>
      </c>
      <c r="D878" s="8" t="s">
        <v>40</v>
      </c>
      <c r="E878" s="52">
        <v>408</v>
      </c>
      <c r="F878" s="13">
        <v>2313.85</v>
      </c>
      <c r="G878" s="13"/>
    </row>
    <row r="879" spans="1:7" hidden="1" x14ac:dyDescent="0.75">
      <c r="A879" s="51">
        <v>44939</v>
      </c>
      <c r="B879" s="52">
        <v>1124</v>
      </c>
      <c r="C879" s="8" t="s">
        <v>1975</v>
      </c>
      <c r="D879" s="8" t="s">
        <v>40</v>
      </c>
      <c r="E879" s="52">
        <v>408</v>
      </c>
      <c r="F879" s="13">
        <v>2238.52</v>
      </c>
      <c r="G879" s="13"/>
    </row>
    <row r="880" spans="1:7" hidden="1" x14ac:dyDescent="0.75">
      <c r="A880" s="51">
        <v>44940</v>
      </c>
      <c r="B880" s="52">
        <v>1124</v>
      </c>
      <c r="C880" s="8" t="s">
        <v>1976</v>
      </c>
      <c r="D880" s="8" t="s">
        <v>40</v>
      </c>
      <c r="E880" s="52">
        <v>408</v>
      </c>
      <c r="F880" s="13">
        <v>994.84</v>
      </c>
      <c r="G880" s="13"/>
    </row>
    <row r="881" spans="1:7" hidden="1" x14ac:dyDescent="0.75">
      <c r="A881" s="51">
        <v>44942</v>
      </c>
      <c r="B881" s="52">
        <v>1124</v>
      </c>
      <c r="C881" s="8" t="s">
        <v>1977</v>
      </c>
      <c r="D881" s="8" t="s">
        <v>40</v>
      </c>
      <c r="E881" s="52">
        <v>408</v>
      </c>
      <c r="F881" s="13">
        <v>621</v>
      </c>
      <c r="G881" s="13"/>
    </row>
    <row r="882" spans="1:7" hidden="1" x14ac:dyDescent="0.75">
      <c r="A882" s="51">
        <v>44942</v>
      </c>
      <c r="B882" s="52">
        <v>1124</v>
      </c>
      <c r="C882" s="8" t="s">
        <v>1978</v>
      </c>
      <c r="D882" s="8" t="s">
        <v>40</v>
      </c>
      <c r="E882" s="52">
        <v>408</v>
      </c>
      <c r="F882" s="13">
        <v>2121.2199999999998</v>
      </c>
      <c r="G882" s="13"/>
    </row>
    <row r="883" spans="1:7" hidden="1" x14ac:dyDescent="0.75">
      <c r="A883" s="51">
        <v>44943</v>
      </c>
      <c r="B883" s="52">
        <v>1124</v>
      </c>
      <c r="C883" s="8" t="s">
        <v>1979</v>
      </c>
      <c r="D883" s="8" t="s">
        <v>40</v>
      </c>
      <c r="E883" s="52">
        <v>408</v>
      </c>
      <c r="F883" s="13">
        <v>1449.8</v>
      </c>
      <c r="G883" s="13"/>
    </row>
    <row r="884" spans="1:7" hidden="1" x14ac:dyDescent="0.75">
      <c r="A884" s="51">
        <v>44944</v>
      </c>
      <c r="B884" s="52">
        <v>1124</v>
      </c>
      <c r="C884" s="8" t="s">
        <v>1980</v>
      </c>
      <c r="D884" s="8" t="s">
        <v>40</v>
      </c>
      <c r="E884" s="52">
        <v>408</v>
      </c>
      <c r="F884" s="13">
        <v>2065.34</v>
      </c>
      <c r="G884" s="13"/>
    </row>
    <row r="885" spans="1:7" hidden="1" x14ac:dyDescent="0.75">
      <c r="A885" s="51">
        <v>44945</v>
      </c>
      <c r="B885" s="52">
        <v>1124</v>
      </c>
      <c r="C885" s="8" t="s">
        <v>1981</v>
      </c>
      <c r="D885" s="8" t="s">
        <v>40</v>
      </c>
      <c r="E885" s="52">
        <v>408</v>
      </c>
      <c r="F885" s="13">
        <v>4786.88</v>
      </c>
      <c r="G885" s="13"/>
    </row>
    <row r="886" spans="1:7" hidden="1" x14ac:dyDescent="0.75">
      <c r="A886" s="51">
        <v>44946</v>
      </c>
      <c r="B886" s="52">
        <v>1124</v>
      </c>
      <c r="C886" s="8" t="s">
        <v>1982</v>
      </c>
      <c r="D886" s="8" t="s">
        <v>40</v>
      </c>
      <c r="E886" s="52">
        <v>408</v>
      </c>
      <c r="F886" s="13">
        <v>389.91</v>
      </c>
      <c r="G886" s="13"/>
    </row>
    <row r="887" spans="1:7" hidden="1" x14ac:dyDescent="0.75">
      <c r="A887" s="51">
        <v>44947</v>
      </c>
      <c r="B887" s="52">
        <v>1124</v>
      </c>
      <c r="C887" s="8" t="s">
        <v>1983</v>
      </c>
      <c r="D887" s="8" t="s">
        <v>40</v>
      </c>
      <c r="E887" s="52">
        <v>408</v>
      </c>
      <c r="F887" s="13">
        <v>328.88</v>
      </c>
      <c r="G887" s="13"/>
    </row>
    <row r="888" spans="1:7" hidden="1" x14ac:dyDescent="0.75">
      <c r="A888" s="51">
        <v>44949</v>
      </c>
      <c r="B888" s="52">
        <v>1124</v>
      </c>
      <c r="C888" s="8" t="s">
        <v>1984</v>
      </c>
      <c r="D888" s="8" t="s">
        <v>40</v>
      </c>
      <c r="E888" s="52">
        <v>408</v>
      </c>
      <c r="F888" s="13">
        <v>427.5</v>
      </c>
      <c r="G888" s="13"/>
    </row>
    <row r="889" spans="1:7" hidden="1" x14ac:dyDescent="0.75">
      <c r="A889" s="51">
        <v>44949</v>
      </c>
      <c r="B889" s="52">
        <v>1124</v>
      </c>
      <c r="C889" s="8" t="s">
        <v>1985</v>
      </c>
      <c r="D889" s="8" t="s">
        <v>40</v>
      </c>
      <c r="E889" s="52">
        <v>408</v>
      </c>
      <c r="F889" s="13">
        <v>1256.8399999999999</v>
      </c>
      <c r="G889" s="13"/>
    </row>
    <row r="890" spans="1:7" hidden="1" x14ac:dyDescent="0.75">
      <c r="A890" s="51">
        <v>44950</v>
      </c>
      <c r="B890" s="52">
        <v>1124</v>
      </c>
      <c r="C890" s="8" t="s">
        <v>1986</v>
      </c>
      <c r="D890" s="8" t="s">
        <v>40</v>
      </c>
      <c r="E890" s="52">
        <v>408</v>
      </c>
      <c r="F890" s="13">
        <v>2030.31</v>
      </c>
      <c r="G890" s="13"/>
    </row>
    <row r="891" spans="1:7" hidden="1" x14ac:dyDescent="0.75">
      <c r="A891" s="51">
        <v>44951</v>
      </c>
      <c r="B891" s="52">
        <v>1124</v>
      </c>
      <c r="C891" s="8" t="s">
        <v>1987</v>
      </c>
      <c r="D891" s="8" t="s">
        <v>40</v>
      </c>
      <c r="E891" s="52">
        <v>408</v>
      </c>
      <c r="F891" s="13">
        <v>3070.93</v>
      </c>
      <c r="G891" s="13"/>
    </row>
    <row r="892" spans="1:7" hidden="1" x14ac:dyDescent="0.75">
      <c r="A892" s="51">
        <v>44952</v>
      </c>
      <c r="B892" s="52">
        <v>1124</v>
      </c>
      <c r="C892" s="8" t="s">
        <v>1988</v>
      </c>
      <c r="D892" s="8" t="s">
        <v>40</v>
      </c>
      <c r="E892" s="52">
        <v>408</v>
      </c>
      <c r="F892" s="13">
        <v>2811.3</v>
      </c>
      <c r="G892" s="13"/>
    </row>
    <row r="893" spans="1:7" hidden="1" x14ac:dyDescent="0.75">
      <c r="A893" s="51">
        <v>44953</v>
      </c>
      <c r="B893" s="52">
        <v>1124</v>
      </c>
      <c r="C893" s="8" t="s">
        <v>1989</v>
      </c>
      <c r="D893" s="8" t="s">
        <v>40</v>
      </c>
      <c r="E893" s="52">
        <v>408</v>
      </c>
      <c r="F893" s="13">
        <v>2426.4299999999998</v>
      </c>
      <c r="G893" s="13"/>
    </row>
    <row r="894" spans="1:7" hidden="1" x14ac:dyDescent="0.75">
      <c r="A894" s="51">
        <v>44954</v>
      </c>
      <c r="B894" s="52">
        <v>1124</v>
      </c>
      <c r="C894" s="8" t="s">
        <v>1990</v>
      </c>
      <c r="D894" s="8" t="s">
        <v>40</v>
      </c>
      <c r="E894" s="52">
        <v>408</v>
      </c>
      <c r="F894" s="13">
        <v>1566.63</v>
      </c>
      <c r="G894" s="13"/>
    </row>
    <row r="895" spans="1:7" hidden="1" x14ac:dyDescent="0.75">
      <c r="A895" s="51">
        <v>44956</v>
      </c>
      <c r="B895" s="52">
        <v>1124</v>
      </c>
      <c r="C895" s="8" t="s">
        <v>1991</v>
      </c>
      <c r="D895" s="8" t="s">
        <v>40</v>
      </c>
      <c r="E895" s="52">
        <v>408</v>
      </c>
      <c r="F895" s="13">
        <v>313.5</v>
      </c>
      <c r="G895" s="13"/>
    </row>
    <row r="896" spans="1:7" hidden="1" x14ac:dyDescent="0.75">
      <c r="A896" s="51">
        <v>44956</v>
      </c>
      <c r="B896" s="52">
        <v>1124</v>
      </c>
      <c r="C896" s="8" t="s">
        <v>1992</v>
      </c>
      <c r="D896" s="8" t="s">
        <v>40</v>
      </c>
      <c r="E896" s="52">
        <v>408</v>
      </c>
      <c r="F896" s="13">
        <v>2371.15</v>
      </c>
      <c r="G896" s="13"/>
    </row>
    <row r="897" spans="1:7" hidden="1" x14ac:dyDescent="0.75">
      <c r="A897" s="51">
        <v>44957</v>
      </c>
      <c r="B897" s="52">
        <v>1124</v>
      </c>
      <c r="C897" s="8" t="s">
        <v>1993</v>
      </c>
      <c r="D897" s="8" t="s">
        <v>40</v>
      </c>
      <c r="E897" s="52">
        <v>408</v>
      </c>
      <c r="F897" s="13">
        <v>1022.24</v>
      </c>
      <c r="G897" s="13"/>
    </row>
    <row r="898" spans="1:7" hidden="1" x14ac:dyDescent="0.75">
      <c r="A898" s="51">
        <v>44933</v>
      </c>
      <c r="B898" s="52">
        <v>724</v>
      </c>
      <c r="C898" s="8" t="s">
        <v>1994</v>
      </c>
      <c r="D898" s="8" t="s">
        <v>41</v>
      </c>
      <c r="E898" s="52">
        <v>408</v>
      </c>
      <c r="F898" s="13">
        <v>1703.12</v>
      </c>
      <c r="G898" s="13"/>
    </row>
    <row r="899" spans="1:7" hidden="1" x14ac:dyDescent="0.75">
      <c r="A899" s="51">
        <v>44936</v>
      </c>
      <c r="B899" s="52">
        <v>724</v>
      </c>
      <c r="C899" s="8" t="s">
        <v>1995</v>
      </c>
      <c r="D899" s="8" t="s">
        <v>41</v>
      </c>
      <c r="E899" s="52">
        <v>408</v>
      </c>
      <c r="F899" s="13">
        <v>2171.9899999999998</v>
      </c>
      <c r="G899" s="13"/>
    </row>
    <row r="900" spans="1:7" hidden="1" x14ac:dyDescent="0.75">
      <c r="A900" s="51">
        <v>44936</v>
      </c>
      <c r="B900" s="52">
        <v>724</v>
      </c>
      <c r="C900" s="8" t="s">
        <v>1996</v>
      </c>
      <c r="D900" s="8" t="s">
        <v>41</v>
      </c>
      <c r="E900" s="52">
        <v>1362</v>
      </c>
      <c r="F900" s="13"/>
      <c r="G900" s="13">
        <v>1634.42</v>
      </c>
    </row>
    <row r="901" spans="1:7" hidden="1" x14ac:dyDescent="0.75">
      <c r="A901" s="51">
        <v>44936</v>
      </c>
      <c r="B901" s="52">
        <v>724</v>
      </c>
      <c r="C901" s="8" t="s">
        <v>1996</v>
      </c>
      <c r="D901" s="8" t="s">
        <v>41</v>
      </c>
      <c r="E901" s="52">
        <v>1362</v>
      </c>
      <c r="F901" s="13"/>
      <c r="G901" s="13">
        <v>1050.3</v>
      </c>
    </row>
    <row r="902" spans="1:7" hidden="1" x14ac:dyDescent="0.75">
      <c r="A902" s="51">
        <v>44936</v>
      </c>
      <c r="B902" s="52">
        <v>724</v>
      </c>
      <c r="C902" s="8" t="s">
        <v>1996</v>
      </c>
      <c r="D902" s="8" t="s">
        <v>41</v>
      </c>
      <c r="E902" s="52">
        <v>1362</v>
      </c>
      <c r="F902" s="13"/>
      <c r="G902" s="13">
        <v>1703.12</v>
      </c>
    </row>
    <row r="903" spans="1:7" hidden="1" x14ac:dyDescent="0.75">
      <c r="A903" s="51">
        <v>44943</v>
      </c>
      <c r="B903" s="52">
        <v>724</v>
      </c>
      <c r="C903" s="8" t="s">
        <v>1997</v>
      </c>
      <c r="D903" s="8" t="s">
        <v>41</v>
      </c>
      <c r="E903" s="52">
        <v>408</v>
      </c>
      <c r="F903" s="13">
        <v>1206.5899999999999</v>
      </c>
      <c r="G903" s="13"/>
    </row>
    <row r="904" spans="1:7" hidden="1" x14ac:dyDescent="0.75">
      <c r="A904" s="51">
        <v>44947</v>
      </c>
      <c r="B904" s="52">
        <v>724</v>
      </c>
      <c r="C904" s="8" t="s">
        <v>1998</v>
      </c>
      <c r="D904" s="8" t="s">
        <v>41</v>
      </c>
      <c r="E904" s="52">
        <v>408</v>
      </c>
      <c r="F904" s="13">
        <v>741.46</v>
      </c>
      <c r="G904" s="13"/>
    </row>
    <row r="905" spans="1:7" hidden="1" x14ac:dyDescent="0.75">
      <c r="A905" s="51">
        <v>44954</v>
      </c>
      <c r="B905" s="52">
        <v>724</v>
      </c>
      <c r="C905" s="8" t="s">
        <v>1999</v>
      </c>
      <c r="D905" s="8" t="s">
        <v>41</v>
      </c>
      <c r="E905" s="52">
        <v>408</v>
      </c>
      <c r="F905" s="13">
        <v>1582.02</v>
      </c>
      <c r="G905" s="13"/>
    </row>
    <row r="906" spans="1:7" hidden="1" x14ac:dyDescent="0.75">
      <c r="A906" s="51">
        <v>44928</v>
      </c>
      <c r="B906" s="52">
        <v>713</v>
      </c>
      <c r="C906" s="8" t="s">
        <v>2000</v>
      </c>
      <c r="D906" s="8" t="s">
        <v>42</v>
      </c>
      <c r="E906" s="52">
        <v>408</v>
      </c>
      <c r="F906" s="13">
        <v>102.6</v>
      </c>
      <c r="G906" s="13"/>
    </row>
    <row r="907" spans="1:7" hidden="1" x14ac:dyDescent="0.75">
      <c r="A907" s="51">
        <v>44928</v>
      </c>
      <c r="B907" s="52">
        <v>713</v>
      </c>
      <c r="C907" s="8" t="s">
        <v>2001</v>
      </c>
      <c r="D907" s="8" t="s">
        <v>42</v>
      </c>
      <c r="E907" s="52">
        <v>408</v>
      </c>
      <c r="F907" s="13">
        <v>59.5</v>
      </c>
      <c r="G907" s="13"/>
    </row>
    <row r="908" spans="1:7" hidden="1" x14ac:dyDescent="0.75">
      <c r="A908" s="51">
        <v>44929</v>
      </c>
      <c r="B908" s="52">
        <v>713</v>
      </c>
      <c r="C908" s="8" t="s">
        <v>2002</v>
      </c>
      <c r="D908" s="8" t="s">
        <v>42</v>
      </c>
      <c r="E908" s="52">
        <v>408</v>
      </c>
      <c r="F908" s="13">
        <v>2178.5300000000002</v>
      </c>
      <c r="G908" s="13"/>
    </row>
    <row r="909" spans="1:7" hidden="1" x14ac:dyDescent="0.75">
      <c r="A909" s="51">
        <v>44930</v>
      </c>
      <c r="B909" s="52">
        <v>713</v>
      </c>
      <c r="C909" s="8" t="s">
        <v>2003</v>
      </c>
      <c r="D909" s="8" t="s">
        <v>42</v>
      </c>
      <c r="E909" s="52">
        <v>408</v>
      </c>
      <c r="F909" s="13">
        <v>1141.23</v>
      </c>
      <c r="G909" s="13"/>
    </row>
    <row r="910" spans="1:7" hidden="1" x14ac:dyDescent="0.75">
      <c r="A910" s="51">
        <v>44931</v>
      </c>
      <c r="B910" s="52">
        <v>713</v>
      </c>
      <c r="C910" s="8" t="s">
        <v>2004</v>
      </c>
      <c r="D910" s="8" t="s">
        <v>42</v>
      </c>
      <c r="E910" s="52">
        <v>408</v>
      </c>
      <c r="F910" s="13">
        <v>1195.56</v>
      </c>
      <c r="G910" s="13"/>
    </row>
    <row r="911" spans="1:7" hidden="1" x14ac:dyDescent="0.75">
      <c r="A911" s="51">
        <v>44932</v>
      </c>
      <c r="B911" s="52">
        <v>713</v>
      </c>
      <c r="C911" s="8" t="s">
        <v>2005</v>
      </c>
      <c r="D911" s="8" t="s">
        <v>42</v>
      </c>
      <c r="E911" s="52">
        <v>408</v>
      </c>
      <c r="F911" s="13">
        <v>237.31</v>
      </c>
      <c r="G911" s="13"/>
    </row>
    <row r="912" spans="1:7" hidden="1" x14ac:dyDescent="0.75">
      <c r="A912" s="51">
        <v>44933</v>
      </c>
      <c r="B912" s="52">
        <v>713</v>
      </c>
      <c r="C912" s="8" t="s">
        <v>2006</v>
      </c>
      <c r="D912" s="8" t="s">
        <v>42</v>
      </c>
      <c r="E912" s="52">
        <v>408</v>
      </c>
      <c r="F912" s="13">
        <v>1587.5</v>
      </c>
      <c r="G912" s="13"/>
    </row>
    <row r="913" spans="1:7" hidden="1" x14ac:dyDescent="0.75">
      <c r="A913" s="51">
        <v>44935</v>
      </c>
      <c r="B913" s="52">
        <v>713</v>
      </c>
      <c r="C913" s="8" t="s">
        <v>2007</v>
      </c>
      <c r="D913" s="8" t="s">
        <v>42</v>
      </c>
      <c r="E913" s="52">
        <v>408</v>
      </c>
      <c r="F913" s="13">
        <v>127.5</v>
      </c>
      <c r="G913" s="13"/>
    </row>
    <row r="914" spans="1:7" hidden="1" x14ac:dyDescent="0.75">
      <c r="A914" s="51">
        <v>44935</v>
      </c>
      <c r="B914" s="52">
        <v>713</v>
      </c>
      <c r="C914" s="8" t="s">
        <v>2008</v>
      </c>
      <c r="D914" s="8" t="s">
        <v>42</v>
      </c>
      <c r="E914" s="52">
        <v>408</v>
      </c>
      <c r="F914" s="13">
        <v>1057.97</v>
      </c>
      <c r="G914" s="13"/>
    </row>
    <row r="915" spans="1:7" hidden="1" x14ac:dyDescent="0.75">
      <c r="A915" s="51">
        <v>44936</v>
      </c>
      <c r="B915" s="52">
        <v>713</v>
      </c>
      <c r="C915" s="8" t="s">
        <v>2009</v>
      </c>
      <c r="D915" s="8" t="s">
        <v>42</v>
      </c>
      <c r="E915" s="52">
        <v>408</v>
      </c>
      <c r="F915" s="13">
        <v>1133.7</v>
      </c>
      <c r="G915" s="13"/>
    </row>
    <row r="916" spans="1:7" hidden="1" x14ac:dyDescent="0.75">
      <c r="A916" s="51">
        <v>44936</v>
      </c>
      <c r="B916" s="52">
        <v>713</v>
      </c>
      <c r="C916" s="8" t="s">
        <v>2010</v>
      </c>
      <c r="D916" s="8" t="s">
        <v>42</v>
      </c>
      <c r="E916" s="52">
        <v>1362</v>
      </c>
      <c r="F916" s="13"/>
      <c r="G916" s="13">
        <v>853.47</v>
      </c>
    </row>
    <row r="917" spans="1:7" hidden="1" x14ac:dyDescent="0.75">
      <c r="A917" s="51">
        <v>44936</v>
      </c>
      <c r="B917" s="52">
        <v>713</v>
      </c>
      <c r="C917" s="8" t="s">
        <v>2010</v>
      </c>
      <c r="D917" s="8" t="s">
        <v>42</v>
      </c>
      <c r="E917" s="52">
        <v>1362</v>
      </c>
      <c r="F917" s="13"/>
      <c r="G917" s="13">
        <v>72</v>
      </c>
    </row>
    <row r="918" spans="1:7" hidden="1" x14ac:dyDescent="0.75">
      <c r="A918" s="51">
        <v>44936</v>
      </c>
      <c r="B918" s="52">
        <v>713</v>
      </c>
      <c r="C918" s="8" t="s">
        <v>2010</v>
      </c>
      <c r="D918" s="8" t="s">
        <v>42</v>
      </c>
      <c r="E918" s="52">
        <v>1362</v>
      </c>
      <c r="F918" s="13"/>
      <c r="G918" s="13">
        <v>618</v>
      </c>
    </row>
    <row r="919" spans="1:7" hidden="1" x14ac:dyDescent="0.75">
      <c r="A919" s="51">
        <v>44936</v>
      </c>
      <c r="B919" s="52">
        <v>713</v>
      </c>
      <c r="C919" s="8" t="s">
        <v>2010</v>
      </c>
      <c r="D919" s="8" t="s">
        <v>42</v>
      </c>
      <c r="E919" s="52">
        <v>1362</v>
      </c>
      <c r="F919" s="13"/>
      <c r="G919" s="13">
        <v>428.21</v>
      </c>
    </row>
    <row r="920" spans="1:7" hidden="1" x14ac:dyDescent="0.75">
      <c r="A920" s="51">
        <v>44936</v>
      </c>
      <c r="B920" s="52">
        <v>713</v>
      </c>
      <c r="C920" s="8" t="s">
        <v>2010</v>
      </c>
      <c r="D920" s="8" t="s">
        <v>42</v>
      </c>
      <c r="E920" s="52">
        <v>1362</v>
      </c>
      <c r="F920" s="13"/>
      <c r="G920" s="13">
        <v>1364.56</v>
      </c>
    </row>
    <row r="921" spans="1:7" hidden="1" x14ac:dyDescent="0.75">
      <c r="A921" s="51">
        <v>44936</v>
      </c>
      <c r="B921" s="52">
        <v>713</v>
      </c>
      <c r="C921" s="8" t="s">
        <v>2010</v>
      </c>
      <c r="D921" s="8" t="s">
        <v>42</v>
      </c>
      <c r="E921" s="52">
        <v>1362</v>
      </c>
      <c r="F921" s="13"/>
      <c r="G921" s="13">
        <v>1877.19</v>
      </c>
    </row>
    <row r="922" spans="1:7" hidden="1" x14ac:dyDescent="0.75">
      <c r="A922" s="51">
        <v>44936</v>
      </c>
      <c r="B922" s="52">
        <v>713</v>
      </c>
      <c r="C922" s="8" t="s">
        <v>2010</v>
      </c>
      <c r="D922" s="8" t="s">
        <v>42</v>
      </c>
      <c r="E922" s="52">
        <v>1362</v>
      </c>
      <c r="F922" s="13"/>
      <c r="G922" s="13">
        <v>621.94000000000005</v>
      </c>
    </row>
    <row r="923" spans="1:7" hidden="1" x14ac:dyDescent="0.75">
      <c r="A923" s="51">
        <v>44936</v>
      </c>
      <c r="B923" s="52">
        <v>713</v>
      </c>
      <c r="C923" s="8" t="s">
        <v>2010</v>
      </c>
      <c r="D923" s="8" t="s">
        <v>42</v>
      </c>
      <c r="E923" s="52">
        <v>1362</v>
      </c>
      <c r="F923" s="13"/>
      <c r="G923" s="13">
        <v>336.29</v>
      </c>
    </row>
    <row r="924" spans="1:7" hidden="1" x14ac:dyDescent="0.75">
      <c r="A924" s="51">
        <v>44936</v>
      </c>
      <c r="B924" s="52">
        <v>713</v>
      </c>
      <c r="C924" s="8" t="s">
        <v>2010</v>
      </c>
      <c r="D924" s="8" t="s">
        <v>42</v>
      </c>
      <c r="E924" s="52">
        <v>1362</v>
      </c>
      <c r="F924" s="13"/>
      <c r="G924" s="13">
        <v>119</v>
      </c>
    </row>
    <row r="925" spans="1:7" hidden="1" x14ac:dyDescent="0.75">
      <c r="A925" s="51">
        <v>44936</v>
      </c>
      <c r="B925" s="52">
        <v>713</v>
      </c>
      <c r="C925" s="8" t="s">
        <v>2010</v>
      </c>
      <c r="D925" s="8" t="s">
        <v>42</v>
      </c>
      <c r="E925" s="52">
        <v>1362</v>
      </c>
      <c r="F925" s="13"/>
      <c r="G925" s="13">
        <v>281.5</v>
      </c>
    </row>
    <row r="926" spans="1:7" hidden="1" x14ac:dyDescent="0.75">
      <c r="A926" s="51">
        <v>44936</v>
      </c>
      <c r="B926" s="52">
        <v>713</v>
      </c>
      <c r="C926" s="8" t="s">
        <v>2010</v>
      </c>
      <c r="D926" s="8" t="s">
        <v>42</v>
      </c>
      <c r="E926" s="52">
        <v>1362</v>
      </c>
      <c r="F926" s="13"/>
      <c r="G926" s="13">
        <v>238.68</v>
      </c>
    </row>
    <row r="927" spans="1:7" hidden="1" x14ac:dyDescent="0.75">
      <c r="A927" s="51">
        <v>44936</v>
      </c>
      <c r="B927" s="52">
        <v>713</v>
      </c>
      <c r="C927" s="8" t="s">
        <v>2010</v>
      </c>
      <c r="D927" s="8" t="s">
        <v>42</v>
      </c>
      <c r="E927" s="52">
        <v>1362</v>
      </c>
      <c r="F927" s="13"/>
      <c r="G927" s="13">
        <v>375.18</v>
      </c>
    </row>
    <row r="928" spans="1:7" hidden="1" x14ac:dyDescent="0.75">
      <c r="A928" s="51">
        <v>44936</v>
      </c>
      <c r="B928" s="52">
        <v>713</v>
      </c>
      <c r="C928" s="8" t="s">
        <v>2010</v>
      </c>
      <c r="D928" s="8" t="s">
        <v>42</v>
      </c>
      <c r="E928" s="52">
        <v>1362</v>
      </c>
      <c r="F928" s="13"/>
      <c r="G928" s="13">
        <v>390.82</v>
      </c>
    </row>
    <row r="929" spans="1:7" hidden="1" x14ac:dyDescent="0.75">
      <c r="A929" s="51">
        <v>44936</v>
      </c>
      <c r="B929" s="52">
        <v>713</v>
      </c>
      <c r="C929" s="8" t="s">
        <v>2010</v>
      </c>
      <c r="D929" s="8" t="s">
        <v>42</v>
      </c>
      <c r="E929" s="52">
        <v>1362</v>
      </c>
      <c r="F929" s="13"/>
      <c r="G929" s="13">
        <v>658.48</v>
      </c>
    </row>
    <row r="930" spans="1:7" hidden="1" x14ac:dyDescent="0.75">
      <c r="A930" s="51">
        <v>44936</v>
      </c>
      <c r="B930" s="52">
        <v>713</v>
      </c>
      <c r="C930" s="8" t="s">
        <v>2010</v>
      </c>
      <c r="D930" s="8" t="s">
        <v>42</v>
      </c>
      <c r="E930" s="52">
        <v>1362</v>
      </c>
      <c r="F930" s="13"/>
      <c r="G930" s="13">
        <v>668.58</v>
      </c>
    </row>
    <row r="931" spans="1:7" hidden="1" x14ac:dyDescent="0.75">
      <c r="A931" s="51">
        <v>44936</v>
      </c>
      <c r="B931" s="52">
        <v>713</v>
      </c>
      <c r="C931" s="8" t="s">
        <v>2010</v>
      </c>
      <c r="D931" s="8" t="s">
        <v>42</v>
      </c>
      <c r="E931" s="52">
        <v>1362</v>
      </c>
      <c r="F931" s="13"/>
      <c r="G931" s="13">
        <v>93.5</v>
      </c>
    </row>
    <row r="932" spans="1:7" hidden="1" x14ac:dyDescent="0.75">
      <c r="A932" s="51">
        <v>44936</v>
      </c>
      <c r="B932" s="52">
        <v>713</v>
      </c>
      <c r="C932" s="8" t="s">
        <v>2010</v>
      </c>
      <c r="D932" s="8" t="s">
        <v>42</v>
      </c>
      <c r="E932" s="52">
        <v>1362</v>
      </c>
      <c r="F932" s="13"/>
      <c r="G932" s="13">
        <v>997.11</v>
      </c>
    </row>
    <row r="933" spans="1:7" hidden="1" x14ac:dyDescent="0.75">
      <c r="A933" s="51">
        <v>44936</v>
      </c>
      <c r="B933" s="52">
        <v>713</v>
      </c>
      <c r="C933" s="8" t="s">
        <v>2010</v>
      </c>
      <c r="D933" s="8" t="s">
        <v>42</v>
      </c>
      <c r="E933" s="52">
        <v>1362</v>
      </c>
      <c r="F933" s="13"/>
      <c r="G933" s="13">
        <v>1440.09</v>
      </c>
    </row>
    <row r="934" spans="1:7" hidden="1" x14ac:dyDescent="0.75">
      <c r="A934" s="51">
        <v>44936</v>
      </c>
      <c r="B934" s="52">
        <v>713</v>
      </c>
      <c r="C934" s="8" t="s">
        <v>2010</v>
      </c>
      <c r="D934" s="8" t="s">
        <v>42</v>
      </c>
      <c r="E934" s="52">
        <v>1362</v>
      </c>
      <c r="F934" s="13"/>
      <c r="G934" s="13">
        <v>129.6</v>
      </c>
    </row>
    <row r="935" spans="1:7" hidden="1" x14ac:dyDescent="0.75">
      <c r="A935" s="51">
        <v>44936</v>
      </c>
      <c r="B935" s="52">
        <v>713</v>
      </c>
      <c r="C935" s="8" t="s">
        <v>2010</v>
      </c>
      <c r="D935" s="8" t="s">
        <v>42</v>
      </c>
      <c r="E935" s="52">
        <v>1362</v>
      </c>
      <c r="F935" s="13"/>
      <c r="G935" s="13">
        <v>2058.4299999999998</v>
      </c>
    </row>
    <row r="936" spans="1:7" hidden="1" x14ac:dyDescent="0.75">
      <c r="A936" s="51">
        <v>44936</v>
      </c>
      <c r="B936" s="52">
        <v>713</v>
      </c>
      <c r="C936" s="8" t="s">
        <v>2010</v>
      </c>
      <c r="D936" s="8" t="s">
        <v>42</v>
      </c>
      <c r="E936" s="52">
        <v>1362</v>
      </c>
      <c r="F936" s="13"/>
      <c r="G936" s="13">
        <v>258.92</v>
      </c>
    </row>
    <row r="937" spans="1:7" hidden="1" x14ac:dyDescent="0.75">
      <c r="A937" s="51">
        <v>44936</v>
      </c>
      <c r="B937" s="52">
        <v>713</v>
      </c>
      <c r="C937" s="8" t="s">
        <v>2010</v>
      </c>
      <c r="D937" s="8" t="s">
        <v>42</v>
      </c>
      <c r="E937" s="52">
        <v>1362</v>
      </c>
      <c r="F937" s="13"/>
      <c r="G937" s="13">
        <v>490.58</v>
      </c>
    </row>
    <row r="938" spans="1:7" hidden="1" x14ac:dyDescent="0.75">
      <c r="A938" s="51">
        <v>44936</v>
      </c>
      <c r="B938" s="52">
        <v>713</v>
      </c>
      <c r="C938" s="8" t="s">
        <v>2010</v>
      </c>
      <c r="D938" s="8" t="s">
        <v>42</v>
      </c>
      <c r="E938" s="52">
        <v>1362</v>
      </c>
      <c r="F938" s="13"/>
      <c r="G938" s="13">
        <v>1133.71</v>
      </c>
    </row>
    <row r="939" spans="1:7" hidden="1" x14ac:dyDescent="0.75">
      <c r="A939" s="51">
        <v>44936</v>
      </c>
      <c r="B939" s="52">
        <v>713</v>
      </c>
      <c r="C939" s="8" t="s">
        <v>2010</v>
      </c>
      <c r="D939" s="8" t="s">
        <v>42</v>
      </c>
      <c r="E939" s="52">
        <v>1362</v>
      </c>
      <c r="F939" s="13"/>
      <c r="G939" s="13">
        <v>102.6</v>
      </c>
    </row>
    <row r="940" spans="1:7" hidden="1" x14ac:dyDescent="0.75">
      <c r="A940" s="51">
        <v>44936</v>
      </c>
      <c r="B940" s="52">
        <v>713</v>
      </c>
      <c r="C940" s="8" t="s">
        <v>2010</v>
      </c>
      <c r="D940" s="8" t="s">
        <v>42</v>
      </c>
      <c r="E940" s="52">
        <v>1362</v>
      </c>
      <c r="F940" s="13"/>
      <c r="G940" s="13">
        <v>59.5</v>
      </c>
    </row>
    <row r="941" spans="1:7" hidden="1" x14ac:dyDescent="0.75">
      <c r="A941" s="51">
        <v>44936</v>
      </c>
      <c r="B941" s="52">
        <v>713</v>
      </c>
      <c r="C941" s="8" t="s">
        <v>2010</v>
      </c>
      <c r="D941" s="8" t="s">
        <v>42</v>
      </c>
      <c r="E941" s="52">
        <v>1362</v>
      </c>
      <c r="F941" s="13"/>
      <c r="G941" s="13">
        <v>2178.5300000000002</v>
      </c>
    </row>
    <row r="942" spans="1:7" hidden="1" x14ac:dyDescent="0.75">
      <c r="A942" s="51">
        <v>44936</v>
      </c>
      <c r="B942" s="52">
        <v>713</v>
      </c>
      <c r="C942" s="8" t="s">
        <v>2010</v>
      </c>
      <c r="D942" s="8" t="s">
        <v>42</v>
      </c>
      <c r="E942" s="52">
        <v>1362</v>
      </c>
      <c r="F942" s="13"/>
      <c r="G942" s="13">
        <v>1141.23</v>
      </c>
    </row>
    <row r="943" spans="1:7" hidden="1" x14ac:dyDescent="0.75">
      <c r="A943" s="51">
        <v>44936</v>
      </c>
      <c r="B943" s="52">
        <v>713</v>
      </c>
      <c r="C943" s="8" t="s">
        <v>2010</v>
      </c>
      <c r="D943" s="8" t="s">
        <v>42</v>
      </c>
      <c r="E943" s="52">
        <v>1362</v>
      </c>
      <c r="F943" s="13"/>
      <c r="G943" s="13">
        <v>1195.56</v>
      </c>
    </row>
    <row r="944" spans="1:7" hidden="1" x14ac:dyDescent="0.75">
      <c r="A944" s="51">
        <v>44936</v>
      </c>
      <c r="B944" s="52">
        <v>713</v>
      </c>
      <c r="C944" s="8" t="s">
        <v>2010</v>
      </c>
      <c r="D944" s="8" t="s">
        <v>42</v>
      </c>
      <c r="E944" s="52">
        <v>1362</v>
      </c>
      <c r="F944" s="13"/>
      <c r="G944" s="13">
        <v>237.31</v>
      </c>
    </row>
    <row r="945" spans="1:7" hidden="1" x14ac:dyDescent="0.75">
      <c r="A945" s="51">
        <v>44936</v>
      </c>
      <c r="B945" s="52">
        <v>713</v>
      </c>
      <c r="C945" s="8" t="s">
        <v>2010</v>
      </c>
      <c r="D945" s="8" t="s">
        <v>42</v>
      </c>
      <c r="E945" s="52">
        <v>1362</v>
      </c>
      <c r="F945" s="13"/>
      <c r="G945" s="13">
        <v>1587.5</v>
      </c>
    </row>
    <row r="946" spans="1:7" hidden="1" x14ac:dyDescent="0.75">
      <c r="A946" s="51">
        <v>44936</v>
      </c>
      <c r="B946" s="52">
        <v>713</v>
      </c>
      <c r="C946" s="8" t="s">
        <v>2010</v>
      </c>
      <c r="D946" s="8" t="s">
        <v>42</v>
      </c>
      <c r="E946" s="52">
        <v>1362</v>
      </c>
      <c r="F946" s="13"/>
      <c r="G946" s="13">
        <v>127.5</v>
      </c>
    </row>
    <row r="947" spans="1:7" hidden="1" x14ac:dyDescent="0.75">
      <c r="A947" s="51">
        <v>44936</v>
      </c>
      <c r="B947" s="52">
        <v>713</v>
      </c>
      <c r="C947" s="8" t="s">
        <v>2010</v>
      </c>
      <c r="D947" s="8" t="s">
        <v>42</v>
      </c>
      <c r="E947" s="52">
        <v>1362</v>
      </c>
      <c r="F947" s="13"/>
      <c r="G947" s="13">
        <v>1057.97</v>
      </c>
    </row>
    <row r="948" spans="1:7" hidden="1" x14ac:dyDescent="0.75">
      <c r="A948" s="51">
        <v>44937</v>
      </c>
      <c r="B948" s="52">
        <v>713</v>
      </c>
      <c r="C948" s="8" t="s">
        <v>2011</v>
      </c>
      <c r="D948" s="8" t="s">
        <v>42</v>
      </c>
      <c r="E948" s="52">
        <v>408</v>
      </c>
      <c r="F948" s="13">
        <v>1061.51</v>
      </c>
      <c r="G948" s="13"/>
    </row>
    <row r="949" spans="1:7" hidden="1" x14ac:dyDescent="0.75">
      <c r="A949" s="51">
        <v>44938</v>
      </c>
      <c r="B949" s="52">
        <v>713</v>
      </c>
      <c r="C949" s="8" t="s">
        <v>2012</v>
      </c>
      <c r="D949" s="8" t="s">
        <v>42</v>
      </c>
      <c r="E949" s="52">
        <v>408</v>
      </c>
      <c r="F949" s="13">
        <v>699.87</v>
      </c>
      <c r="G949" s="13"/>
    </row>
    <row r="950" spans="1:7" hidden="1" x14ac:dyDescent="0.75">
      <c r="A950" s="51">
        <v>44939</v>
      </c>
      <c r="B950" s="52">
        <v>713</v>
      </c>
      <c r="C950" s="8" t="s">
        <v>2013</v>
      </c>
      <c r="D950" s="8" t="s">
        <v>42</v>
      </c>
      <c r="E950" s="52">
        <v>408</v>
      </c>
      <c r="F950" s="13">
        <v>931.23</v>
      </c>
      <c r="G950" s="13"/>
    </row>
    <row r="951" spans="1:7" hidden="1" x14ac:dyDescent="0.75">
      <c r="A951" s="51">
        <v>44940</v>
      </c>
      <c r="B951" s="52">
        <v>713</v>
      </c>
      <c r="C951" s="8" t="s">
        <v>2014</v>
      </c>
      <c r="D951" s="8" t="s">
        <v>42</v>
      </c>
      <c r="E951" s="52">
        <v>408</v>
      </c>
      <c r="F951" s="13">
        <v>427.78</v>
      </c>
      <c r="G951" s="13"/>
    </row>
    <row r="952" spans="1:7" hidden="1" x14ac:dyDescent="0.75">
      <c r="A952" s="51">
        <v>44942</v>
      </c>
      <c r="B952" s="52">
        <v>713</v>
      </c>
      <c r="C952" s="8" t="s">
        <v>2015</v>
      </c>
      <c r="D952" s="8" t="s">
        <v>42</v>
      </c>
      <c r="E952" s="52">
        <v>408</v>
      </c>
      <c r="F952" s="13">
        <v>268.8</v>
      </c>
      <c r="G952" s="13"/>
    </row>
    <row r="953" spans="1:7" hidden="1" x14ac:dyDescent="0.75">
      <c r="A953" s="51">
        <v>44942</v>
      </c>
      <c r="B953" s="52">
        <v>713</v>
      </c>
      <c r="C953" s="8" t="s">
        <v>2016</v>
      </c>
      <c r="D953" s="8" t="s">
        <v>42</v>
      </c>
      <c r="E953" s="52">
        <v>408</v>
      </c>
      <c r="F953" s="13">
        <v>1375.42</v>
      </c>
      <c r="G953" s="13"/>
    </row>
    <row r="954" spans="1:7" hidden="1" x14ac:dyDescent="0.75">
      <c r="A954" s="51">
        <v>44943</v>
      </c>
      <c r="B954" s="52">
        <v>713</v>
      </c>
      <c r="C954" s="8" t="s">
        <v>2017</v>
      </c>
      <c r="D954" s="8" t="s">
        <v>42</v>
      </c>
      <c r="E954" s="52">
        <v>408</v>
      </c>
      <c r="F954" s="13">
        <v>1080.8900000000001</v>
      </c>
      <c r="G954" s="13"/>
    </row>
    <row r="955" spans="1:7" hidden="1" x14ac:dyDescent="0.75">
      <c r="A955" s="51">
        <v>44944</v>
      </c>
      <c r="B955" s="52">
        <v>713</v>
      </c>
      <c r="C955" s="8" t="s">
        <v>2018</v>
      </c>
      <c r="D955" s="8" t="s">
        <v>42</v>
      </c>
      <c r="E955" s="52">
        <v>408</v>
      </c>
      <c r="F955" s="13">
        <v>785.89</v>
      </c>
      <c r="G955" s="13"/>
    </row>
    <row r="956" spans="1:7" hidden="1" x14ac:dyDescent="0.75">
      <c r="A956" s="51">
        <v>44945</v>
      </c>
      <c r="B956" s="52">
        <v>713</v>
      </c>
      <c r="C956" s="8" t="s">
        <v>2019</v>
      </c>
      <c r="D956" s="8" t="s">
        <v>42</v>
      </c>
      <c r="E956" s="52">
        <v>408</v>
      </c>
      <c r="F956" s="13">
        <v>791.85</v>
      </c>
      <c r="G956" s="13"/>
    </row>
    <row r="957" spans="1:7" hidden="1" x14ac:dyDescent="0.75">
      <c r="A957" s="51">
        <v>44946</v>
      </c>
      <c r="B957" s="52">
        <v>713</v>
      </c>
      <c r="C957" s="8" t="s">
        <v>2020</v>
      </c>
      <c r="D957" s="8" t="s">
        <v>42</v>
      </c>
      <c r="E957" s="52">
        <v>408</v>
      </c>
      <c r="F957" s="13">
        <v>624.24</v>
      </c>
      <c r="G957" s="13"/>
    </row>
    <row r="958" spans="1:7" hidden="1" x14ac:dyDescent="0.75">
      <c r="A958" s="51">
        <v>44947</v>
      </c>
      <c r="B958" s="52">
        <v>713</v>
      </c>
      <c r="C958" s="8" t="s">
        <v>2021</v>
      </c>
      <c r="D958" s="8" t="s">
        <v>42</v>
      </c>
      <c r="E958" s="52">
        <v>408</v>
      </c>
      <c r="F958" s="13">
        <v>1196.83</v>
      </c>
      <c r="G958" s="13"/>
    </row>
    <row r="959" spans="1:7" hidden="1" x14ac:dyDescent="0.75">
      <c r="A959" s="51">
        <v>44949</v>
      </c>
      <c r="B959" s="52">
        <v>713</v>
      </c>
      <c r="C959" s="8" t="s">
        <v>2022</v>
      </c>
      <c r="D959" s="8" t="s">
        <v>42</v>
      </c>
      <c r="E959" s="52">
        <v>408</v>
      </c>
      <c r="F959" s="13">
        <v>152</v>
      </c>
      <c r="G959" s="13"/>
    </row>
    <row r="960" spans="1:7" hidden="1" x14ac:dyDescent="0.75">
      <c r="A960" s="51">
        <v>44949</v>
      </c>
      <c r="B960" s="52">
        <v>713</v>
      </c>
      <c r="C960" s="8" t="s">
        <v>2023</v>
      </c>
      <c r="D960" s="8" t="s">
        <v>42</v>
      </c>
      <c r="E960" s="52">
        <v>408</v>
      </c>
      <c r="F960" s="13">
        <v>1318.12</v>
      </c>
      <c r="G960" s="13"/>
    </row>
    <row r="961" spans="1:7" hidden="1" x14ac:dyDescent="0.75">
      <c r="A961" s="51">
        <v>44950</v>
      </c>
      <c r="B961" s="52">
        <v>713</v>
      </c>
      <c r="C961" s="8" t="s">
        <v>2024</v>
      </c>
      <c r="D961" s="8" t="s">
        <v>42</v>
      </c>
      <c r="E961" s="52">
        <v>408</v>
      </c>
      <c r="F961" s="13">
        <v>495.42</v>
      </c>
      <c r="G961" s="13"/>
    </row>
    <row r="962" spans="1:7" hidden="1" x14ac:dyDescent="0.75">
      <c r="A962" s="51">
        <v>44951</v>
      </c>
      <c r="B962" s="52">
        <v>713</v>
      </c>
      <c r="C962" s="8" t="s">
        <v>2025</v>
      </c>
      <c r="D962" s="8" t="s">
        <v>42</v>
      </c>
      <c r="E962" s="52">
        <v>408</v>
      </c>
      <c r="F962" s="13">
        <v>808.75</v>
      </c>
      <c r="G962" s="13"/>
    </row>
    <row r="963" spans="1:7" hidden="1" x14ac:dyDescent="0.75">
      <c r="A963" s="51">
        <v>44952</v>
      </c>
      <c r="B963" s="52">
        <v>713</v>
      </c>
      <c r="C963" s="8" t="s">
        <v>2026</v>
      </c>
      <c r="D963" s="8" t="s">
        <v>42</v>
      </c>
      <c r="E963" s="52">
        <v>408</v>
      </c>
      <c r="F963" s="13">
        <v>627.99</v>
      </c>
      <c r="G963" s="13"/>
    </row>
    <row r="964" spans="1:7" hidden="1" x14ac:dyDescent="0.75">
      <c r="A964" s="51">
        <v>44953</v>
      </c>
      <c r="B964" s="52">
        <v>713</v>
      </c>
      <c r="C964" s="8" t="s">
        <v>2027</v>
      </c>
      <c r="D964" s="8" t="s">
        <v>42</v>
      </c>
      <c r="E964" s="52">
        <v>408</v>
      </c>
      <c r="F964" s="13">
        <v>824.22</v>
      </c>
      <c r="G964" s="13"/>
    </row>
    <row r="965" spans="1:7" hidden="1" x14ac:dyDescent="0.75">
      <c r="A965" s="51">
        <v>44954</v>
      </c>
      <c r="B965" s="52">
        <v>713</v>
      </c>
      <c r="C965" s="8" t="s">
        <v>2028</v>
      </c>
      <c r="D965" s="8" t="s">
        <v>42</v>
      </c>
      <c r="E965" s="52">
        <v>408</v>
      </c>
      <c r="F965" s="13">
        <v>655.87</v>
      </c>
      <c r="G965" s="13"/>
    </row>
    <row r="966" spans="1:7" hidden="1" x14ac:dyDescent="0.75">
      <c r="A966" s="51">
        <v>44956</v>
      </c>
      <c r="B966" s="52">
        <v>713</v>
      </c>
      <c r="C966" s="8" t="s">
        <v>2029</v>
      </c>
      <c r="D966" s="8" t="s">
        <v>42</v>
      </c>
      <c r="E966" s="52">
        <v>408</v>
      </c>
      <c r="F966" s="13">
        <v>1244.69</v>
      </c>
      <c r="G966" s="13"/>
    </row>
    <row r="967" spans="1:7" hidden="1" x14ac:dyDescent="0.75">
      <c r="A967" s="51">
        <v>44956</v>
      </c>
      <c r="B967" s="52">
        <v>713</v>
      </c>
      <c r="C967" s="8" t="s">
        <v>2030</v>
      </c>
      <c r="D967" s="8" t="s">
        <v>42</v>
      </c>
      <c r="E967" s="52">
        <v>408</v>
      </c>
      <c r="F967" s="13">
        <v>133</v>
      </c>
      <c r="G967" s="13"/>
    </row>
    <row r="968" spans="1:7" hidden="1" x14ac:dyDescent="0.75">
      <c r="A968" s="51">
        <v>44957</v>
      </c>
      <c r="B968" s="52">
        <v>713</v>
      </c>
      <c r="C968" s="8" t="s">
        <v>2031</v>
      </c>
      <c r="D968" s="8" t="s">
        <v>42</v>
      </c>
      <c r="E968" s="52">
        <v>408</v>
      </c>
      <c r="F968" s="13">
        <v>739.07</v>
      </c>
      <c r="G968" s="13"/>
    </row>
    <row r="969" spans="1:7" hidden="1" x14ac:dyDescent="0.75">
      <c r="A969" s="51">
        <v>44928</v>
      </c>
      <c r="B969" s="52">
        <v>711</v>
      </c>
      <c r="C969" s="8" t="s">
        <v>2032</v>
      </c>
      <c r="D969" s="8" t="s">
        <v>43</v>
      </c>
      <c r="E969" s="52">
        <v>408</v>
      </c>
      <c r="F969" s="13">
        <v>102</v>
      </c>
      <c r="G969" s="13"/>
    </row>
    <row r="970" spans="1:7" hidden="1" x14ac:dyDescent="0.75">
      <c r="A970" s="51">
        <v>44928</v>
      </c>
      <c r="B970" s="52">
        <v>711</v>
      </c>
      <c r="C970" s="8" t="s">
        <v>2033</v>
      </c>
      <c r="D970" s="8" t="s">
        <v>43</v>
      </c>
      <c r="E970" s="52">
        <v>408</v>
      </c>
      <c r="F970" s="13">
        <v>1639.61</v>
      </c>
      <c r="G970" s="13"/>
    </row>
    <row r="971" spans="1:7" hidden="1" x14ac:dyDescent="0.75">
      <c r="A971" s="51">
        <v>44929</v>
      </c>
      <c r="B971" s="52">
        <v>711</v>
      </c>
      <c r="C971" s="8" t="s">
        <v>2034</v>
      </c>
      <c r="D971" s="8" t="s">
        <v>43</v>
      </c>
      <c r="E971" s="52">
        <v>408</v>
      </c>
      <c r="F971" s="13">
        <v>1577.91</v>
      </c>
      <c r="G971" s="13"/>
    </row>
    <row r="972" spans="1:7" hidden="1" x14ac:dyDescent="0.75">
      <c r="A972" s="51">
        <v>44930</v>
      </c>
      <c r="B972" s="52">
        <v>711</v>
      </c>
      <c r="C972" s="8" t="s">
        <v>2035</v>
      </c>
      <c r="D972" s="8" t="s">
        <v>43</v>
      </c>
      <c r="E972" s="52">
        <v>408</v>
      </c>
      <c r="F972" s="13">
        <v>1451.05</v>
      </c>
      <c r="G972" s="13"/>
    </row>
    <row r="973" spans="1:7" hidden="1" x14ac:dyDescent="0.75">
      <c r="A973" s="51">
        <v>44931</v>
      </c>
      <c r="B973" s="52">
        <v>711</v>
      </c>
      <c r="C973" s="8" t="s">
        <v>2036</v>
      </c>
      <c r="D973" s="8" t="s">
        <v>43</v>
      </c>
      <c r="E973" s="52">
        <v>408</v>
      </c>
      <c r="F973" s="13">
        <v>1688.86</v>
      </c>
      <c r="G973" s="13"/>
    </row>
    <row r="974" spans="1:7" hidden="1" x14ac:dyDescent="0.75">
      <c r="A974" s="51">
        <v>44932</v>
      </c>
      <c r="B974" s="52">
        <v>711</v>
      </c>
      <c r="C974" s="8" t="s">
        <v>2037</v>
      </c>
      <c r="D974" s="8" t="s">
        <v>43</v>
      </c>
      <c r="E974" s="52">
        <v>408</v>
      </c>
      <c r="F974" s="13">
        <v>2109.35</v>
      </c>
      <c r="G974" s="13"/>
    </row>
    <row r="975" spans="1:7" hidden="1" x14ac:dyDescent="0.75">
      <c r="A975" s="51">
        <v>44933</v>
      </c>
      <c r="B975" s="52">
        <v>711</v>
      </c>
      <c r="C975" s="8" t="s">
        <v>2038</v>
      </c>
      <c r="D975" s="8" t="s">
        <v>43</v>
      </c>
      <c r="E975" s="52">
        <v>408</v>
      </c>
      <c r="F975" s="13">
        <v>1920.12</v>
      </c>
      <c r="G975" s="13"/>
    </row>
    <row r="976" spans="1:7" hidden="1" x14ac:dyDescent="0.75">
      <c r="A976" s="51">
        <v>44935</v>
      </c>
      <c r="B976" s="52">
        <v>711</v>
      </c>
      <c r="C976" s="8" t="s">
        <v>2039</v>
      </c>
      <c r="D976" s="8" t="s">
        <v>43</v>
      </c>
      <c r="E976" s="52">
        <v>408</v>
      </c>
      <c r="F976" s="13">
        <v>102</v>
      </c>
      <c r="G976" s="13"/>
    </row>
    <row r="977" spans="1:7" hidden="1" x14ac:dyDescent="0.75">
      <c r="A977" s="51">
        <v>44935</v>
      </c>
      <c r="B977" s="52">
        <v>711</v>
      </c>
      <c r="C977" s="8" t="s">
        <v>2040</v>
      </c>
      <c r="D977" s="8" t="s">
        <v>43</v>
      </c>
      <c r="E977" s="52">
        <v>408</v>
      </c>
      <c r="F977" s="13">
        <v>3169.39</v>
      </c>
      <c r="G977" s="13"/>
    </row>
    <row r="978" spans="1:7" hidden="1" x14ac:dyDescent="0.75">
      <c r="A978" s="51">
        <v>44936</v>
      </c>
      <c r="B978" s="52">
        <v>711</v>
      </c>
      <c r="C978" s="8" t="s">
        <v>2041</v>
      </c>
      <c r="D978" s="8" t="s">
        <v>43</v>
      </c>
      <c r="E978" s="52">
        <v>408</v>
      </c>
      <c r="F978" s="13">
        <v>1983.85</v>
      </c>
      <c r="G978" s="13"/>
    </row>
    <row r="979" spans="1:7" hidden="1" x14ac:dyDescent="0.75">
      <c r="A979" s="51">
        <v>44936</v>
      </c>
      <c r="B979" s="52">
        <v>711</v>
      </c>
      <c r="C979" s="8" t="s">
        <v>2042</v>
      </c>
      <c r="D979" s="8" t="s">
        <v>43</v>
      </c>
      <c r="E979" s="52">
        <v>1362</v>
      </c>
      <c r="F979" s="13"/>
      <c r="G979" s="13">
        <v>3980.34</v>
      </c>
    </row>
    <row r="980" spans="1:7" hidden="1" x14ac:dyDescent="0.75">
      <c r="A980" s="51">
        <v>44936</v>
      </c>
      <c r="B980" s="52">
        <v>711</v>
      </c>
      <c r="C980" s="8" t="s">
        <v>2042</v>
      </c>
      <c r="D980" s="8" t="s">
        <v>43</v>
      </c>
      <c r="E980" s="52">
        <v>1362</v>
      </c>
      <c r="F980" s="13"/>
      <c r="G980" s="13">
        <v>2500.44</v>
      </c>
    </row>
    <row r="981" spans="1:7" hidden="1" x14ac:dyDescent="0.75">
      <c r="A981" s="51">
        <v>44936</v>
      </c>
      <c r="B981" s="52">
        <v>711</v>
      </c>
      <c r="C981" s="8" t="s">
        <v>2042</v>
      </c>
      <c r="D981" s="8" t="s">
        <v>43</v>
      </c>
      <c r="E981" s="52">
        <v>1362</v>
      </c>
      <c r="F981" s="13"/>
      <c r="G981" s="13">
        <v>80</v>
      </c>
    </row>
    <row r="982" spans="1:7" hidden="1" x14ac:dyDescent="0.75">
      <c r="A982" s="51">
        <v>44936</v>
      </c>
      <c r="B982" s="52">
        <v>711</v>
      </c>
      <c r="C982" s="8" t="s">
        <v>2042</v>
      </c>
      <c r="D982" s="8" t="s">
        <v>43</v>
      </c>
      <c r="E982" s="52">
        <v>1362</v>
      </c>
      <c r="F982" s="13"/>
      <c r="G982" s="13">
        <v>2829.8</v>
      </c>
    </row>
    <row r="983" spans="1:7" hidden="1" x14ac:dyDescent="0.75">
      <c r="A983" s="51">
        <v>44936</v>
      </c>
      <c r="B983" s="52">
        <v>711</v>
      </c>
      <c r="C983" s="8" t="s">
        <v>2042</v>
      </c>
      <c r="D983" s="8" t="s">
        <v>43</v>
      </c>
      <c r="E983" s="52">
        <v>1362</v>
      </c>
      <c r="F983" s="13"/>
      <c r="G983" s="13">
        <v>2701</v>
      </c>
    </row>
    <row r="984" spans="1:7" hidden="1" x14ac:dyDescent="0.75">
      <c r="A984" s="51">
        <v>44936</v>
      </c>
      <c r="B984" s="52">
        <v>711</v>
      </c>
      <c r="C984" s="8" t="s">
        <v>2042</v>
      </c>
      <c r="D984" s="8" t="s">
        <v>43</v>
      </c>
      <c r="E984" s="52">
        <v>1362</v>
      </c>
      <c r="F984" s="13"/>
      <c r="G984" s="13">
        <v>3441.73</v>
      </c>
    </row>
    <row r="985" spans="1:7" hidden="1" x14ac:dyDescent="0.75">
      <c r="A985" s="51">
        <v>44936</v>
      </c>
      <c r="B985" s="52">
        <v>711</v>
      </c>
      <c r="C985" s="8" t="s">
        <v>2042</v>
      </c>
      <c r="D985" s="8" t="s">
        <v>43</v>
      </c>
      <c r="E985" s="52">
        <v>1362</v>
      </c>
      <c r="F985" s="13"/>
      <c r="G985" s="13">
        <v>2747.51</v>
      </c>
    </row>
    <row r="986" spans="1:7" hidden="1" x14ac:dyDescent="0.75">
      <c r="A986" s="51">
        <v>44936</v>
      </c>
      <c r="B986" s="52">
        <v>711</v>
      </c>
      <c r="C986" s="8" t="s">
        <v>2042</v>
      </c>
      <c r="D986" s="8" t="s">
        <v>43</v>
      </c>
      <c r="E986" s="52">
        <v>1362</v>
      </c>
      <c r="F986" s="13"/>
      <c r="G986" s="13">
        <v>2277.4699999999998</v>
      </c>
    </row>
    <row r="987" spans="1:7" hidden="1" x14ac:dyDescent="0.75">
      <c r="A987" s="51">
        <v>44936</v>
      </c>
      <c r="B987" s="52">
        <v>711</v>
      </c>
      <c r="C987" s="8" t="s">
        <v>2042</v>
      </c>
      <c r="D987" s="8" t="s">
        <v>43</v>
      </c>
      <c r="E987" s="52">
        <v>1362</v>
      </c>
      <c r="F987" s="13"/>
      <c r="G987" s="13">
        <v>102</v>
      </c>
    </row>
    <row r="988" spans="1:7" hidden="1" x14ac:dyDescent="0.75">
      <c r="A988" s="51">
        <v>44936</v>
      </c>
      <c r="B988" s="52">
        <v>711</v>
      </c>
      <c r="C988" s="8" t="s">
        <v>2042</v>
      </c>
      <c r="D988" s="8" t="s">
        <v>43</v>
      </c>
      <c r="E988" s="52">
        <v>1362</v>
      </c>
      <c r="F988" s="13"/>
      <c r="G988" s="13">
        <v>3432.55</v>
      </c>
    </row>
    <row r="989" spans="1:7" hidden="1" x14ac:dyDescent="0.75">
      <c r="A989" s="51">
        <v>44936</v>
      </c>
      <c r="B989" s="52">
        <v>711</v>
      </c>
      <c r="C989" s="8" t="s">
        <v>2042</v>
      </c>
      <c r="D989" s="8" t="s">
        <v>43</v>
      </c>
      <c r="E989" s="52">
        <v>1362</v>
      </c>
      <c r="F989" s="13"/>
      <c r="G989" s="13">
        <v>2864.91</v>
      </c>
    </row>
    <row r="990" spans="1:7" hidden="1" x14ac:dyDescent="0.75">
      <c r="A990" s="51">
        <v>44936</v>
      </c>
      <c r="B990" s="52">
        <v>711</v>
      </c>
      <c r="C990" s="8" t="s">
        <v>2042</v>
      </c>
      <c r="D990" s="8" t="s">
        <v>43</v>
      </c>
      <c r="E990" s="52">
        <v>1362</v>
      </c>
      <c r="F990" s="13"/>
      <c r="G990" s="13">
        <v>4173.87</v>
      </c>
    </row>
    <row r="991" spans="1:7" hidden="1" x14ac:dyDescent="0.75">
      <c r="A991" s="51">
        <v>44936</v>
      </c>
      <c r="B991" s="52">
        <v>711</v>
      </c>
      <c r="C991" s="8" t="s">
        <v>2042</v>
      </c>
      <c r="D991" s="8" t="s">
        <v>43</v>
      </c>
      <c r="E991" s="52">
        <v>1362</v>
      </c>
      <c r="F991" s="13"/>
      <c r="G991" s="13">
        <v>3099.83</v>
      </c>
    </row>
    <row r="992" spans="1:7" hidden="1" x14ac:dyDescent="0.75">
      <c r="A992" s="51">
        <v>44936</v>
      </c>
      <c r="B992" s="52">
        <v>711</v>
      </c>
      <c r="C992" s="8" t="s">
        <v>2042</v>
      </c>
      <c r="D992" s="8" t="s">
        <v>43</v>
      </c>
      <c r="E992" s="52">
        <v>1362</v>
      </c>
      <c r="F992" s="13"/>
      <c r="G992" s="13">
        <v>5084.4399999999996</v>
      </c>
    </row>
    <row r="993" spans="1:7" hidden="1" x14ac:dyDescent="0.75">
      <c r="A993" s="51">
        <v>44936</v>
      </c>
      <c r="B993" s="52">
        <v>711</v>
      </c>
      <c r="C993" s="8" t="s">
        <v>2042</v>
      </c>
      <c r="D993" s="8" t="s">
        <v>43</v>
      </c>
      <c r="E993" s="52">
        <v>1362</v>
      </c>
      <c r="F993" s="13"/>
      <c r="G993" s="13">
        <v>3380.5</v>
      </c>
    </row>
    <row r="994" spans="1:7" hidden="1" x14ac:dyDescent="0.75">
      <c r="A994" s="51">
        <v>44936</v>
      </c>
      <c r="B994" s="52">
        <v>711</v>
      </c>
      <c r="C994" s="8" t="s">
        <v>2042</v>
      </c>
      <c r="D994" s="8" t="s">
        <v>43</v>
      </c>
      <c r="E994" s="52">
        <v>1362</v>
      </c>
      <c r="F994" s="13"/>
      <c r="G994" s="13">
        <v>102</v>
      </c>
    </row>
    <row r="995" spans="1:7" hidden="1" x14ac:dyDescent="0.75">
      <c r="A995" s="51">
        <v>44936</v>
      </c>
      <c r="B995" s="52">
        <v>711</v>
      </c>
      <c r="C995" s="8" t="s">
        <v>2042</v>
      </c>
      <c r="D995" s="8" t="s">
        <v>43</v>
      </c>
      <c r="E995" s="52">
        <v>1362</v>
      </c>
      <c r="F995" s="13"/>
      <c r="G995" s="13">
        <v>1890.28</v>
      </c>
    </row>
    <row r="996" spans="1:7" hidden="1" x14ac:dyDescent="0.75">
      <c r="A996" s="51">
        <v>44936</v>
      </c>
      <c r="B996" s="52">
        <v>711</v>
      </c>
      <c r="C996" s="8" t="s">
        <v>2042</v>
      </c>
      <c r="D996" s="8" t="s">
        <v>43</v>
      </c>
      <c r="E996" s="52">
        <v>1362</v>
      </c>
      <c r="F996" s="13"/>
      <c r="G996" s="13">
        <v>1652.63</v>
      </c>
    </row>
    <row r="997" spans="1:7" hidden="1" x14ac:dyDescent="0.75">
      <c r="A997" s="51">
        <v>44936</v>
      </c>
      <c r="B997" s="52">
        <v>711</v>
      </c>
      <c r="C997" s="8" t="s">
        <v>2042</v>
      </c>
      <c r="D997" s="8" t="s">
        <v>43</v>
      </c>
      <c r="E997" s="52">
        <v>1362</v>
      </c>
      <c r="F997" s="13"/>
      <c r="G997" s="13">
        <v>2821.68</v>
      </c>
    </row>
    <row r="998" spans="1:7" hidden="1" x14ac:dyDescent="0.75">
      <c r="A998" s="51">
        <v>44936</v>
      </c>
      <c r="B998" s="52">
        <v>711</v>
      </c>
      <c r="C998" s="8" t="s">
        <v>2042</v>
      </c>
      <c r="D998" s="8" t="s">
        <v>43</v>
      </c>
      <c r="E998" s="52">
        <v>1362</v>
      </c>
      <c r="F998" s="13"/>
      <c r="G998" s="13">
        <v>2321.94</v>
      </c>
    </row>
    <row r="999" spans="1:7" hidden="1" x14ac:dyDescent="0.75">
      <c r="A999" s="51">
        <v>44936</v>
      </c>
      <c r="B999" s="52">
        <v>711</v>
      </c>
      <c r="C999" s="8" t="s">
        <v>2042</v>
      </c>
      <c r="D999" s="8" t="s">
        <v>43</v>
      </c>
      <c r="E999" s="52">
        <v>1362</v>
      </c>
      <c r="F999" s="13"/>
      <c r="G999" s="13">
        <v>2782.13</v>
      </c>
    </row>
    <row r="1000" spans="1:7" hidden="1" x14ac:dyDescent="0.75">
      <c r="A1000" s="51">
        <v>44936</v>
      </c>
      <c r="B1000" s="52">
        <v>711</v>
      </c>
      <c r="C1000" s="8" t="s">
        <v>2042</v>
      </c>
      <c r="D1000" s="8" t="s">
        <v>43</v>
      </c>
      <c r="E1000" s="52">
        <v>1362</v>
      </c>
      <c r="F1000" s="13"/>
      <c r="G1000" s="13">
        <v>1588.34</v>
      </c>
    </row>
    <row r="1001" spans="1:7" hidden="1" x14ac:dyDescent="0.75">
      <c r="A1001" s="51">
        <v>44936</v>
      </c>
      <c r="B1001" s="52">
        <v>711</v>
      </c>
      <c r="C1001" s="8" t="s">
        <v>2042</v>
      </c>
      <c r="D1001" s="8" t="s">
        <v>43</v>
      </c>
      <c r="E1001" s="52">
        <v>1362</v>
      </c>
      <c r="F1001" s="13"/>
      <c r="G1001" s="13">
        <v>102</v>
      </c>
    </row>
    <row r="1002" spans="1:7" hidden="1" x14ac:dyDescent="0.75">
      <c r="A1002" s="51">
        <v>44936</v>
      </c>
      <c r="B1002" s="52">
        <v>711</v>
      </c>
      <c r="C1002" s="8" t="s">
        <v>2042</v>
      </c>
      <c r="D1002" s="8" t="s">
        <v>43</v>
      </c>
      <c r="E1002" s="52">
        <v>1362</v>
      </c>
      <c r="F1002" s="13"/>
      <c r="G1002" s="13">
        <v>1639.61</v>
      </c>
    </row>
    <row r="1003" spans="1:7" hidden="1" x14ac:dyDescent="0.75">
      <c r="A1003" s="51">
        <v>44936</v>
      </c>
      <c r="B1003" s="52">
        <v>711</v>
      </c>
      <c r="C1003" s="8" t="s">
        <v>2042</v>
      </c>
      <c r="D1003" s="8" t="s">
        <v>43</v>
      </c>
      <c r="E1003" s="52">
        <v>1362</v>
      </c>
      <c r="F1003" s="13"/>
      <c r="G1003" s="13">
        <v>1577.91</v>
      </c>
    </row>
    <row r="1004" spans="1:7" hidden="1" x14ac:dyDescent="0.75">
      <c r="A1004" s="51">
        <v>44936</v>
      </c>
      <c r="B1004" s="52">
        <v>711</v>
      </c>
      <c r="C1004" s="8" t="s">
        <v>2042</v>
      </c>
      <c r="D1004" s="8" t="s">
        <v>43</v>
      </c>
      <c r="E1004" s="52">
        <v>1362</v>
      </c>
      <c r="F1004" s="13"/>
      <c r="G1004" s="13">
        <v>1451.05</v>
      </c>
    </row>
    <row r="1005" spans="1:7" hidden="1" x14ac:dyDescent="0.75">
      <c r="A1005" s="51">
        <v>44936</v>
      </c>
      <c r="B1005" s="52">
        <v>711</v>
      </c>
      <c r="C1005" s="8" t="s">
        <v>2042</v>
      </c>
      <c r="D1005" s="8" t="s">
        <v>43</v>
      </c>
      <c r="E1005" s="52">
        <v>1362</v>
      </c>
      <c r="F1005" s="13"/>
      <c r="G1005" s="13">
        <v>1688.86</v>
      </c>
    </row>
    <row r="1006" spans="1:7" hidden="1" x14ac:dyDescent="0.75">
      <c r="A1006" s="51">
        <v>44936</v>
      </c>
      <c r="B1006" s="52">
        <v>711</v>
      </c>
      <c r="C1006" s="8" t="s">
        <v>2042</v>
      </c>
      <c r="D1006" s="8" t="s">
        <v>43</v>
      </c>
      <c r="E1006" s="52">
        <v>1362</v>
      </c>
      <c r="F1006" s="13"/>
      <c r="G1006" s="13">
        <v>2109.35</v>
      </c>
    </row>
    <row r="1007" spans="1:7" hidden="1" x14ac:dyDescent="0.75">
      <c r="A1007" s="51">
        <v>44936</v>
      </c>
      <c r="B1007" s="52">
        <v>711</v>
      </c>
      <c r="C1007" s="8" t="s">
        <v>2042</v>
      </c>
      <c r="D1007" s="8" t="s">
        <v>43</v>
      </c>
      <c r="E1007" s="52">
        <v>1362</v>
      </c>
      <c r="F1007" s="13"/>
      <c r="G1007" s="13">
        <v>1920.12</v>
      </c>
    </row>
    <row r="1008" spans="1:7" hidden="1" x14ac:dyDescent="0.75">
      <c r="A1008" s="51">
        <v>44937</v>
      </c>
      <c r="B1008" s="52">
        <v>711</v>
      </c>
      <c r="C1008" s="8" t="s">
        <v>2043</v>
      </c>
      <c r="D1008" s="8" t="s">
        <v>43</v>
      </c>
      <c r="E1008" s="52">
        <v>408</v>
      </c>
      <c r="F1008" s="13">
        <v>2501.75</v>
      </c>
      <c r="G1008" s="13"/>
    </row>
    <row r="1009" spans="1:7" hidden="1" x14ac:dyDescent="0.75">
      <c r="A1009" s="51">
        <v>44938</v>
      </c>
      <c r="B1009" s="52">
        <v>711</v>
      </c>
      <c r="C1009" s="8" t="s">
        <v>2044</v>
      </c>
      <c r="D1009" s="8" t="s">
        <v>43</v>
      </c>
      <c r="E1009" s="52">
        <v>408</v>
      </c>
      <c r="F1009" s="13">
        <v>2676.21</v>
      </c>
      <c r="G1009" s="13"/>
    </row>
    <row r="1010" spans="1:7" hidden="1" x14ac:dyDescent="0.75">
      <c r="A1010" s="51">
        <v>44939</v>
      </c>
      <c r="B1010" s="52">
        <v>711</v>
      </c>
      <c r="C1010" s="8" t="s">
        <v>2045</v>
      </c>
      <c r="D1010" s="8" t="s">
        <v>43</v>
      </c>
      <c r="E1010" s="52">
        <v>408</v>
      </c>
      <c r="F1010" s="13">
        <v>1730.83</v>
      </c>
      <c r="G1010" s="13"/>
    </row>
    <row r="1011" spans="1:7" hidden="1" x14ac:dyDescent="0.75">
      <c r="A1011" s="51">
        <v>44940</v>
      </c>
      <c r="B1011" s="52">
        <v>711</v>
      </c>
      <c r="C1011" s="8" t="s">
        <v>2046</v>
      </c>
      <c r="D1011" s="8" t="s">
        <v>43</v>
      </c>
      <c r="E1011" s="52">
        <v>408</v>
      </c>
      <c r="F1011" s="13">
        <v>1732.25</v>
      </c>
      <c r="G1011" s="13"/>
    </row>
    <row r="1012" spans="1:7" hidden="1" x14ac:dyDescent="0.75">
      <c r="A1012" s="51">
        <v>44942</v>
      </c>
      <c r="B1012" s="52">
        <v>711</v>
      </c>
      <c r="C1012" s="8" t="s">
        <v>2047</v>
      </c>
      <c r="D1012" s="8" t="s">
        <v>43</v>
      </c>
      <c r="E1012" s="52">
        <v>408</v>
      </c>
      <c r="F1012" s="13">
        <v>418.6</v>
      </c>
      <c r="G1012" s="13"/>
    </row>
    <row r="1013" spans="1:7" hidden="1" x14ac:dyDescent="0.75">
      <c r="A1013" s="51">
        <v>44942</v>
      </c>
      <c r="B1013" s="52">
        <v>711</v>
      </c>
      <c r="C1013" s="8" t="s">
        <v>2048</v>
      </c>
      <c r="D1013" s="8" t="s">
        <v>43</v>
      </c>
      <c r="E1013" s="52">
        <v>408</v>
      </c>
      <c r="F1013" s="13">
        <v>3798.32</v>
      </c>
      <c r="G1013" s="13"/>
    </row>
    <row r="1014" spans="1:7" hidden="1" x14ac:dyDescent="0.75">
      <c r="A1014" s="51">
        <v>44943</v>
      </c>
      <c r="B1014" s="52">
        <v>711</v>
      </c>
      <c r="C1014" s="8" t="s">
        <v>2049</v>
      </c>
      <c r="D1014" s="8" t="s">
        <v>43</v>
      </c>
      <c r="E1014" s="52">
        <v>408</v>
      </c>
      <c r="F1014" s="13">
        <v>2626.76</v>
      </c>
      <c r="G1014" s="13"/>
    </row>
    <row r="1015" spans="1:7" hidden="1" x14ac:dyDescent="0.75">
      <c r="A1015" s="51">
        <v>44943</v>
      </c>
      <c r="B1015" s="52">
        <v>711</v>
      </c>
      <c r="C1015" s="8" t="s">
        <v>2050</v>
      </c>
      <c r="D1015" s="8" t="s">
        <v>43</v>
      </c>
      <c r="E1015" s="52">
        <v>408</v>
      </c>
      <c r="F1015" s="13">
        <v>74</v>
      </c>
      <c r="G1015" s="13"/>
    </row>
    <row r="1016" spans="1:7" hidden="1" x14ac:dyDescent="0.75">
      <c r="A1016" s="51">
        <v>44944</v>
      </c>
      <c r="B1016" s="52">
        <v>711</v>
      </c>
      <c r="C1016" s="8" t="s">
        <v>2051</v>
      </c>
      <c r="D1016" s="8" t="s">
        <v>43</v>
      </c>
      <c r="E1016" s="52">
        <v>408</v>
      </c>
      <c r="F1016" s="13">
        <v>2923.31</v>
      </c>
      <c r="G1016" s="13"/>
    </row>
    <row r="1017" spans="1:7" hidden="1" x14ac:dyDescent="0.75">
      <c r="A1017" s="51">
        <v>44945</v>
      </c>
      <c r="B1017" s="52">
        <v>711</v>
      </c>
      <c r="C1017" s="8" t="s">
        <v>2052</v>
      </c>
      <c r="D1017" s="8" t="s">
        <v>43</v>
      </c>
      <c r="E1017" s="52">
        <v>408</v>
      </c>
      <c r="F1017" s="13">
        <v>1928.08</v>
      </c>
      <c r="G1017" s="13"/>
    </row>
    <row r="1018" spans="1:7" hidden="1" x14ac:dyDescent="0.75">
      <c r="A1018" s="51">
        <v>44946</v>
      </c>
      <c r="B1018" s="52">
        <v>711</v>
      </c>
      <c r="C1018" s="8" t="s">
        <v>2053</v>
      </c>
      <c r="D1018" s="8" t="s">
        <v>43</v>
      </c>
      <c r="E1018" s="52">
        <v>408</v>
      </c>
      <c r="F1018" s="13">
        <v>2001.25</v>
      </c>
      <c r="G1018" s="13"/>
    </row>
    <row r="1019" spans="1:7" hidden="1" x14ac:dyDescent="0.75">
      <c r="A1019" s="51">
        <v>44947</v>
      </c>
      <c r="B1019" s="52">
        <v>711</v>
      </c>
      <c r="C1019" s="8" t="s">
        <v>2054</v>
      </c>
      <c r="D1019" s="8" t="s">
        <v>43</v>
      </c>
      <c r="E1019" s="52">
        <v>408</v>
      </c>
      <c r="F1019" s="13">
        <v>1429.39</v>
      </c>
      <c r="G1019" s="13"/>
    </row>
    <row r="1020" spans="1:7" hidden="1" x14ac:dyDescent="0.75">
      <c r="A1020" s="51">
        <v>44949</v>
      </c>
      <c r="B1020" s="52">
        <v>711</v>
      </c>
      <c r="C1020" s="8" t="s">
        <v>2055</v>
      </c>
      <c r="D1020" s="8" t="s">
        <v>43</v>
      </c>
      <c r="E1020" s="52">
        <v>408</v>
      </c>
      <c r="F1020" s="13">
        <v>152</v>
      </c>
      <c r="G1020" s="13"/>
    </row>
    <row r="1021" spans="1:7" hidden="1" x14ac:dyDescent="0.75">
      <c r="A1021" s="51">
        <v>44949</v>
      </c>
      <c r="B1021" s="52">
        <v>711</v>
      </c>
      <c r="C1021" s="8" t="s">
        <v>2056</v>
      </c>
      <c r="D1021" s="8" t="s">
        <v>43</v>
      </c>
      <c r="E1021" s="52">
        <v>408</v>
      </c>
      <c r="F1021" s="13">
        <v>1852.37</v>
      </c>
      <c r="G1021" s="13"/>
    </row>
    <row r="1022" spans="1:7" hidden="1" x14ac:dyDescent="0.75">
      <c r="A1022" s="51">
        <v>44950</v>
      </c>
      <c r="B1022" s="52">
        <v>711</v>
      </c>
      <c r="C1022" s="8" t="s">
        <v>2057</v>
      </c>
      <c r="D1022" s="8" t="s">
        <v>43</v>
      </c>
      <c r="E1022" s="52">
        <v>408</v>
      </c>
      <c r="F1022" s="13">
        <v>2770.65</v>
      </c>
      <c r="G1022" s="13"/>
    </row>
    <row r="1023" spans="1:7" hidden="1" x14ac:dyDescent="0.75">
      <c r="A1023" s="51">
        <v>44951</v>
      </c>
      <c r="B1023" s="52">
        <v>711</v>
      </c>
      <c r="C1023" s="8" t="s">
        <v>2058</v>
      </c>
      <c r="D1023" s="8" t="s">
        <v>43</v>
      </c>
      <c r="E1023" s="52">
        <v>408</v>
      </c>
      <c r="F1023" s="13">
        <v>2361.33</v>
      </c>
      <c r="G1023" s="13"/>
    </row>
    <row r="1024" spans="1:7" hidden="1" x14ac:dyDescent="0.75">
      <c r="A1024" s="51">
        <v>44952</v>
      </c>
      <c r="B1024" s="52">
        <v>711</v>
      </c>
      <c r="C1024" s="8" t="s">
        <v>2059</v>
      </c>
      <c r="D1024" s="8" t="s">
        <v>43</v>
      </c>
      <c r="E1024" s="52">
        <v>408</v>
      </c>
      <c r="F1024" s="13">
        <v>1620.23</v>
      </c>
      <c r="G1024" s="13"/>
    </row>
    <row r="1025" spans="1:7" hidden="1" x14ac:dyDescent="0.75">
      <c r="A1025" s="51">
        <v>44953</v>
      </c>
      <c r="B1025" s="52">
        <v>711</v>
      </c>
      <c r="C1025" s="8" t="s">
        <v>2060</v>
      </c>
      <c r="D1025" s="8" t="s">
        <v>43</v>
      </c>
      <c r="E1025" s="52">
        <v>408</v>
      </c>
      <c r="F1025" s="13">
        <v>1398.54</v>
      </c>
      <c r="G1025" s="13"/>
    </row>
    <row r="1026" spans="1:7" hidden="1" x14ac:dyDescent="0.75">
      <c r="A1026" s="51">
        <v>44954</v>
      </c>
      <c r="B1026" s="52">
        <v>711</v>
      </c>
      <c r="C1026" s="8" t="s">
        <v>2061</v>
      </c>
      <c r="D1026" s="8" t="s">
        <v>43</v>
      </c>
      <c r="E1026" s="52">
        <v>408</v>
      </c>
      <c r="F1026" s="13">
        <v>824.33</v>
      </c>
      <c r="G1026" s="13"/>
    </row>
    <row r="1027" spans="1:7" hidden="1" x14ac:dyDescent="0.75">
      <c r="A1027" s="51">
        <v>44956</v>
      </c>
      <c r="B1027" s="52">
        <v>711</v>
      </c>
      <c r="C1027" s="8" t="s">
        <v>2062</v>
      </c>
      <c r="D1027" s="8" t="s">
        <v>43</v>
      </c>
      <c r="E1027" s="52">
        <v>408</v>
      </c>
      <c r="F1027" s="13">
        <v>104.5</v>
      </c>
      <c r="G1027" s="13"/>
    </row>
    <row r="1028" spans="1:7" hidden="1" x14ac:dyDescent="0.75">
      <c r="A1028" s="51">
        <v>44956</v>
      </c>
      <c r="B1028" s="52">
        <v>711</v>
      </c>
      <c r="C1028" s="8" t="s">
        <v>2063</v>
      </c>
      <c r="D1028" s="8" t="s">
        <v>43</v>
      </c>
      <c r="E1028" s="52">
        <v>408</v>
      </c>
      <c r="F1028" s="13">
        <v>1252.67</v>
      </c>
      <c r="G1028" s="13"/>
    </row>
    <row r="1029" spans="1:7" hidden="1" x14ac:dyDescent="0.75">
      <c r="A1029" s="51">
        <v>44957</v>
      </c>
      <c r="B1029" s="52">
        <v>711</v>
      </c>
      <c r="C1029" s="8" t="s">
        <v>2064</v>
      </c>
      <c r="D1029" s="8" t="s">
        <v>43</v>
      </c>
      <c r="E1029" s="52">
        <v>408</v>
      </c>
      <c r="F1029" s="13">
        <v>996.05</v>
      </c>
      <c r="G1029" s="13"/>
    </row>
    <row r="1030" spans="1:7" hidden="1" x14ac:dyDescent="0.75">
      <c r="A1030" s="51">
        <v>44930</v>
      </c>
      <c r="B1030" s="52">
        <v>1729</v>
      </c>
      <c r="C1030" s="8" t="s">
        <v>2065</v>
      </c>
      <c r="D1030" s="8" t="s">
        <v>44</v>
      </c>
      <c r="E1030" s="52">
        <v>408</v>
      </c>
      <c r="F1030" s="13">
        <v>912.84</v>
      </c>
      <c r="G1030" s="13"/>
    </row>
    <row r="1031" spans="1:7" hidden="1" x14ac:dyDescent="0.75">
      <c r="A1031" s="51">
        <v>44936</v>
      </c>
      <c r="B1031" s="52">
        <v>1729</v>
      </c>
      <c r="C1031" s="8" t="s">
        <v>2066</v>
      </c>
      <c r="D1031" s="8" t="s">
        <v>44</v>
      </c>
      <c r="E1031" s="52">
        <v>1362</v>
      </c>
      <c r="F1031" s="13"/>
      <c r="G1031" s="13">
        <v>1318.28</v>
      </c>
    </row>
    <row r="1032" spans="1:7" hidden="1" x14ac:dyDescent="0.75">
      <c r="A1032" s="51">
        <v>44936</v>
      </c>
      <c r="B1032" s="52">
        <v>1729</v>
      </c>
      <c r="C1032" s="8" t="s">
        <v>2066</v>
      </c>
      <c r="D1032" s="8" t="s">
        <v>44</v>
      </c>
      <c r="E1032" s="52">
        <v>1362</v>
      </c>
      <c r="F1032" s="13"/>
      <c r="G1032" s="13">
        <v>912.84</v>
      </c>
    </row>
    <row r="1033" spans="1:7" hidden="1" x14ac:dyDescent="0.75">
      <c r="A1033" s="51">
        <v>44938</v>
      </c>
      <c r="B1033" s="52">
        <v>1729</v>
      </c>
      <c r="C1033" s="8" t="s">
        <v>2067</v>
      </c>
      <c r="D1033" s="8" t="s">
        <v>44</v>
      </c>
      <c r="E1033" s="52">
        <v>408</v>
      </c>
      <c r="F1033" s="13">
        <v>901.36</v>
      </c>
      <c r="G1033" s="13"/>
    </row>
    <row r="1034" spans="1:7" hidden="1" x14ac:dyDescent="0.75">
      <c r="A1034" s="51">
        <v>44944</v>
      </c>
      <c r="B1034" s="52">
        <v>1729</v>
      </c>
      <c r="C1034" s="8" t="s">
        <v>2068</v>
      </c>
      <c r="D1034" s="8" t="s">
        <v>44</v>
      </c>
      <c r="E1034" s="52">
        <v>408</v>
      </c>
      <c r="F1034" s="13">
        <v>872.2</v>
      </c>
      <c r="G1034" s="13"/>
    </row>
    <row r="1035" spans="1:7" hidden="1" x14ac:dyDescent="0.75">
      <c r="A1035" s="51">
        <v>44950</v>
      </c>
      <c r="B1035" s="52">
        <v>1729</v>
      </c>
      <c r="C1035" s="8" t="s">
        <v>2069</v>
      </c>
      <c r="D1035" s="8" t="s">
        <v>44</v>
      </c>
      <c r="E1035" s="52">
        <v>408</v>
      </c>
      <c r="F1035" s="13">
        <v>1029.46</v>
      </c>
      <c r="G1035" s="13"/>
    </row>
    <row r="1036" spans="1:7" hidden="1" x14ac:dyDescent="0.75">
      <c r="A1036" s="51">
        <v>44928</v>
      </c>
      <c r="B1036" s="52">
        <v>710</v>
      </c>
      <c r="C1036" s="8" t="s">
        <v>2070</v>
      </c>
      <c r="D1036" s="8" t="s">
        <v>47</v>
      </c>
      <c r="E1036" s="52">
        <v>408</v>
      </c>
      <c r="F1036" s="13">
        <v>611.26</v>
      </c>
      <c r="G1036" s="13"/>
    </row>
    <row r="1037" spans="1:7" hidden="1" x14ac:dyDescent="0.75">
      <c r="A1037" s="51">
        <v>44928</v>
      </c>
      <c r="B1037" s="52">
        <v>710</v>
      </c>
      <c r="C1037" s="8" t="s">
        <v>2071</v>
      </c>
      <c r="D1037" s="8" t="s">
        <v>47</v>
      </c>
      <c r="E1037" s="52">
        <v>408</v>
      </c>
      <c r="F1037" s="13">
        <v>68</v>
      </c>
      <c r="G1037" s="13"/>
    </row>
    <row r="1038" spans="1:7" hidden="1" x14ac:dyDescent="0.75">
      <c r="A1038" s="51">
        <v>44929</v>
      </c>
      <c r="B1038" s="52">
        <v>710</v>
      </c>
      <c r="C1038" s="8" t="s">
        <v>2072</v>
      </c>
      <c r="D1038" s="8" t="s">
        <v>47</v>
      </c>
      <c r="E1038" s="52">
        <v>408</v>
      </c>
      <c r="F1038" s="13">
        <v>867</v>
      </c>
      <c r="G1038" s="13"/>
    </row>
    <row r="1039" spans="1:7" hidden="1" x14ac:dyDescent="0.75">
      <c r="A1039" s="51">
        <v>44930</v>
      </c>
      <c r="B1039" s="52">
        <v>710</v>
      </c>
      <c r="C1039" s="8" t="s">
        <v>2073</v>
      </c>
      <c r="D1039" s="8" t="s">
        <v>47</v>
      </c>
      <c r="E1039" s="52">
        <v>408</v>
      </c>
      <c r="F1039" s="13">
        <v>1435.93</v>
      </c>
      <c r="G1039" s="13"/>
    </row>
    <row r="1040" spans="1:7" hidden="1" x14ac:dyDescent="0.75">
      <c r="A1040" s="51">
        <v>44931</v>
      </c>
      <c r="B1040" s="52">
        <v>710</v>
      </c>
      <c r="C1040" s="8" t="s">
        <v>2074</v>
      </c>
      <c r="D1040" s="8" t="s">
        <v>47</v>
      </c>
      <c r="E1040" s="52">
        <v>408</v>
      </c>
      <c r="F1040" s="13">
        <v>1280.97</v>
      </c>
      <c r="G1040" s="13"/>
    </row>
    <row r="1041" spans="1:7" hidden="1" x14ac:dyDescent="0.75">
      <c r="A1041" s="51">
        <v>44932</v>
      </c>
      <c r="B1041" s="52">
        <v>710</v>
      </c>
      <c r="C1041" s="8" t="s">
        <v>2075</v>
      </c>
      <c r="D1041" s="8" t="s">
        <v>47</v>
      </c>
      <c r="E1041" s="52">
        <v>408</v>
      </c>
      <c r="F1041" s="13">
        <v>1193.04</v>
      </c>
      <c r="G1041" s="13"/>
    </row>
    <row r="1042" spans="1:7" hidden="1" x14ac:dyDescent="0.75">
      <c r="A1042" s="51">
        <v>44933</v>
      </c>
      <c r="B1042" s="52">
        <v>710</v>
      </c>
      <c r="C1042" s="8" t="s">
        <v>2076</v>
      </c>
      <c r="D1042" s="8" t="s">
        <v>47</v>
      </c>
      <c r="E1042" s="52">
        <v>408</v>
      </c>
      <c r="F1042" s="13">
        <v>307</v>
      </c>
      <c r="G1042" s="13"/>
    </row>
    <row r="1043" spans="1:7" hidden="1" x14ac:dyDescent="0.75">
      <c r="A1043" s="51">
        <v>44935</v>
      </c>
      <c r="B1043" s="52">
        <v>710</v>
      </c>
      <c r="C1043" s="8" t="s">
        <v>2077</v>
      </c>
      <c r="D1043" s="8" t="s">
        <v>47</v>
      </c>
      <c r="E1043" s="52">
        <v>408</v>
      </c>
      <c r="F1043" s="13">
        <v>280.5</v>
      </c>
      <c r="G1043" s="13"/>
    </row>
    <row r="1044" spans="1:7" hidden="1" x14ac:dyDescent="0.75">
      <c r="A1044" s="51">
        <v>44935</v>
      </c>
      <c r="B1044" s="52">
        <v>710</v>
      </c>
      <c r="C1044" s="8" t="s">
        <v>2078</v>
      </c>
      <c r="D1044" s="8" t="s">
        <v>47</v>
      </c>
      <c r="E1044" s="52">
        <v>408</v>
      </c>
      <c r="F1044" s="13">
        <v>796.88</v>
      </c>
      <c r="G1044" s="13"/>
    </row>
    <row r="1045" spans="1:7" hidden="1" x14ac:dyDescent="0.75">
      <c r="A1045" s="51">
        <v>44936</v>
      </c>
      <c r="B1045" s="52">
        <v>710</v>
      </c>
      <c r="C1045" s="8" t="s">
        <v>2079</v>
      </c>
      <c r="D1045" s="8" t="s">
        <v>47</v>
      </c>
      <c r="E1045" s="52">
        <v>408</v>
      </c>
      <c r="F1045" s="13">
        <v>445.56</v>
      </c>
      <c r="G1045" s="13"/>
    </row>
    <row r="1046" spans="1:7" hidden="1" x14ac:dyDescent="0.75">
      <c r="A1046" s="51">
        <v>44936</v>
      </c>
      <c r="B1046" s="52">
        <v>710</v>
      </c>
      <c r="C1046" s="8" t="s">
        <v>2080</v>
      </c>
      <c r="D1046" s="8" t="s">
        <v>47</v>
      </c>
      <c r="E1046" s="52">
        <v>1362</v>
      </c>
      <c r="F1046" s="13"/>
      <c r="G1046" s="13">
        <v>609.52</v>
      </c>
    </row>
    <row r="1047" spans="1:7" hidden="1" x14ac:dyDescent="0.75">
      <c r="A1047" s="51">
        <v>44936</v>
      </c>
      <c r="B1047" s="52">
        <v>710</v>
      </c>
      <c r="C1047" s="8" t="s">
        <v>2080</v>
      </c>
      <c r="D1047" s="8" t="s">
        <v>47</v>
      </c>
      <c r="E1047" s="52">
        <v>1362</v>
      </c>
      <c r="F1047" s="13"/>
      <c r="G1047" s="13">
        <v>1396.13</v>
      </c>
    </row>
    <row r="1048" spans="1:7" hidden="1" x14ac:dyDescent="0.75">
      <c r="A1048" s="51">
        <v>44936</v>
      </c>
      <c r="B1048" s="52">
        <v>710</v>
      </c>
      <c r="C1048" s="8" t="s">
        <v>2080</v>
      </c>
      <c r="D1048" s="8" t="s">
        <v>47</v>
      </c>
      <c r="E1048" s="52">
        <v>1362</v>
      </c>
      <c r="F1048" s="13"/>
      <c r="G1048" s="13">
        <v>1050.68</v>
      </c>
    </row>
    <row r="1049" spans="1:7" hidden="1" x14ac:dyDescent="0.75">
      <c r="A1049" s="51">
        <v>44936</v>
      </c>
      <c r="B1049" s="52">
        <v>710</v>
      </c>
      <c r="C1049" s="8" t="s">
        <v>2080</v>
      </c>
      <c r="D1049" s="8" t="s">
        <v>47</v>
      </c>
      <c r="E1049" s="52">
        <v>1362</v>
      </c>
      <c r="F1049" s="13"/>
      <c r="G1049" s="13">
        <v>168</v>
      </c>
    </row>
    <row r="1050" spans="1:7" hidden="1" x14ac:dyDescent="0.75">
      <c r="A1050" s="51">
        <v>44936</v>
      </c>
      <c r="B1050" s="52">
        <v>710</v>
      </c>
      <c r="C1050" s="8" t="s">
        <v>2080</v>
      </c>
      <c r="D1050" s="8" t="s">
        <v>47</v>
      </c>
      <c r="E1050" s="52">
        <v>1362</v>
      </c>
      <c r="F1050" s="13"/>
      <c r="G1050" s="13">
        <v>1151.24</v>
      </c>
    </row>
    <row r="1051" spans="1:7" hidden="1" x14ac:dyDescent="0.75">
      <c r="A1051" s="51">
        <v>44936</v>
      </c>
      <c r="B1051" s="52">
        <v>710</v>
      </c>
      <c r="C1051" s="8" t="s">
        <v>2080</v>
      </c>
      <c r="D1051" s="8" t="s">
        <v>47</v>
      </c>
      <c r="E1051" s="52">
        <v>1362</v>
      </c>
      <c r="F1051" s="13"/>
      <c r="G1051" s="13">
        <v>702.45</v>
      </c>
    </row>
    <row r="1052" spans="1:7" hidden="1" x14ac:dyDescent="0.75">
      <c r="A1052" s="51">
        <v>44936</v>
      </c>
      <c r="B1052" s="52">
        <v>710</v>
      </c>
      <c r="C1052" s="8" t="s">
        <v>2080</v>
      </c>
      <c r="D1052" s="8" t="s">
        <v>47</v>
      </c>
      <c r="E1052" s="52">
        <v>1362</v>
      </c>
      <c r="F1052" s="13"/>
      <c r="G1052" s="13">
        <v>975.68</v>
      </c>
    </row>
    <row r="1053" spans="1:7" hidden="1" x14ac:dyDescent="0.75">
      <c r="A1053" s="51">
        <v>44936</v>
      </c>
      <c r="B1053" s="52">
        <v>710</v>
      </c>
      <c r="C1053" s="8" t="s">
        <v>2080</v>
      </c>
      <c r="D1053" s="8" t="s">
        <v>47</v>
      </c>
      <c r="E1053" s="52">
        <v>1362</v>
      </c>
      <c r="F1053" s="13"/>
      <c r="G1053" s="13">
        <v>1250.46</v>
      </c>
    </row>
    <row r="1054" spans="1:7" hidden="1" x14ac:dyDescent="0.75">
      <c r="A1054" s="51">
        <v>44936</v>
      </c>
      <c r="B1054" s="52">
        <v>710</v>
      </c>
      <c r="C1054" s="8" t="s">
        <v>2080</v>
      </c>
      <c r="D1054" s="8" t="s">
        <v>47</v>
      </c>
      <c r="E1054" s="52">
        <v>1362</v>
      </c>
      <c r="F1054" s="13"/>
      <c r="G1054" s="13">
        <v>1169.8399999999999</v>
      </c>
    </row>
    <row r="1055" spans="1:7" hidden="1" x14ac:dyDescent="0.75">
      <c r="A1055" s="51">
        <v>44936</v>
      </c>
      <c r="B1055" s="52">
        <v>710</v>
      </c>
      <c r="C1055" s="8" t="s">
        <v>2080</v>
      </c>
      <c r="D1055" s="8" t="s">
        <v>47</v>
      </c>
      <c r="E1055" s="52">
        <v>1362</v>
      </c>
      <c r="F1055" s="13"/>
      <c r="G1055" s="13">
        <v>76.5</v>
      </c>
    </row>
    <row r="1056" spans="1:7" hidden="1" x14ac:dyDescent="0.75">
      <c r="A1056" s="51">
        <v>44936</v>
      </c>
      <c r="B1056" s="52">
        <v>710</v>
      </c>
      <c r="C1056" s="8" t="s">
        <v>2080</v>
      </c>
      <c r="D1056" s="8" t="s">
        <v>47</v>
      </c>
      <c r="E1056" s="52">
        <v>1362</v>
      </c>
      <c r="F1056" s="13"/>
      <c r="G1056" s="13">
        <v>1994.31</v>
      </c>
    </row>
    <row r="1057" spans="1:7" hidden="1" x14ac:dyDescent="0.75">
      <c r="A1057" s="51">
        <v>44936</v>
      </c>
      <c r="B1057" s="52">
        <v>710</v>
      </c>
      <c r="C1057" s="8" t="s">
        <v>2080</v>
      </c>
      <c r="D1057" s="8" t="s">
        <v>47</v>
      </c>
      <c r="E1057" s="52">
        <v>1362</v>
      </c>
      <c r="F1057" s="13"/>
      <c r="G1057" s="13">
        <v>1692.73</v>
      </c>
    </row>
    <row r="1058" spans="1:7" hidden="1" x14ac:dyDescent="0.75">
      <c r="A1058" s="51">
        <v>44936</v>
      </c>
      <c r="B1058" s="52">
        <v>710</v>
      </c>
      <c r="C1058" s="8" t="s">
        <v>2080</v>
      </c>
      <c r="D1058" s="8" t="s">
        <v>47</v>
      </c>
      <c r="E1058" s="52">
        <v>1362</v>
      </c>
      <c r="F1058" s="13"/>
      <c r="G1058" s="13">
        <v>1058.71</v>
      </c>
    </row>
    <row r="1059" spans="1:7" hidden="1" x14ac:dyDescent="0.75">
      <c r="A1059" s="51">
        <v>44936</v>
      </c>
      <c r="B1059" s="52">
        <v>710</v>
      </c>
      <c r="C1059" s="8" t="s">
        <v>2080</v>
      </c>
      <c r="D1059" s="8" t="s">
        <v>47</v>
      </c>
      <c r="E1059" s="52">
        <v>1362</v>
      </c>
      <c r="F1059" s="13"/>
      <c r="G1059" s="13">
        <v>750.15</v>
      </c>
    </row>
    <row r="1060" spans="1:7" hidden="1" x14ac:dyDescent="0.75">
      <c r="A1060" s="51">
        <v>44936</v>
      </c>
      <c r="B1060" s="52">
        <v>710</v>
      </c>
      <c r="C1060" s="8" t="s">
        <v>2080</v>
      </c>
      <c r="D1060" s="8" t="s">
        <v>47</v>
      </c>
      <c r="E1060" s="52">
        <v>1362</v>
      </c>
      <c r="F1060" s="13"/>
      <c r="G1060" s="13">
        <v>1354.76</v>
      </c>
    </row>
    <row r="1061" spans="1:7" hidden="1" x14ac:dyDescent="0.75">
      <c r="A1061" s="51">
        <v>44936</v>
      </c>
      <c r="B1061" s="52">
        <v>710</v>
      </c>
      <c r="C1061" s="8" t="s">
        <v>2080</v>
      </c>
      <c r="D1061" s="8" t="s">
        <v>47</v>
      </c>
      <c r="E1061" s="52">
        <v>1362</v>
      </c>
      <c r="F1061" s="13"/>
      <c r="G1061" s="13">
        <v>1345.98</v>
      </c>
    </row>
    <row r="1062" spans="1:7" hidden="1" x14ac:dyDescent="0.75">
      <c r="A1062" s="51">
        <v>44936</v>
      </c>
      <c r="B1062" s="52">
        <v>710</v>
      </c>
      <c r="C1062" s="8" t="s">
        <v>2080</v>
      </c>
      <c r="D1062" s="8" t="s">
        <v>47</v>
      </c>
      <c r="E1062" s="52">
        <v>1362</v>
      </c>
      <c r="F1062" s="13"/>
      <c r="G1062" s="13">
        <v>153</v>
      </c>
    </row>
    <row r="1063" spans="1:7" hidden="1" x14ac:dyDescent="0.75">
      <c r="A1063" s="51">
        <v>44936</v>
      </c>
      <c r="B1063" s="52">
        <v>710</v>
      </c>
      <c r="C1063" s="8" t="s">
        <v>2080</v>
      </c>
      <c r="D1063" s="8" t="s">
        <v>47</v>
      </c>
      <c r="E1063" s="52">
        <v>1362</v>
      </c>
      <c r="F1063" s="13"/>
      <c r="G1063" s="13">
        <v>1112.8</v>
      </c>
    </row>
    <row r="1064" spans="1:7" hidden="1" x14ac:dyDescent="0.75">
      <c r="A1064" s="51">
        <v>44936</v>
      </c>
      <c r="B1064" s="52">
        <v>710</v>
      </c>
      <c r="C1064" s="8" t="s">
        <v>2080</v>
      </c>
      <c r="D1064" s="8" t="s">
        <v>47</v>
      </c>
      <c r="E1064" s="52">
        <v>1362</v>
      </c>
      <c r="F1064" s="13"/>
      <c r="G1064" s="13">
        <v>982.08</v>
      </c>
    </row>
    <row r="1065" spans="1:7" hidden="1" x14ac:dyDescent="0.75">
      <c r="A1065" s="51">
        <v>44936</v>
      </c>
      <c r="B1065" s="52">
        <v>710</v>
      </c>
      <c r="C1065" s="8" t="s">
        <v>2080</v>
      </c>
      <c r="D1065" s="8" t="s">
        <v>47</v>
      </c>
      <c r="E1065" s="52">
        <v>1362</v>
      </c>
      <c r="F1065" s="13"/>
      <c r="G1065" s="13">
        <v>1376.7</v>
      </c>
    </row>
    <row r="1066" spans="1:7" hidden="1" x14ac:dyDescent="0.75">
      <c r="A1066" s="51">
        <v>44936</v>
      </c>
      <c r="B1066" s="52">
        <v>710</v>
      </c>
      <c r="C1066" s="8" t="s">
        <v>2080</v>
      </c>
      <c r="D1066" s="8" t="s">
        <v>47</v>
      </c>
      <c r="E1066" s="52">
        <v>1362</v>
      </c>
      <c r="F1066" s="13"/>
      <c r="G1066" s="13">
        <v>1345.02</v>
      </c>
    </row>
    <row r="1067" spans="1:7" hidden="1" x14ac:dyDescent="0.75">
      <c r="A1067" s="51">
        <v>44936</v>
      </c>
      <c r="B1067" s="52">
        <v>710</v>
      </c>
      <c r="C1067" s="8" t="s">
        <v>2080</v>
      </c>
      <c r="D1067" s="8" t="s">
        <v>47</v>
      </c>
      <c r="E1067" s="52">
        <v>1362</v>
      </c>
      <c r="F1067" s="13"/>
      <c r="G1067" s="13">
        <v>253.38</v>
      </c>
    </row>
    <row r="1068" spans="1:7" hidden="1" x14ac:dyDescent="0.75">
      <c r="A1068" s="51">
        <v>44936</v>
      </c>
      <c r="B1068" s="52">
        <v>710</v>
      </c>
      <c r="C1068" s="8" t="s">
        <v>2080</v>
      </c>
      <c r="D1068" s="8" t="s">
        <v>47</v>
      </c>
      <c r="E1068" s="52">
        <v>1362</v>
      </c>
      <c r="F1068" s="13"/>
      <c r="G1068" s="13">
        <v>333.44</v>
      </c>
    </row>
    <row r="1069" spans="1:7" hidden="1" x14ac:dyDescent="0.75">
      <c r="A1069" s="51">
        <v>44936</v>
      </c>
      <c r="B1069" s="52">
        <v>710</v>
      </c>
      <c r="C1069" s="8" t="s">
        <v>2080</v>
      </c>
      <c r="D1069" s="8" t="s">
        <v>47</v>
      </c>
      <c r="E1069" s="52">
        <v>1362</v>
      </c>
      <c r="F1069" s="13"/>
      <c r="G1069" s="13">
        <v>611.26</v>
      </c>
    </row>
    <row r="1070" spans="1:7" hidden="1" x14ac:dyDescent="0.75">
      <c r="A1070" s="51">
        <v>44936</v>
      </c>
      <c r="B1070" s="52">
        <v>710</v>
      </c>
      <c r="C1070" s="8" t="s">
        <v>2080</v>
      </c>
      <c r="D1070" s="8" t="s">
        <v>47</v>
      </c>
      <c r="E1070" s="52">
        <v>1362</v>
      </c>
      <c r="F1070" s="13"/>
      <c r="G1070" s="13">
        <v>68</v>
      </c>
    </row>
    <row r="1071" spans="1:7" hidden="1" x14ac:dyDescent="0.75">
      <c r="A1071" s="51">
        <v>44936</v>
      </c>
      <c r="B1071" s="52">
        <v>710</v>
      </c>
      <c r="C1071" s="8" t="s">
        <v>2080</v>
      </c>
      <c r="D1071" s="8" t="s">
        <v>47</v>
      </c>
      <c r="E1071" s="52">
        <v>1362</v>
      </c>
      <c r="F1071" s="13"/>
      <c r="G1071" s="13">
        <v>867</v>
      </c>
    </row>
    <row r="1072" spans="1:7" hidden="1" x14ac:dyDescent="0.75">
      <c r="A1072" s="51">
        <v>44936</v>
      </c>
      <c r="B1072" s="52">
        <v>710</v>
      </c>
      <c r="C1072" s="8" t="s">
        <v>2080</v>
      </c>
      <c r="D1072" s="8" t="s">
        <v>47</v>
      </c>
      <c r="E1072" s="52">
        <v>1362</v>
      </c>
      <c r="F1072" s="13"/>
      <c r="G1072" s="13">
        <v>1435.93</v>
      </c>
    </row>
    <row r="1073" spans="1:7" hidden="1" x14ac:dyDescent="0.75">
      <c r="A1073" s="51">
        <v>44936</v>
      </c>
      <c r="B1073" s="52">
        <v>710</v>
      </c>
      <c r="C1073" s="8" t="s">
        <v>2080</v>
      </c>
      <c r="D1073" s="8" t="s">
        <v>47</v>
      </c>
      <c r="E1073" s="52">
        <v>1362</v>
      </c>
      <c r="F1073" s="13"/>
      <c r="G1073" s="13">
        <v>1280.97</v>
      </c>
    </row>
    <row r="1074" spans="1:7" hidden="1" x14ac:dyDescent="0.75">
      <c r="A1074" s="51">
        <v>44936</v>
      </c>
      <c r="B1074" s="52">
        <v>710</v>
      </c>
      <c r="C1074" s="8" t="s">
        <v>2080</v>
      </c>
      <c r="D1074" s="8" t="s">
        <v>47</v>
      </c>
      <c r="E1074" s="52">
        <v>1362</v>
      </c>
      <c r="F1074" s="13"/>
      <c r="G1074" s="13">
        <v>1193.04</v>
      </c>
    </row>
    <row r="1075" spans="1:7" hidden="1" x14ac:dyDescent="0.75">
      <c r="A1075" s="51">
        <v>44936</v>
      </c>
      <c r="B1075" s="52">
        <v>710</v>
      </c>
      <c r="C1075" s="8" t="s">
        <v>2080</v>
      </c>
      <c r="D1075" s="8" t="s">
        <v>47</v>
      </c>
      <c r="E1075" s="52">
        <v>1362</v>
      </c>
      <c r="F1075" s="13"/>
      <c r="G1075" s="13">
        <v>307</v>
      </c>
    </row>
    <row r="1076" spans="1:7" hidden="1" x14ac:dyDescent="0.75">
      <c r="A1076" s="51">
        <v>44938</v>
      </c>
      <c r="B1076" s="52">
        <v>710</v>
      </c>
      <c r="C1076" s="8" t="s">
        <v>2081</v>
      </c>
      <c r="D1076" s="8" t="s">
        <v>47</v>
      </c>
      <c r="E1076" s="52">
        <v>408</v>
      </c>
      <c r="F1076" s="13">
        <v>2253.84</v>
      </c>
      <c r="G1076" s="13"/>
    </row>
    <row r="1077" spans="1:7" hidden="1" x14ac:dyDescent="0.75">
      <c r="A1077" s="51">
        <v>44939</v>
      </c>
      <c r="B1077" s="52">
        <v>710</v>
      </c>
      <c r="C1077" s="8" t="s">
        <v>2082</v>
      </c>
      <c r="D1077" s="8" t="s">
        <v>47</v>
      </c>
      <c r="E1077" s="52">
        <v>408</v>
      </c>
      <c r="F1077" s="13">
        <v>1989.78</v>
      </c>
      <c r="G1077" s="13"/>
    </row>
    <row r="1078" spans="1:7" hidden="1" x14ac:dyDescent="0.75">
      <c r="A1078" s="51">
        <v>44940</v>
      </c>
      <c r="B1078" s="52">
        <v>710</v>
      </c>
      <c r="C1078" s="8" t="s">
        <v>2083</v>
      </c>
      <c r="D1078" s="8" t="s">
        <v>47</v>
      </c>
      <c r="E1078" s="52">
        <v>408</v>
      </c>
      <c r="F1078" s="13">
        <v>797.85</v>
      </c>
      <c r="G1078" s="13"/>
    </row>
    <row r="1079" spans="1:7" hidden="1" x14ac:dyDescent="0.75">
      <c r="A1079" s="51">
        <v>44942</v>
      </c>
      <c r="B1079" s="52">
        <v>710</v>
      </c>
      <c r="C1079" s="8" t="s">
        <v>2084</v>
      </c>
      <c r="D1079" s="8" t="s">
        <v>47</v>
      </c>
      <c r="E1079" s="52">
        <v>408</v>
      </c>
      <c r="F1079" s="13">
        <v>302.8</v>
      </c>
      <c r="G1079" s="13"/>
    </row>
    <row r="1080" spans="1:7" hidden="1" x14ac:dyDescent="0.75">
      <c r="A1080" s="51">
        <v>44942</v>
      </c>
      <c r="B1080" s="52">
        <v>710</v>
      </c>
      <c r="C1080" s="8" t="s">
        <v>2085</v>
      </c>
      <c r="D1080" s="8" t="s">
        <v>47</v>
      </c>
      <c r="E1080" s="52">
        <v>408</v>
      </c>
      <c r="F1080" s="13">
        <v>1108.17</v>
      </c>
      <c r="G1080" s="13"/>
    </row>
    <row r="1081" spans="1:7" hidden="1" x14ac:dyDescent="0.75">
      <c r="A1081" s="51">
        <v>44944</v>
      </c>
      <c r="B1081" s="52">
        <v>710</v>
      </c>
      <c r="C1081" s="8" t="s">
        <v>2086</v>
      </c>
      <c r="D1081" s="8" t="s">
        <v>47</v>
      </c>
      <c r="E1081" s="52">
        <v>408</v>
      </c>
      <c r="F1081" s="13">
        <v>1432.64</v>
      </c>
      <c r="G1081" s="13"/>
    </row>
    <row r="1082" spans="1:7" hidden="1" x14ac:dyDescent="0.75">
      <c r="A1082" s="51">
        <v>44945</v>
      </c>
      <c r="B1082" s="52">
        <v>710</v>
      </c>
      <c r="C1082" s="8" t="s">
        <v>2087</v>
      </c>
      <c r="D1082" s="8" t="s">
        <v>47</v>
      </c>
      <c r="E1082" s="52">
        <v>408</v>
      </c>
      <c r="F1082" s="13">
        <v>1123.52</v>
      </c>
      <c r="G1082" s="13"/>
    </row>
    <row r="1083" spans="1:7" hidden="1" x14ac:dyDescent="0.75">
      <c r="A1083" s="51">
        <v>44946</v>
      </c>
      <c r="B1083" s="52">
        <v>710</v>
      </c>
      <c r="C1083" s="8" t="s">
        <v>2088</v>
      </c>
      <c r="D1083" s="8" t="s">
        <v>47</v>
      </c>
      <c r="E1083" s="52">
        <v>408</v>
      </c>
      <c r="F1083" s="13">
        <v>1600.52</v>
      </c>
      <c r="G1083" s="13"/>
    </row>
    <row r="1084" spans="1:7" hidden="1" x14ac:dyDescent="0.75">
      <c r="A1084" s="51">
        <v>44947</v>
      </c>
      <c r="B1084" s="52">
        <v>710</v>
      </c>
      <c r="C1084" s="8" t="s">
        <v>2089</v>
      </c>
      <c r="D1084" s="8" t="s">
        <v>47</v>
      </c>
      <c r="E1084" s="52">
        <v>408</v>
      </c>
      <c r="F1084" s="13">
        <v>1456.16</v>
      </c>
      <c r="G1084" s="13"/>
    </row>
    <row r="1085" spans="1:7" hidden="1" x14ac:dyDescent="0.75">
      <c r="A1085" s="51">
        <v>44949</v>
      </c>
      <c r="B1085" s="52">
        <v>710</v>
      </c>
      <c r="C1085" s="8" t="s">
        <v>2090</v>
      </c>
      <c r="D1085" s="8" t="s">
        <v>47</v>
      </c>
      <c r="E1085" s="52">
        <v>408</v>
      </c>
      <c r="F1085" s="13">
        <v>104.5</v>
      </c>
      <c r="G1085" s="13"/>
    </row>
    <row r="1086" spans="1:7" hidden="1" x14ac:dyDescent="0.75">
      <c r="A1086" s="51">
        <v>44949</v>
      </c>
      <c r="B1086" s="52">
        <v>710</v>
      </c>
      <c r="C1086" s="8" t="s">
        <v>2091</v>
      </c>
      <c r="D1086" s="8" t="s">
        <v>47</v>
      </c>
      <c r="E1086" s="52">
        <v>408</v>
      </c>
      <c r="F1086" s="13">
        <v>870.06</v>
      </c>
      <c r="G1086" s="13"/>
    </row>
    <row r="1087" spans="1:7" hidden="1" x14ac:dyDescent="0.75">
      <c r="A1087" s="51">
        <v>44950</v>
      </c>
      <c r="B1087" s="52">
        <v>710</v>
      </c>
      <c r="C1087" s="8" t="s">
        <v>2092</v>
      </c>
      <c r="D1087" s="8" t="s">
        <v>47</v>
      </c>
      <c r="E1087" s="52">
        <v>408</v>
      </c>
      <c r="F1087" s="13">
        <v>973.8</v>
      </c>
      <c r="G1087" s="13"/>
    </row>
    <row r="1088" spans="1:7" hidden="1" x14ac:dyDescent="0.75">
      <c r="A1088" s="51">
        <v>44951</v>
      </c>
      <c r="B1088" s="52">
        <v>710</v>
      </c>
      <c r="C1088" s="8" t="s">
        <v>2093</v>
      </c>
      <c r="D1088" s="8" t="s">
        <v>47</v>
      </c>
      <c r="E1088" s="52">
        <v>408</v>
      </c>
      <c r="F1088" s="13">
        <v>1535.3</v>
      </c>
      <c r="G1088" s="13"/>
    </row>
    <row r="1089" spans="1:7" hidden="1" x14ac:dyDescent="0.75">
      <c r="A1089" s="51">
        <v>44952</v>
      </c>
      <c r="B1089" s="52">
        <v>710</v>
      </c>
      <c r="C1089" s="8" t="s">
        <v>2094</v>
      </c>
      <c r="D1089" s="8" t="s">
        <v>47</v>
      </c>
      <c r="E1089" s="52">
        <v>408</v>
      </c>
      <c r="F1089" s="13">
        <v>1070.68</v>
      </c>
      <c r="G1089" s="13"/>
    </row>
    <row r="1090" spans="1:7" hidden="1" x14ac:dyDescent="0.75">
      <c r="A1090" s="51">
        <v>44953</v>
      </c>
      <c r="B1090" s="52">
        <v>710</v>
      </c>
      <c r="C1090" s="8" t="s">
        <v>2095</v>
      </c>
      <c r="D1090" s="8" t="s">
        <v>47</v>
      </c>
      <c r="E1090" s="52">
        <v>408</v>
      </c>
      <c r="F1090" s="13">
        <v>1737.51</v>
      </c>
      <c r="G1090" s="13"/>
    </row>
    <row r="1091" spans="1:7" hidden="1" x14ac:dyDescent="0.75">
      <c r="A1091" s="51">
        <v>44954</v>
      </c>
      <c r="B1091" s="52">
        <v>710</v>
      </c>
      <c r="C1091" s="8" t="s">
        <v>2096</v>
      </c>
      <c r="D1091" s="8" t="s">
        <v>47</v>
      </c>
      <c r="E1091" s="52">
        <v>408</v>
      </c>
      <c r="F1091" s="13">
        <v>1110.8900000000001</v>
      </c>
      <c r="G1091" s="13"/>
    </row>
    <row r="1092" spans="1:7" hidden="1" x14ac:dyDescent="0.75">
      <c r="A1092" s="51">
        <v>44956</v>
      </c>
      <c r="B1092" s="52">
        <v>710</v>
      </c>
      <c r="C1092" s="8" t="s">
        <v>2097</v>
      </c>
      <c r="D1092" s="8" t="s">
        <v>47</v>
      </c>
      <c r="E1092" s="52">
        <v>408</v>
      </c>
      <c r="F1092" s="13">
        <v>104.5</v>
      </c>
      <c r="G1092" s="13"/>
    </row>
    <row r="1093" spans="1:7" hidden="1" x14ac:dyDescent="0.75">
      <c r="A1093" s="51">
        <v>44956</v>
      </c>
      <c r="B1093" s="52">
        <v>710</v>
      </c>
      <c r="C1093" s="8" t="s">
        <v>2098</v>
      </c>
      <c r="D1093" s="8" t="s">
        <v>47</v>
      </c>
      <c r="E1093" s="52">
        <v>408</v>
      </c>
      <c r="F1093" s="13">
        <v>1544.77</v>
      </c>
      <c r="G1093" s="13"/>
    </row>
    <row r="1094" spans="1:7" hidden="1" x14ac:dyDescent="0.75">
      <c r="A1094" s="51">
        <v>44957</v>
      </c>
      <c r="B1094" s="52">
        <v>710</v>
      </c>
      <c r="C1094" s="8" t="s">
        <v>2099</v>
      </c>
      <c r="D1094" s="8" t="s">
        <v>47</v>
      </c>
      <c r="E1094" s="52">
        <v>408</v>
      </c>
      <c r="F1094" s="13">
        <v>839.04</v>
      </c>
      <c r="G1094" s="13"/>
    </row>
    <row r="1095" spans="1:7" hidden="1" x14ac:dyDescent="0.75">
      <c r="A1095" s="51">
        <v>44931</v>
      </c>
      <c r="B1095" s="52">
        <v>720</v>
      </c>
      <c r="C1095" s="8" t="s">
        <v>2100</v>
      </c>
      <c r="D1095" s="8" t="s">
        <v>48</v>
      </c>
      <c r="E1095" s="52">
        <v>408</v>
      </c>
      <c r="F1095" s="13">
        <v>2024.32</v>
      </c>
      <c r="G1095" s="13"/>
    </row>
    <row r="1096" spans="1:7" hidden="1" x14ac:dyDescent="0.75">
      <c r="A1096" s="51">
        <v>44933</v>
      </c>
      <c r="B1096" s="52">
        <v>720</v>
      </c>
      <c r="C1096" s="8" t="s">
        <v>2101</v>
      </c>
      <c r="D1096" s="8" t="s">
        <v>48</v>
      </c>
      <c r="E1096" s="52">
        <v>408</v>
      </c>
      <c r="F1096" s="13">
        <v>1967.6</v>
      </c>
      <c r="G1096" s="13"/>
    </row>
    <row r="1097" spans="1:7" hidden="1" x14ac:dyDescent="0.75">
      <c r="A1097" s="51">
        <v>44936</v>
      </c>
      <c r="B1097" s="52">
        <v>720</v>
      </c>
      <c r="C1097" s="8" t="s">
        <v>2102</v>
      </c>
      <c r="D1097" s="8" t="s">
        <v>48</v>
      </c>
      <c r="E1097" s="52">
        <v>408</v>
      </c>
      <c r="F1097" s="13">
        <v>2802.04</v>
      </c>
      <c r="G1097" s="13"/>
    </row>
    <row r="1098" spans="1:7" hidden="1" x14ac:dyDescent="0.75">
      <c r="A1098" s="51">
        <v>44936</v>
      </c>
      <c r="B1098" s="52">
        <v>720</v>
      </c>
      <c r="C1098" s="8" t="s">
        <v>2103</v>
      </c>
      <c r="D1098" s="8" t="s">
        <v>48</v>
      </c>
      <c r="E1098" s="52">
        <v>1362</v>
      </c>
      <c r="F1098" s="13"/>
      <c r="G1098" s="13">
        <v>2181.54</v>
      </c>
    </row>
    <row r="1099" spans="1:7" hidden="1" x14ac:dyDescent="0.75">
      <c r="A1099" s="51">
        <v>44936</v>
      </c>
      <c r="B1099" s="52">
        <v>720</v>
      </c>
      <c r="C1099" s="8" t="s">
        <v>2103</v>
      </c>
      <c r="D1099" s="8" t="s">
        <v>48</v>
      </c>
      <c r="E1099" s="52">
        <v>1362</v>
      </c>
      <c r="F1099" s="13"/>
      <c r="G1099" s="13">
        <v>1915.36</v>
      </c>
    </row>
    <row r="1100" spans="1:7" hidden="1" x14ac:dyDescent="0.75">
      <c r="A1100" s="51">
        <v>44936</v>
      </c>
      <c r="B1100" s="52">
        <v>720</v>
      </c>
      <c r="C1100" s="8" t="s">
        <v>2103</v>
      </c>
      <c r="D1100" s="8" t="s">
        <v>48</v>
      </c>
      <c r="E1100" s="52">
        <v>1362</v>
      </c>
      <c r="F1100" s="13"/>
      <c r="G1100" s="13">
        <v>2669.84</v>
      </c>
    </row>
    <row r="1101" spans="1:7" hidden="1" x14ac:dyDescent="0.75">
      <c r="A1101" s="51">
        <v>44936</v>
      </c>
      <c r="B1101" s="52">
        <v>720</v>
      </c>
      <c r="C1101" s="8" t="s">
        <v>2103</v>
      </c>
      <c r="D1101" s="8" t="s">
        <v>48</v>
      </c>
      <c r="E1101" s="52">
        <v>1362</v>
      </c>
      <c r="F1101" s="13"/>
      <c r="G1101" s="13">
        <v>3666.49</v>
      </c>
    </row>
    <row r="1102" spans="1:7" hidden="1" x14ac:dyDescent="0.75">
      <c r="A1102" s="51">
        <v>44936</v>
      </c>
      <c r="B1102" s="52">
        <v>720</v>
      </c>
      <c r="C1102" s="8" t="s">
        <v>2103</v>
      </c>
      <c r="D1102" s="8" t="s">
        <v>48</v>
      </c>
      <c r="E1102" s="52">
        <v>1362</v>
      </c>
      <c r="F1102" s="13"/>
      <c r="G1102" s="13">
        <v>3091.93</v>
      </c>
    </row>
    <row r="1103" spans="1:7" hidden="1" x14ac:dyDescent="0.75">
      <c r="A1103" s="51">
        <v>44936</v>
      </c>
      <c r="B1103" s="52">
        <v>720</v>
      </c>
      <c r="C1103" s="8" t="s">
        <v>2103</v>
      </c>
      <c r="D1103" s="8" t="s">
        <v>48</v>
      </c>
      <c r="E1103" s="52">
        <v>1362</v>
      </c>
      <c r="F1103" s="13"/>
      <c r="G1103" s="13">
        <v>3149.06</v>
      </c>
    </row>
    <row r="1104" spans="1:7" hidden="1" x14ac:dyDescent="0.75">
      <c r="A1104" s="51">
        <v>44936</v>
      </c>
      <c r="B1104" s="52">
        <v>720</v>
      </c>
      <c r="C1104" s="8" t="s">
        <v>2103</v>
      </c>
      <c r="D1104" s="8" t="s">
        <v>48</v>
      </c>
      <c r="E1104" s="52">
        <v>1362</v>
      </c>
      <c r="F1104" s="13"/>
      <c r="G1104" s="13">
        <v>2024.32</v>
      </c>
    </row>
    <row r="1105" spans="1:7" hidden="1" x14ac:dyDescent="0.75">
      <c r="A1105" s="51">
        <v>44936</v>
      </c>
      <c r="B1105" s="52">
        <v>720</v>
      </c>
      <c r="C1105" s="8" t="s">
        <v>2103</v>
      </c>
      <c r="D1105" s="8" t="s">
        <v>48</v>
      </c>
      <c r="E1105" s="52">
        <v>1362</v>
      </c>
      <c r="F1105" s="13"/>
      <c r="G1105" s="13">
        <v>1967.6</v>
      </c>
    </row>
    <row r="1106" spans="1:7" hidden="1" x14ac:dyDescent="0.75">
      <c r="A1106" s="51">
        <v>44938</v>
      </c>
      <c r="B1106" s="52">
        <v>720</v>
      </c>
      <c r="C1106" s="8" t="s">
        <v>2104</v>
      </c>
      <c r="D1106" s="8" t="s">
        <v>48</v>
      </c>
      <c r="E1106" s="52">
        <v>408</v>
      </c>
      <c r="F1106" s="13">
        <v>1925.81</v>
      </c>
      <c r="G1106" s="13"/>
    </row>
    <row r="1107" spans="1:7" hidden="1" x14ac:dyDescent="0.75">
      <c r="A1107" s="51">
        <v>44940</v>
      </c>
      <c r="B1107" s="52">
        <v>720</v>
      </c>
      <c r="C1107" s="8" t="s">
        <v>2105</v>
      </c>
      <c r="D1107" s="8" t="s">
        <v>48</v>
      </c>
      <c r="E1107" s="52">
        <v>408</v>
      </c>
      <c r="F1107" s="13">
        <v>1979.12</v>
      </c>
      <c r="G1107" s="13"/>
    </row>
    <row r="1108" spans="1:7" hidden="1" x14ac:dyDescent="0.75">
      <c r="A1108" s="51">
        <v>44940</v>
      </c>
      <c r="B1108" s="52">
        <v>720</v>
      </c>
      <c r="C1108" s="8" t="s">
        <v>2106</v>
      </c>
      <c r="D1108" s="8" t="s">
        <v>48</v>
      </c>
      <c r="E1108" s="52">
        <v>408</v>
      </c>
      <c r="F1108" s="13">
        <v>288.36</v>
      </c>
      <c r="G1108" s="13"/>
    </row>
    <row r="1109" spans="1:7" hidden="1" x14ac:dyDescent="0.75">
      <c r="A1109" s="51">
        <v>44943</v>
      </c>
      <c r="B1109" s="52">
        <v>720</v>
      </c>
      <c r="C1109" s="8" t="s">
        <v>2107</v>
      </c>
      <c r="D1109" s="8" t="s">
        <v>48</v>
      </c>
      <c r="E1109" s="52">
        <v>408</v>
      </c>
      <c r="F1109" s="13">
        <v>1796.76</v>
      </c>
      <c r="G1109" s="13"/>
    </row>
    <row r="1110" spans="1:7" hidden="1" x14ac:dyDescent="0.75">
      <c r="A1110" s="51">
        <v>44945</v>
      </c>
      <c r="B1110" s="52">
        <v>720</v>
      </c>
      <c r="C1110" s="8" t="s">
        <v>2108</v>
      </c>
      <c r="D1110" s="8" t="s">
        <v>48</v>
      </c>
      <c r="E1110" s="52">
        <v>408</v>
      </c>
      <c r="F1110" s="13">
        <v>1866.16</v>
      </c>
      <c r="G1110" s="13"/>
    </row>
    <row r="1111" spans="1:7" hidden="1" x14ac:dyDescent="0.75">
      <c r="A1111" s="51">
        <v>44952</v>
      </c>
      <c r="B1111" s="52">
        <v>720</v>
      </c>
      <c r="C1111" s="8" t="s">
        <v>2109</v>
      </c>
      <c r="D1111" s="8" t="s">
        <v>48</v>
      </c>
      <c r="E1111" s="52">
        <v>408</v>
      </c>
      <c r="F1111" s="13">
        <v>2196.1999999999998</v>
      </c>
      <c r="G1111" s="13"/>
    </row>
    <row r="1112" spans="1:7" hidden="1" x14ac:dyDescent="0.75">
      <c r="A1112" s="51">
        <v>44954</v>
      </c>
      <c r="B1112" s="52">
        <v>720</v>
      </c>
      <c r="C1112" s="8" t="s">
        <v>2110</v>
      </c>
      <c r="D1112" s="8" t="s">
        <v>48</v>
      </c>
      <c r="E1112" s="52">
        <v>408</v>
      </c>
      <c r="F1112" s="13">
        <v>2080.34</v>
      </c>
      <c r="G1112" s="13"/>
    </row>
    <row r="1113" spans="1:7" hidden="1" x14ac:dyDescent="0.75">
      <c r="A1113" s="51">
        <v>44957</v>
      </c>
      <c r="B1113" s="52">
        <v>720</v>
      </c>
      <c r="C1113" s="8" t="s">
        <v>2111</v>
      </c>
      <c r="D1113" s="8" t="s">
        <v>48</v>
      </c>
      <c r="E1113" s="52">
        <v>408</v>
      </c>
      <c r="F1113" s="13">
        <v>1577.22</v>
      </c>
      <c r="G1113" s="13"/>
    </row>
    <row r="1114" spans="1:7" hidden="1" x14ac:dyDescent="0.75">
      <c r="A1114" s="51">
        <v>44928</v>
      </c>
      <c r="B1114" s="52">
        <v>712</v>
      </c>
      <c r="C1114" s="8" t="s">
        <v>2112</v>
      </c>
      <c r="D1114" s="8" t="s">
        <v>49</v>
      </c>
      <c r="E1114" s="52">
        <v>408</v>
      </c>
      <c r="F1114" s="13">
        <v>2322.67</v>
      </c>
      <c r="G1114" s="13"/>
    </row>
    <row r="1115" spans="1:7" hidden="1" x14ac:dyDescent="0.75">
      <c r="A1115" s="51">
        <v>44928</v>
      </c>
      <c r="B1115" s="52">
        <v>712</v>
      </c>
      <c r="C1115" s="8" t="s">
        <v>2113</v>
      </c>
      <c r="D1115" s="8" t="s">
        <v>49</v>
      </c>
      <c r="E1115" s="52">
        <v>408</v>
      </c>
      <c r="F1115" s="13">
        <v>646</v>
      </c>
      <c r="G1115" s="13"/>
    </row>
    <row r="1116" spans="1:7" hidden="1" x14ac:dyDescent="0.75">
      <c r="A1116" s="51">
        <v>44929</v>
      </c>
      <c r="B1116" s="52">
        <v>712</v>
      </c>
      <c r="C1116" s="8" t="s">
        <v>2114</v>
      </c>
      <c r="D1116" s="8" t="s">
        <v>49</v>
      </c>
      <c r="E1116" s="52">
        <v>408</v>
      </c>
      <c r="F1116" s="13">
        <v>5482.95</v>
      </c>
      <c r="G1116" s="13"/>
    </row>
    <row r="1117" spans="1:7" hidden="1" x14ac:dyDescent="0.75">
      <c r="A1117" s="51">
        <v>44930</v>
      </c>
      <c r="B1117" s="52">
        <v>712</v>
      </c>
      <c r="C1117" s="8" t="s">
        <v>2115</v>
      </c>
      <c r="D1117" s="8" t="s">
        <v>49</v>
      </c>
      <c r="E1117" s="52">
        <v>408</v>
      </c>
      <c r="F1117" s="13">
        <v>1791.69</v>
      </c>
      <c r="G1117" s="13"/>
    </row>
    <row r="1118" spans="1:7" hidden="1" x14ac:dyDescent="0.75">
      <c r="A1118" s="51">
        <v>44931</v>
      </c>
      <c r="B1118" s="52">
        <v>712</v>
      </c>
      <c r="C1118" s="8" t="s">
        <v>2116</v>
      </c>
      <c r="D1118" s="8" t="s">
        <v>49</v>
      </c>
      <c r="E1118" s="52">
        <v>408</v>
      </c>
      <c r="F1118" s="13">
        <v>3309.44</v>
      </c>
      <c r="G1118" s="13"/>
    </row>
    <row r="1119" spans="1:7" hidden="1" x14ac:dyDescent="0.75">
      <c r="A1119" s="51">
        <v>44932</v>
      </c>
      <c r="B1119" s="52">
        <v>712</v>
      </c>
      <c r="C1119" s="8" t="s">
        <v>2117</v>
      </c>
      <c r="D1119" s="8" t="s">
        <v>49</v>
      </c>
      <c r="E1119" s="52">
        <v>408</v>
      </c>
      <c r="F1119" s="13">
        <v>4192.95</v>
      </c>
      <c r="G1119" s="13"/>
    </row>
    <row r="1120" spans="1:7" hidden="1" x14ac:dyDescent="0.75">
      <c r="A1120" s="51">
        <v>44933</v>
      </c>
      <c r="B1120" s="52">
        <v>712</v>
      </c>
      <c r="C1120" s="8" t="s">
        <v>2118</v>
      </c>
      <c r="D1120" s="8" t="s">
        <v>49</v>
      </c>
      <c r="E1120" s="52">
        <v>408</v>
      </c>
      <c r="F1120" s="13">
        <v>3764.12</v>
      </c>
      <c r="G1120" s="13"/>
    </row>
    <row r="1121" spans="1:7" hidden="1" x14ac:dyDescent="0.75">
      <c r="A1121" s="51">
        <v>44935</v>
      </c>
      <c r="B1121" s="52">
        <v>712</v>
      </c>
      <c r="C1121" s="8" t="s">
        <v>2119</v>
      </c>
      <c r="D1121" s="8" t="s">
        <v>49</v>
      </c>
      <c r="E1121" s="52">
        <v>408</v>
      </c>
      <c r="F1121" s="13">
        <v>442</v>
      </c>
      <c r="G1121" s="13"/>
    </row>
    <row r="1122" spans="1:7" hidden="1" x14ac:dyDescent="0.75">
      <c r="A1122" s="51">
        <v>44935</v>
      </c>
      <c r="B1122" s="52">
        <v>712</v>
      </c>
      <c r="C1122" s="8" t="s">
        <v>2120</v>
      </c>
      <c r="D1122" s="8" t="s">
        <v>49</v>
      </c>
      <c r="E1122" s="52">
        <v>408</v>
      </c>
      <c r="F1122" s="13">
        <v>3859.78</v>
      </c>
      <c r="G1122" s="13"/>
    </row>
    <row r="1123" spans="1:7" hidden="1" x14ac:dyDescent="0.75">
      <c r="A1123" s="51">
        <v>44936</v>
      </c>
      <c r="B1123" s="52">
        <v>712</v>
      </c>
      <c r="C1123" s="8" t="s">
        <v>2121</v>
      </c>
      <c r="D1123" s="8" t="s">
        <v>49</v>
      </c>
      <c r="E1123" s="52">
        <v>408</v>
      </c>
      <c r="F1123" s="13">
        <v>3735.59</v>
      </c>
      <c r="G1123" s="13"/>
    </row>
    <row r="1124" spans="1:7" hidden="1" x14ac:dyDescent="0.75">
      <c r="A1124" s="51">
        <v>44936</v>
      </c>
      <c r="B1124" s="52">
        <v>712</v>
      </c>
      <c r="C1124" s="8" t="s">
        <v>2122</v>
      </c>
      <c r="D1124" s="8" t="s">
        <v>49</v>
      </c>
      <c r="E1124" s="52">
        <v>1362</v>
      </c>
      <c r="F1124" s="13"/>
      <c r="G1124" s="13">
        <v>3199.59</v>
      </c>
    </row>
    <row r="1125" spans="1:7" hidden="1" x14ac:dyDescent="0.75">
      <c r="A1125" s="51">
        <v>44936</v>
      </c>
      <c r="B1125" s="52">
        <v>712</v>
      </c>
      <c r="C1125" s="8" t="s">
        <v>2122</v>
      </c>
      <c r="D1125" s="8" t="s">
        <v>49</v>
      </c>
      <c r="E1125" s="52">
        <v>1362</v>
      </c>
      <c r="F1125" s="13"/>
      <c r="G1125" s="13">
        <v>6418.25</v>
      </c>
    </row>
    <row r="1126" spans="1:7" hidden="1" x14ac:dyDescent="0.75">
      <c r="A1126" s="51">
        <v>44936</v>
      </c>
      <c r="B1126" s="52">
        <v>712</v>
      </c>
      <c r="C1126" s="8" t="s">
        <v>2122</v>
      </c>
      <c r="D1126" s="8" t="s">
        <v>49</v>
      </c>
      <c r="E1126" s="52">
        <v>1362</v>
      </c>
      <c r="F1126" s="13"/>
      <c r="G1126" s="13">
        <v>416</v>
      </c>
    </row>
    <row r="1127" spans="1:7" hidden="1" x14ac:dyDescent="0.75">
      <c r="A1127" s="51">
        <v>44936</v>
      </c>
      <c r="B1127" s="52">
        <v>712</v>
      </c>
      <c r="C1127" s="8" t="s">
        <v>2122</v>
      </c>
      <c r="D1127" s="8" t="s">
        <v>49</v>
      </c>
      <c r="E1127" s="52">
        <v>1362</v>
      </c>
      <c r="F1127" s="13"/>
      <c r="G1127" s="13">
        <v>3763.6</v>
      </c>
    </row>
    <row r="1128" spans="1:7" hidden="1" x14ac:dyDescent="0.75">
      <c r="A1128" s="51">
        <v>44936</v>
      </c>
      <c r="B1128" s="52">
        <v>712</v>
      </c>
      <c r="C1128" s="8" t="s">
        <v>2122</v>
      </c>
      <c r="D1128" s="8" t="s">
        <v>49</v>
      </c>
      <c r="E1128" s="52">
        <v>1362</v>
      </c>
      <c r="F1128" s="13"/>
      <c r="G1128" s="13">
        <v>2663.53</v>
      </c>
    </row>
    <row r="1129" spans="1:7" hidden="1" x14ac:dyDescent="0.75">
      <c r="A1129" s="51">
        <v>44936</v>
      </c>
      <c r="B1129" s="52">
        <v>712</v>
      </c>
      <c r="C1129" s="8" t="s">
        <v>2122</v>
      </c>
      <c r="D1129" s="8" t="s">
        <v>49</v>
      </c>
      <c r="E1129" s="52">
        <v>1362</v>
      </c>
      <c r="F1129" s="13"/>
      <c r="G1129" s="13">
        <v>1249.56</v>
      </c>
    </row>
    <row r="1130" spans="1:7" hidden="1" x14ac:dyDescent="0.75">
      <c r="A1130" s="51">
        <v>44936</v>
      </c>
      <c r="B1130" s="52">
        <v>712</v>
      </c>
      <c r="C1130" s="8" t="s">
        <v>2123</v>
      </c>
      <c r="D1130" s="8" t="s">
        <v>49</v>
      </c>
      <c r="E1130" s="52">
        <v>1362</v>
      </c>
      <c r="F1130" s="13"/>
      <c r="G1130" s="13">
        <v>1191.32</v>
      </c>
    </row>
    <row r="1131" spans="1:7" hidden="1" x14ac:dyDescent="0.75">
      <c r="A1131" s="51">
        <v>44936</v>
      </c>
      <c r="B1131" s="52">
        <v>712</v>
      </c>
      <c r="C1131" s="8" t="s">
        <v>2122</v>
      </c>
      <c r="D1131" s="8" t="s">
        <v>49</v>
      </c>
      <c r="E1131" s="52">
        <v>1362</v>
      </c>
      <c r="F1131" s="13"/>
      <c r="G1131" s="13">
        <v>5179.71</v>
      </c>
    </row>
    <row r="1132" spans="1:7" hidden="1" x14ac:dyDescent="0.75">
      <c r="A1132" s="51">
        <v>44936</v>
      </c>
      <c r="B1132" s="52">
        <v>712</v>
      </c>
      <c r="C1132" s="8" t="s">
        <v>2122</v>
      </c>
      <c r="D1132" s="8" t="s">
        <v>49</v>
      </c>
      <c r="E1132" s="52">
        <v>1362</v>
      </c>
      <c r="F1132" s="13"/>
      <c r="G1132" s="13">
        <v>3766.79</v>
      </c>
    </row>
    <row r="1133" spans="1:7" hidden="1" x14ac:dyDescent="0.75">
      <c r="A1133" s="51">
        <v>44936</v>
      </c>
      <c r="B1133" s="52">
        <v>712</v>
      </c>
      <c r="C1133" s="8" t="s">
        <v>2122</v>
      </c>
      <c r="D1133" s="8" t="s">
        <v>49</v>
      </c>
      <c r="E1133" s="52">
        <v>1362</v>
      </c>
      <c r="F1133" s="13"/>
      <c r="G1133" s="13">
        <v>192.24</v>
      </c>
    </row>
    <row r="1134" spans="1:7" hidden="1" x14ac:dyDescent="0.75">
      <c r="A1134" s="51">
        <v>44936</v>
      </c>
      <c r="B1134" s="52">
        <v>712</v>
      </c>
      <c r="C1134" s="8" t="s">
        <v>2122</v>
      </c>
      <c r="D1134" s="8" t="s">
        <v>49</v>
      </c>
      <c r="E1134" s="52">
        <v>1362</v>
      </c>
      <c r="F1134" s="13"/>
      <c r="G1134" s="13">
        <v>1701.6</v>
      </c>
    </row>
    <row r="1135" spans="1:7" hidden="1" x14ac:dyDescent="0.75">
      <c r="A1135" s="51">
        <v>44936</v>
      </c>
      <c r="B1135" s="52">
        <v>712</v>
      </c>
      <c r="C1135" s="8" t="s">
        <v>2122</v>
      </c>
      <c r="D1135" s="8" t="s">
        <v>49</v>
      </c>
      <c r="E1135" s="52">
        <v>1362</v>
      </c>
      <c r="F1135" s="13"/>
      <c r="G1135" s="13">
        <v>612</v>
      </c>
    </row>
    <row r="1136" spans="1:7" hidden="1" x14ac:dyDescent="0.75">
      <c r="A1136" s="51">
        <v>44936</v>
      </c>
      <c r="B1136" s="52">
        <v>712</v>
      </c>
      <c r="C1136" s="8" t="s">
        <v>2122</v>
      </c>
      <c r="D1136" s="8" t="s">
        <v>49</v>
      </c>
      <c r="E1136" s="52">
        <v>1362</v>
      </c>
      <c r="F1136" s="13"/>
      <c r="G1136" s="13">
        <v>6728.65</v>
      </c>
    </row>
    <row r="1137" spans="1:7" hidden="1" x14ac:dyDescent="0.75">
      <c r="A1137" s="51">
        <v>44936</v>
      </c>
      <c r="B1137" s="52">
        <v>712</v>
      </c>
      <c r="C1137" s="8" t="s">
        <v>2122</v>
      </c>
      <c r="D1137" s="8" t="s">
        <v>49</v>
      </c>
      <c r="E1137" s="52">
        <v>1362</v>
      </c>
      <c r="F1137" s="13"/>
      <c r="G1137" s="13">
        <v>4359.84</v>
      </c>
    </row>
    <row r="1138" spans="1:7" hidden="1" x14ac:dyDescent="0.75">
      <c r="A1138" s="51">
        <v>44936</v>
      </c>
      <c r="B1138" s="52">
        <v>712</v>
      </c>
      <c r="C1138" s="8" t="s">
        <v>2122</v>
      </c>
      <c r="D1138" s="8" t="s">
        <v>49</v>
      </c>
      <c r="E1138" s="52">
        <v>1362</v>
      </c>
      <c r="F1138" s="13"/>
      <c r="G1138" s="13">
        <v>7385.4</v>
      </c>
    </row>
    <row r="1139" spans="1:7" hidden="1" x14ac:dyDescent="0.75">
      <c r="A1139" s="51">
        <v>44936</v>
      </c>
      <c r="B1139" s="52">
        <v>712</v>
      </c>
      <c r="C1139" s="8" t="s">
        <v>2122</v>
      </c>
      <c r="D1139" s="8" t="s">
        <v>49</v>
      </c>
      <c r="E1139" s="52">
        <v>1362</v>
      </c>
      <c r="F1139" s="13"/>
      <c r="G1139" s="13">
        <v>5809.44</v>
      </c>
    </row>
    <row r="1140" spans="1:7" hidden="1" x14ac:dyDescent="0.75">
      <c r="A1140" s="51">
        <v>44936</v>
      </c>
      <c r="B1140" s="52">
        <v>712</v>
      </c>
      <c r="C1140" s="8" t="s">
        <v>2122</v>
      </c>
      <c r="D1140" s="8" t="s">
        <v>49</v>
      </c>
      <c r="E1140" s="52">
        <v>1362</v>
      </c>
      <c r="F1140" s="13"/>
      <c r="G1140" s="13">
        <v>4143.04</v>
      </c>
    </row>
    <row r="1141" spans="1:7" hidden="1" x14ac:dyDescent="0.75">
      <c r="A1141" s="51">
        <v>44936</v>
      </c>
      <c r="B1141" s="52">
        <v>712</v>
      </c>
      <c r="C1141" s="8" t="s">
        <v>2122</v>
      </c>
      <c r="D1141" s="8" t="s">
        <v>49</v>
      </c>
      <c r="E1141" s="52">
        <v>1362</v>
      </c>
      <c r="F1141" s="13"/>
      <c r="G1141" s="13">
        <v>3668.58</v>
      </c>
    </row>
    <row r="1142" spans="1:7" hidden="1" x14ac:dyDescent="0.75">
      <c r="A1142" s="51">
        <v>44936</v>
      </c>
      <c r="B1142" s="52">
        <v>712</v>
      </c>
      <c r="C1142" s="8" t="s">
        <v>2122</v>
      </c>
      <c r="D1142" s="8" t="s">
        <v>49</v>
      </c>
      <c r="E1142" s="52">
        <v>1362</v>
      </c>
      <c r="F1142" s="13"/>
      <c r="G1142" s="13">
        <v>4318.8500000000004</v>
      </c>
    </row>
    <row r="1143" spans="1:7" hidden="1" x14ac:dyDescent="0.75">
      <c r="A1143" s="51">
        <v>44936</v>
      </c>
      <c r="B1143" s="52">
        <v>712</v>
      </c>
      <c r="C1143" s="8" t="s">
        <v>2122</v>
      </c>
      <c r="D1143" s="8" t="s">
        <v>49</v>
      </c>
      <c r="E1143" s="52">
        <v>1362</v>
      </c>
      <c r="F1143" s="13"/>
      <c r="G1143" s="13">
        <v>680</v>
      </c>
    </row>
    <row r="1144" spans="1:7" hidden="1" x14ac:dyDescent="0.75">
      <c r="A1144" s="51">
        <v>44936</v>
      </c>
      <c r="B1144" s="52">
        <v>712</v>
      </c>
      <c r="C1144" s="8" t="s">
        <v>2122</v>
      </c>
      <c r="D1144" s="8" t="s">
        <v>49</v>
      </c>
      <c r="E1144" s="52">
        <v>1362</v>
      </c>
      <c r="F1144" s="13"/>
      <c r="G1144" s="13">
        <v>1802.23</v>
      </c>
    </row>
    <row r="1145" spans="1:7" hidden="1" x14ac:dyDescent="0.75">
      <c r="A1145" s="51">
        <v>44936</v>
      </c>
      <c r="B1145" s="52">
        <v>712</v>
      </c>
      <c r="C1145" s="8" t="s">
        <v>2122</v>
      </c>
      <c r="D1145" s="8" t="s">
        <v>49</v>
      </c>
      <c r="E1145" s="52">
        <v>1362</v>
      </c>
      <c r="F1145" s="13"/>
      <c r="G1145" s="13">
        <v>3305.28</v>
      </c>
    </row>
    <row r="1146" spans="1:7" hidden="1" x14ac:dyDescent="0.75">
      <c r="A1146" s="51">
        <v>44936</v>
      </c>
      <c r="B1146" s="52">
        <v>712</v>
      </c>
      <c r="C1146" s="8" t="s">
        <v>2122</v>
      </c>
      <c r="D1146" s="8" t="s">
        <v>49</v>
      </c>
      <c r="E1146" s="52">
        <v>1362</v>
      </c>
      <c r="F1146" s="13"/>
      <c r="G1146" s="13">
        <v>6710.9</v>
      </c>
    </row>
    <row r="1147" spans="1:7" hidden="1" x14ac:dyDescent="0.75">
      <c r="A1147" s="51">
        <v>44936</v>
      </c>
      <c r="B1147" s="52">
        <v>712</v>
      </c>
      <c r="C1147" s="8" t="s">
        <v>2122</v>
      </c>
      <c r="D1147" s="8" t="s">
        <v>49</v>
      </c>
      <c r="E1147" s="52">
        <v>1362</v>
      </c>
      <c r="F1147" s="13"/>
      <c r="G1147" s="13">
        <v>4996.1400000000003</v>
      </c>
    </row>
    <row r="1148" spans="1:7" hidden="1" x14ac:dyDescent="0.75">
      <c r="A1148" s="51">
        <v>44936</v>
      </c>
      <c r="B1148" s="52">
        <v>712</v>
      </c>
      <c r="C1148" s="8" t="s">
        <v>2122</v>
      </c>
      <c r="D1148" s="8" t="s">
        <v>49</v>
      </c>
      <c r="E1148" s="52">
        <v>1362</v>
      </c>
      <c r="F1148" s="13"/>
      <c r="G1148" s="13">
        <v>3564.1</v>
      </c>
    </row>
    <row r="1149" spans="1:7" hidden="1" x14ac:dyDescent="0.75">
      <c r="A1149" s="51">
        <v>44936</v>
      </c>
      <c r="B1149" s="52">
        <v>712</v>
      </c>
      <c r="C1149" s="8" t="s">
        <v>2122</v>
      </c>
      <c r="D1149" s="8" t="s">
        <v>49</v>
      </c>
      <c r="E1149" s="52">
        <v>1362</v>
      </c>
      <c r="F1149" s="13"/>
      <c r="G1149" s="13">
        <v>2322.67</v>
      </c>
    </row>
    <row r="1150" spans="1:7" hidden="1" x14ac:dyDescent="0.75">
      <c r="A1150" s="51">
        <v>44936</v>
      </c>
      <c r="B1150" s="52">
        <v>712</v>
      </c>
      <c r="C1150" s="8" t="s">
        <v>2122</v>
      </c>
      <c r="D1150" s="8" t="s">
        <v>49</v>
      </c>
      <c r="E1150" s="52">
        <v>1362</v>
      </c>
      <c r="F1150" s="13"/>
      <c r="G1150" s="13">
        <v>646</v>
      </c>
    </row>
    <row r="1151" spans="1:7" hidden="1" x14ac:dyDescent="0.75">
      <c r="A1151" s="51">
        <v>44936</v>
      </c>
      <c r="B1151" s="52">
        <v>712</v>
      </c>
      <c r="C1151" s="8" t="s">
        <v>2122</v>
      </c>
      <c r="D1151" s="8" t="s">
        <v>49</v>
      </c>
      <c r="E1151" s="52">
        <v>1362</v>
      </c>
      <c r="F1151" s="13"/>
      <c r="G1151" s="13">
        <v>5482.95</v>
      </c>
    </row>
    <row r="1152" spans="1:7" hidden="1" x14ac:dyDescent="0.75">
      <c r="A1152" s="51">
        <v>44936</v>
      </c>
      <c r="B1152" s="52">
        <v>712</v>
      </c>
      <c r="C1152" s="8" t="s">
        <v>2122</v>
      </c>
      <c r="D1152" s="8" t="s">
        <v>49</v>
      </c>
      <c r="E1152" s="52">
        <v>1362</v>
      </c>
      <c r="F1152" s="13"/>
      <c r="G1152" s="13">
        <v>1791.69</v>
      </c>
    </row>
    <row r="1153" spans="1:7" hidden="1" x14ac:dyDescent="0.75">
      <c r="A1153" s="51">
        <v>44936</v>
      </c>
      <c r="B1153" s="52">
        <v>712</v>
      </c>
      <c r="C1153" s="8" t="s">
        <v>2122</v>
      </c>
      <c r="D1153" s="8" t="s">
        <v>49</v>
      </c>
      <c r="E1153" s="52">
        <v>1362</v>
      </c>
      <c r="F1153" s="13"/>
      <c r="G1153" s="13">
        <v>3309.44</v>
      </c>
    </row>
    <row r="1154" spans="1:7" hidden="1" x14ac:dyDescent="0.75">
      <c r="A1154" s="51">
        <v>44936</v>
      </c>
      <c r="B1154" s="52">
        <v>712</v>
      </c>
      <c r="C1154" s="8" t="s">
        <v>2122</v>
      </c>
      <c r="D1154" s="8" t="s">
        <v>49</v>
      </c>
      <c r="E1154" s="52">
        <v>1362</v>
      </c>
      <c r="F1154" s="13"/>
      <c r="G1154" s="13">
        <v>4192.95</v>
      </c>
    </row>
    <row r="1155" spans="1:7" hidden="1" x14ac:dyDescent="0.75">
      <c r="A1155" s="51">
        <v>44936</v>
      </c>
      <c r="B1155" s="52">
        <v>712</v>
      </c>
      <c r="C1155" s="8" t="s">
        <v>2122</v>
      </c>
      <c r="D1155" s="8" t="s">
        <v>49</v>
      </c>
      <c r="E1155" s="52">
        <v>1362</v>
      </c>
      <c r="F1155" s="13"/>
      <c r="G1155" s="13">
        <v>3764.12</v>
      </c>
    </row>
    <row r="1156" spans="1:7" hidden="1" x14ac:dyDescent="0.75">
      <c r="A1156" s="51">
        <v>44936</v>
      </c>
      <c r="B1156" s="52">
        <v>712</v>
      </c>
      <c r="C1156" s="8" t="s">
        <v>2124</v>
      </c>
      <c r="D1156" s="8" t="s">
        <v>49</v>
      </c>
      <c r="E1156" s="52">
        <v>1362</v>
      </c>
      <c r="F1156" s="13"/>
      <c r="G1156" s="13">
        <v>3092.5</v>
      </c>
    </row>
    <row r="1157" spans="1:7" hidden="1" x14ac:dyDescent="0.75">
      <c r="A1157" s="51">
        <v>44936</v>
      </c>
      <c r="B1157" s="52">
        <v>712</v>
      </c>
      <c r="C1157" s="8" t="s">
        <v>2125</v>
      </c>
      <c r="D1157" s="8" t="s">
        <v>49</v>
      </c>
      <c r="E1157" s="52">
        <v>1362</v>
      </c>
      <c r="F1157" s="13"/>
      <c r="G1157" s="13">
        <v>3377.1</v>
      </c>
    </row>
    <row r="1158" spans="1:7" hidden="1" x14ac:dyDescent="0.75">
      <c r="A1158" s="51">
        <v>44936</v>
      </c>
      <c r="B1158" s="52">
        <v>712</v>
      </c>
      <c r="C1158" s="8" t="s">
        <v>2126</v>
      </c>
      <c r="D1158" s="8" t="s">
        <v>49</v>
      </c>
      <c r="E1158" s="52">
        <v>1362</v>
      </c>
      <c r="F1158" s="13"/>
      <c r="G1158" s="13">
        <v>3123.5</v>
      </c>
    </row>
    <row r="1159" spans="1:7" hidden="1" x14ac:dyDescent="0.75">
      <c r="A1159" s="51">
        <v>44936</v>
      </c>
      <c r="B1159" s="52">
        <v>712</v>
      </c>
      <c r="C1159" s="8" t="s">
        <v>2126</v>
      </c>
      <c r="D1159" s="8" t="s">
        <v>49</v>
      </c>
      <c r="E1159" s="52">
        <v>1362</v>
      </c>
      <c r="F1159" s="13"/>
      <c r="G1159" s="13">
        <v>2985</v>
      </c>
    </row>
    <row r="1160" spans="1:7" hidden="1" x14ac:dyDescent="0.75">
      <c r="A1160" s="51">
        <v>44937</v>
      </c>
      <c r="B1160" s="52">
        <v>712</v>
      </c>
      <c r="C1160" s="8" t="s">
        <v>2127</v>
      </c>
      <c r="D1160" s="8" t="s">
        <v>49</v>
      </c>
      <c r="E1160" s="52">
        <v>408</v>
      </c>
      <c r="F1160" s="13">
        <v>3270.35</v>
      </c>
      <c r="G1160" s="13"/>
    </row>
    <row r="1161" spans="1:7" hidden="1" x14ac:dyDescent="0.75">
      <c r="A1161" s="51">
        <v>44938</v>
      </c>
      <c r="B1161" s="52">
        <v>712</v>
      </c>
      <c r="C1161" s="8" t="s">
        <v>2128</v>
      </c>
      <c r="D1161" s="8" t="s">
        <v>49</v>
      </c>
      <c r="E1161" s="52">
        <v>408</v>
      </c>
      <c r="F1161" s="13">
        <v>1795.43</v>
      </c>
      <c r="G1161" s="13"/>
    </row>
    <row r="1162" spans="1:7" hidden="1" x14ac:dyDescent="0.75">
      <c r="A1162" s="51">
        <v>44939</v>
      </c>
      <c r="B1162" s="52">
        <v>712</v>
      </c>
      <c r="C1162" s="8" t="s">
        <v>2129</v>
      </c>
      <c r="D1162" s="8" t="s">
        <v>49</v>
      </c>
      <c r="E1162" s="52">
        <v>408</v>
      </c>
      <c r="F1162" s="13">
        <v>4248.29</v>
      </c>
      <c r="G1162" s="13"/>
    </row>
    <row r="1163" spans="1:7" hidden="1" x14ac:dyDescent="0.75">
      <c r="A1163" s="51">
        <v>44940</v>
      </c>
      <c r="B1163" s="52">
        <v>712</v>
      </c>
      <c r="C1163" s="8" t="s">
        <v>2130</v>
      </c>
      <c r="D1163" s="8" t="s">
        <v>49</v>
      </c>
      <c r="E1163" s="52">
        <v>408</v>
      </c>
      <c r="F1163" s="13">
        <v>194.4</v>
      </c>
      <c r="G1163" s="13"/>
    </row>
    <row r="1164" spans="1:7" hidden="1" x14ac:dyDescent="0.75">
      <c r="A1164" s="51">
        <v>44940</v>
      </c>
      <c r="B1164" s="52">
        <v>712</v>
      </c>
      <c r="C1164" s="8" t="s">
        <v>2131</v>
      </c>
      <c r="D1164" s="8" t="s">
        <v>49</v>
      </c>
      <c r="E1164" s="52">
        <v>408</v>
      </c>
      <c r="F1164" s="13">
        <v>3544.85</v>
      </c>
      <c r="G1164" s="13"/>
    </row>
    <row r="1165" spans="1:7" hidden="1" x14ac:dyDescent="0.75">
      <c r="A1165" s="51">
        <v>44942</v>
      </c>
      <c r="B1165" s="52">
        <v>712</v>
      </c>
      <c r="C1165" s="8" t="s">
        <v>2132</v>
      </c>
      <c r="D1165" s="8" t="s">
        <v>49</v>
      </c>
      <c r="E1165" s="52">
        <v>408</v>
      </c>
      <c r="F1165" s="13">
        <v>859</v>
      </c>
      <c r="G1165" s="13"/>
    </row>
    <row r="1166" spans="1:7" hidden="1" x14ac:dyDescent="0.75">
      <c r="A1166" s="51">
        <v>44942</v>
      </c>
      <c r="B1166" s="52">
        <v>712</v>
      </c>
      <c r="C1166" s="8" t="s">
        <v>2133</v>
      </c>
      <c r="D1166" s="8" t="s">
        <v>49</v>
      </c>
      <c r="E1166" s="52">
        <v>408</v>
      </c>
      <c r="F1166" s="13">
        <v>6877.17</v>
      </c>
      <c r="G1166" s="13"/>
    </row>
    <row r="1167" spans="1:7" hidden="1" x14ac:dyDescent="0.75">
      <c r="A1167" s="51">
        <v>44942</v>
      </c>
      <c r="B1167" s="52">
        <v>712</v>
      </c>
      <c r="C1167" s="8" t="s">
        <v>2134</v>
      </c>
      <c r="D1167" s="8" t="s">
        <v>49</v>
      </c>
      <c r="E1167" s="52">
        <v>408</v>
      </c>
      <c r="F1167" s="13">
        <v>51.84</v>
      </c>
      <c r="G1167" s="13"/>
    </row>
    <row r="1168" spans="1:7" hidden="1" x14ac:dyDescent="0.75">
      <c r="A1168" s="51">
        <v>44943</v>
      </c>
      <c r="B1168" s="52">
        <v>712</v>
      </c>
      <c r="C1168" s="8" t="s">
        <v>2135</v>
      </c>
      <c r="D1168" s="8" t="s">
        <v>49</v>
      </c>
      <c r="E1168" s="52">
        <v>408</v>
      </c>
      <c r="F1168" s="13">
        <v>4715.01</v>
      </c>
      <c r="G1168" s="13"/>
    </row>
    <row r="1169" spans="1:7" hidden="1" x14ac:dyDescent="0.75">
      <c r="A1169" s="51">
        <v>44944</v>
      </c>
      <c r="B1169" s="52">
        <v>712</v>
      </c>
      <c r="C1169" s="8" t="s">
        <v>2136</v>
      </c>
      <c r="D1169" s="8" t="s">
        <v>49</v>
      </c>
      <c r="E1169" s="52">
        <v>408</v>
      </c>
      <c r="F1169" s="13">
        <v>2266.16</v>
      </c>
      <c r="G1169" s="13"/>
    </row>
    <row r="1170" spans="1:7" hidden="1" x14ac:dyDescent="0.75">
      <c r="A1170" s="51">
        <v>44945</v>
      </c>
      <c r="B1170" s="52">
        <v>712</v>
      </c>
      <c r="C1170" s="8" t="s">
        <v>2137</v>
      </c>
      <c r="D1170" s="8" t="s">
        <v>49</v>
      </c>
      <c r="E1170" s="52">
        <v>408</v>
      </c>
      <c r="F1170" s="13">
        <v>1470.68</v>
      </c>
      <c r="G1170" s="13"/>
    </row>
    <row r="1171" spans="1:7" hidden="1" x14ac:dyDescent="0.75">
      <c r="A1171" s="51">
        <v>44946</v>
      </c>
      <c r="B1171" s="52">
        <v>712</v>
      </c>
      <c r="C1171" s="8" t="s">
        <v>2138</v>
      </c>
      <c r="D1171" s="8" t="s">
        <v>49</v>
      </c>
      <c r="E1171" s="52">
        <v>408</v>
      </c>
      <c r="F1171" s="13">
        <v>1802.12</v>
      </c>
      <c r="G1171" s="13"/>
    </row>
    <row r="1172" spans="1:7" hidden="1" x14ac:dyDescent="0.75">
      <c r="A1172" s="51">
        <v>44947</v>
      </c>
      <c r="B1172" s="52">
        <v>712</v>
      </c>
      <c r="C1172" s="8" t="s">
        <v>2139</v>
      </c>
      <c r="D1172" s="8" t="s">
        <v>49</v>
      </c>
      <c r="E1172" s="52">
        <v>408</v>
      </c>
      <c r="F1172" s="13">
        <v>3461.72</v>
      </c>
      <c r="G1172" s="13"/>
    </row>
    <row r="1173" spans="1:7" hidden="1" x14ac:dyDescent="0.75">
      <c r="A1173" s="51">
        <v>44949</v>
      </c>
      <c r="B1173" s="52">
        <v>712</v>
      </c>
      <c r="C1173" s="8" t="s">
        <v>2140</v>
      </c>
      <c r="D1173" s="8" t="s">
        <v>49</v>
      </c>
      <c r="E1173" s="52">
        <v>408</v>
      </c>
      <c r="F1173" s="13">
        <v>855</v>
      </c>
      <c r="G1173" s="13"/>
    </row>
    <row r="1174" spans="1:7" hidden="1" x14ac:dyDescent="0.75">
      <c r="A1174" s="51">
        <v>44949</v>
      </c>
      <c r="B1174" s="52">
        <v>712</v>
      </c>
      <c r="C1174" s="8" t="s">
        <v>2141</v>
      </c>
      <c r="D1174" s="8" t="s">
        <v>49</v>
      </c>
      <c r="E1174" s="52">
        <v>408</v>
      </c>
      <c r="F1174" s="13">
        <v>4608.5600000000004</v>
      </c>
      <c r="G1174" s="13"/>
    </row>
    <row r="1175" spans="1:7" hidden="1" x14ac:dyDescent="0.75">
      <c r="A1175" s="51">
        <v>44950</v>
      </c>
      <c r="B1175" s="52">
        <v>712</v>
      </c>
      <c r="C1175" s="8" t="s">
        <v>2142</v>
      </c>
      <c r="D1175" s="8" t="s">
        <v>49</v>
      </c>
      <c r="E1175" s="52">
        <v>408</v>
      </c>
      <c r="F1175" s="13">
        <v>1788.28</v>
      </c>
      <c r="G1175" s="13"/>
    </row>
    <row r="1176" spans="1:7" hidden="1" x14ac:dyDescent="0.75">
      <c r="A1176" s="51">
        <v>44951</v>
      </c>
      <c r="B1176" s="52">
        <v>712</v>
      </c>
      <c r="C1176" s="8" t="s">
        <v>2143</v>
      </c>
      <c r="D1176" s="8" t="s">
        <v>49</v>
      </c>
      <c r="E1176" s="52">
        <v>408</v>
      </c>
      <c r="F1176" s="13">
        <v>5548.71</v>
      </c>
      <c r="G1176" s="13"/>
    </row>
    <row r="1177" spans="1:7" hidden="1" x14ac:dyDescent="0.75">
      <c r="A1177" s="51">
        <v>44952</v>
      </c>
      <c r="B1177" s="52">
        <v>712</v>
      </c>
      <c r="C1177" s="8" t="s">
        <v>2144</v>
      </c>
      <c r="D1177" s="8" t="s">
        <v>49</v>
      </c>
      <c r="E1177" s="52">
        <v>408</v>
      </c>
      <c r="F1177" s="13">
        <v>1223.78</v>
      </c>
      <c r="G1177" s="13"/>
    </row>
    <row r="1178" spans="1:7" hidden="1" x14ac:dyDescent="0.75">
      <c r="A1178" s="51">
        <v>44953</v>
      </c>
      <c r="B1178" s="52">
        <v>712</v>
      </c>
      <c r="C1178" s="8" t="s">
        <v>2145</v>
      </c>
      <c r="D1178" s="8" t="s">
        <v>49</v>
      </c>
      <c r="E1178" s="52">
        <v>408</v>
      </c>
      <c r="F1178" s="13">
        <v>3904.71</v>
      </c>
      <c r="G1178" s="13"/>
    </row>
    <row r="1179" spans="1:7" hidden="1" x14ac:dyDescent="0.75">
      <c r="A1179" s="51">
        <v>44954</v>
      </c>
      <c r="B1179" s="52">
        <v>712</v>
      </c>
      <c r="C1179" s="8" t="s">
        <v>2146</v>
      </c>
      <c r="D1179" s="8" t="s">
        <v>49</v>
      </c>
      <c r="E1179" s="52">
        <v>408</v>
      </c>
      <c r="F1179" s="13">
        <v>2464.56</v>
      </c>
      <c r="G1179" s="13"/>
    </row>
    <row r="1180" spans="1:7" hidden="1" x14ac:dyDescent="0.75">
      <c r="A1180" s="51">
        <v>44956</v>
      </c>
      <c r="B1180" s="52">
        <v>712</v>
      </c>
      <c r="C1180" s="8" t="s">
        <v>2147</v>
      </c>
      <c r="D1180" s="8" t="s">
        <v>49</v>
      </c>
      <c r="E1180" s="52">
        <v>408</v>
      </c>
      <c r="F1180" s="13">
        <v>950</v>
      </c>
      <c r="G1180" s="13"/>
    </row>
    <row r="1181" spans="1:7" hidden="1" x14ac:dyDescent="0.75">
      <c r="A1181" s="51">
        <v>44956</v>
      </c>
      <c r="B1181" s="52">
        <v>712</v>
      </c>
      <c r="C1181" s="8" t="s">
        <v>2148</v>
      </c>
      <c r="D1181" s="8" t="s">
        <v>49</v>
      </c>
      <c r="E1181" s="52">
        <v>408</v>
      </c>
      <c r="F1181" s="13">
        <v>4576.5</v>
      </c>
      <c r="G1181" s="13"/>
    </row>
    <row r="1182" spans="1:7" hidden="1" x14ac:dyDescent="0.75">
      <c r="A1182" s="51">
        <v>44956</v>
      </c>
      <c r="B1182" s="52">
        <v>712</v>
      </c>
      <c r="C1182" s="8" t="s">
        <v>2149</v>
      </c>
      <c r="D1182" s="8" t="s">
        <v>49</v>
      </c>
      <c r="E1182" s="52">
        <v>408</v>
      </c>
      <c r="F1182" s="13">
        <v>47.52</v>
      </c>
      <c r="G1182" s="13"/>
    </row>
    <row r="1183" spans="1:7" hidden="1" x14ac:dyDescent="0.75">
      <c r="A1183" s="51">
        <v>44956</v>
      </c>
      <c r="B1183" s="52">
        <v>712</v>
      </c>
      <c r="C1183" s="8" t="s">
        <v>2126</v>
      </c>
      <c r="D1183" s="8" t="s">
        <v>49</v>
      </c>
      <c r="E1183" s="52">
        <v>1362</v>
      </c>
      <c r="F1183" s="13"/>
      <c r="G1183" s="13">
        <v>3045.5</v>
      </c>
    </row>
    <row r="1184" spans="1:7" hidden="1" x14ac:dyDescent="0.75">
      <c r="A1184" s="51">
        <v>44956</v>
      </c>
      <c r="B1184" s="52">
        <v>712</v>
      </c>
      <c r="C1184" s="8" t="s">
        <v>2126</v>
      </c>
      <c r="D1184" s="8" t="s">
        <v>49</v>
      </c>
      <c r="E1184" s="52">
        <v>1362</v>
      </c>
      <c r="F1184" s="13"/>
      <c r="G1184" s="13">
        <v>3105</v>
      </c>
    </row>
    <row r="1185" spans="1:7" hidden="1" x14ac:dyDescent="0.75">
      <c r="A1185" s="51">
        <v>44956</v>
      </c>
      <c r="B1185" s="52">
        <v>712</v>
      </c>
      <c r="C1185" s="8" t="s">
        <v>2126</v>
      </c>
      <c r="D1185" s="8" t="s">
        <v>49</v>
      </c>
      <c r="E1185" s="52">
        <v>1362</v>
      </c>
      <c r="F1185" s="13"/>
      <c r="G1185" s="13">
        <v>3282.5</v>
      </c>
    </row>
    <row r="1186" spans="1:7" hidden="1" x14ac:dyDescent="0.75">
      <c r="A1186" s="51">
        <v>44956</v>
      </c>
      <c r="B1186" s="52">
        <v>712</v>
      </c>
      <c r="C1186" s="8" t="s">
        <v>2126</v>
      </c>
      <c r="D1186" s="8" t="s">
        <v>49</v>
      </c>
      <c r="E1186" s="52">
        <v>1362</v>
      </c>
      <c r="F1186" s="13"/>
      <c r="G1186" s="13">
        <v>3724</v>
      </c>
    </row>
    <row r="1187" spans="1:7" hidden="1" x14ac:dyDescent="0.75">
      <c r="A1187" s="51">
        <v>44957</v>
      </c>
      <c r="B1187" s="52">
        <v>712</v>
      </c>
      <c r="C1187" s="8" t="s">
        <v>2150</v>
      </c>
      <c r="D1187" s="8" t="s">
        <v>49</v>
      </c>
      <c r="E1187" s="52">
        <v>408</v>
      </c>
      <c r="F1187" s="13">
        <v>2903.9</v>
      </c>
      <c r="G1187" s="13"/>
    </row>
    <row r="1188" spans="1:7" hidden="1" x14ac:dyDescent="0.75">
      <c r="A1188" s="51">
        <v>44928</v>
      </c>
      <c r="B1188" s="52">
        <v>716</v>
      </c>
      <c r="C1188" s="8" t="s">
        <v>2151</v>
      </c>
      <c r="D1188" s="8" t="s">
        <v>50</v>
      </c>
      <c r="E1188" s="52">
        <v>408</v>
      </c>
      <c r="F1188" s="13">
        <v>1921.94</v>
      </c>
      <c r="G1188" s="13"/>
    </row>
    <row r="1189" spans="1:7" hidden="1" x14ac:dyDescent="0.75">
      <c r="A1189" s="51">
        <v>44930</v>
      </c>
      <c r="B1189" s="52">
        <v>716</v>
      </c>
      <c r="C1189" s="8" t="s">
        <v>2152</v>
      </c>
      <c r="D1189" s="8" t="s">
        <v>50</v>
      </c>
      <c r="E1189" s="52">
        <v>408</v>
      </c>
      <c r="F1189" s="13">
        <v>1186.68</v>
      </c>
      <c r="G1189" s="13"/>
    </row>
    <row r="1190" spans="1:7" hidden="1" x14ac:dyDescent="0.75">
      <c r="A1190" s="51">
        <v>44931</v>
      </c>
      <c r="B1190" s="52">
        <v>716</v>
      </c>
      <c r="C1190" s="8" t="s">
        <v>2153</v>
      </c>
      <c r="D1190" s="8" t="s">
        <v>50</v>
      </c>
      <c r="E1190" s="52">
        <v>408</v>
      </c>
      <c r="F1190" s="13">
        <v>629.5</v>
      </c>
      <c r="G1190" s="13"/>
    </row>
    <row r="1191" spans="1:7" hidden="1" x14ac:dyDescent="0.75">
      <c r="A1191" s="51">
        <v>44932</v>
      </c>
      <c r="B1191" s="52">
        <v>716</v>
      </c>
      <c r="C1191" s="8" t="s">
        <v>2154</v>
      </c>
      <c r="D1191" s="8" t="s">
        <v>50</v>
      </c>
      <c r="E1191" s="52">
        <v>408</v>
      </c>
      <c r="F1191" s="13">
        <v>1048.79</v>
      </c>
      <c r="G1191" s="13"/>
    </row>
    <row r="1192" spans="1:7" hidden="1" x14ac:dyDescent="0.75">
      <c r="A1192" s="51">
        <v>44933</v>
      </c>
      <c r="B1192" s="52">
        <v>716</v>
      </c>
      <c r="C1192" s="8" t="s">
        <v>2155</v>
      </c>
      <c r="D1192" s="8" t="s">
        <v>50</v>
      </c>
      <c r="E1192" s="52">
        <v>408</v>
      </c>
      <c r="F1192" s="13">
        <v>888.88</v>
      </c>
      <c r="G1192" s="13"/>
    </row>
    <row r="1193" spans="1:7" hidden="1" x14ac:dyDescent="0.75">
      <c r="A1193" s="51">
        <v>44935</v>
      </c>
      <c r="B1193" s="52">
        <v>716</v>
      </c>
      <c r="C1193" s="8" t="s">
        <v>2156</v>
      </c>
      <c r="D1193" s="8" t="s">
        <v>50</v>
      </c>
      <c r="E1193" s="52">
        <v>408</v>
      </c>
      <c r="F1193" s="13">
        <v>1007.43</v>
      </c>
      <c r="G1193" s="13"/>
    </row>
    <row r="1194" spans="1:7" hidden="1" x14ac:dyDescent="0.75">
      <c r="A1194" s="51">
        <v>44936</v>
      </c>
      <c r="B1194" s="52">
        <v>716</v>
      </c>
      <c r="C1194" s="8" t="s">
        <v>2157</v>
      </c>
      <c r="D1194" s="8" t="s">
        <v>50</v>
      </c>
      <c r="E1194" s="52">
        <v>408</v>
      </c>
      <c r="F1194" s="13">
        <v>1193.93</v>
      </c>
      <c r="G1194" s="13"/>
    </row>
    <row r="1195" spans="1:7" hidden="1" x14ac:dyDescent="0.75">
      <c r="A1195" s="51">
        <v>44936</v>
      </c>
      <c r="B1195" s="52">
        <v>716</v>
      </c>
      <c r="C1195" s="8" t="s">
        <v>2158</v>
      </c>
      <c r="D1195" s="8" t="s">
        <v>50</v>
      </c>
      <c r="E1195" s="52">
        <v>1362</v>
      </c>
      <c r="F1195" s="13"/>
      <c r="G1195" s="13">
        <v>863.88</v>
      </c>
    </row>
    <row r="1196" spans="1:7" hidden="1" x14ac:dyDescent="0.75">
      <c r="A1196" s="51">
        <v>44936</v>
      </c>
      <c r="B1196" s="52">
        <v>716</v>
      </c>
      <c r="C1196" s="8" t="s">
        <v>2158</v>
      </c>
      <c r="D1196" s="8" t="s">
        <v>50</v>
      </c>
      <c r="E1196" s="52">
        <v>1362</v>
      </c>
      <c r="F1196" s="13"/>
      <c r="G1196" s="13">
        <v>1289.32</v>
      </c>
    </row>
    <row r="1197" spans="1:7" hidden="1" x14ac:dyDescent="0.75">
      <c r="A1197" s="51">
        <v>44936</v>
      </c>
      <c r="B1197" s="52">
        <v>716</v>
      </c>
      <c r="C1197" s="8" t="s">
        <v>2158</v>
      </c>
      <c r="D1197" s="8" t="s">
        <v>50</v>
      </c>
      <c r="E1197" s="52">
        <v>1362</v>
      </c>
      <c r="F1197" s="13"/>
      <c r="G1197" s="13">
        <v>1371.97</v>
      </c>
    </row>
    <row r="1198" spans="1:7" hidden="1" x14ac:dyDescent="0.75">
      <c r="A1198" s="51">
        <v>44936</v>
      </c>
      <c r="B1198" s="52">
        <v>716</v>
      </c>
      <c r="C1198" s="8" t="s">
        <v>2158</v>
      </c>
      <c r="D1198" s="8" t="s">
        <v>50</v>
      </c>
      <c r="E1198" s="52">
        <v>1362</v>
      </c>
      <c r="F1198" s="13"/>
      <c r="G1198" s="13">
        <v>536.39</v>
      </c>
    </row>
    <row r="1199" spans="1:7" hidden="1" x14ac:dyDescent="0.75">
      <c r="A1199" s="51">
        <v>44936</v>
      </c>
      <c r="B1199" s="52">
        <v>716</v>
      </c>
      <c r="C1199" s="8" t="s">
        <v>2158</v>
      </c>
      <c r="D1199" s="8" t="s">
        <v>50</v>
      </c>
      <c r="E1199" s="52">
        <v>1362</v>
      </c>
      <c r="F1199" s="13"/>
      <c r="G1199" s="13">
        <v>1152.23</v>
      </c>
    </row>
    <row r="1200" spans="1:7" hidden="1" x14ac:dyDescent="0.75">
      <c r="A1200" s="51">
        <v>44936</v>
      </c>
      <c r="B1200" s="52">
        <v>716</v>
      </c>
      <c r="C1200" s="8" t="s">
        <v>2158</v>
      </c>
      <c r="D1200" s="8" t="s">
        <v>50</v>
      </c>
      <c r="E1200" s="52">
        <v>1362</v>
      </c>
      <c r="F1200" s="13"/>
      <c r="G1200" s="13">
        <v>422.98</v>
      </c>
    </row>
    <row r="1201" spans="1:7" hidden="1" x14ac:dyDescent="0.75">
      <c r="A1201" s="51">
        <v>44936</v>
      </c>
      <c r="B1201" s="52">
        <v>716</v>
      </c>
      <c r="C1201" s="8" t="s">
        <v>2158</v>
      </c>
      <c r="D1201" s="8" t="s">
        <v>50</v>
      </c>
      <c r="E1201" s="52">
        <v>1362</v>
      </c>
      <c r="F1201" s="13"/>
      <c r="G1201" s="13">
        <v>296.20999999999998</v>
      </c>
    </row>
    <row r="1202" spans="1:7" hidden="1" x14ac:dyDescent="0.75">
      <c r="A1202" s="51">
        <v>44936</v>
      </c>
      <c r="B1202" s="52">
        <v>716</v>
      </c>
      <c r="C1202" s="8" t="s">
        <v>2158</v>
      </c>
      <c r="D1202" s="8" t="s">
        <v>50</v>
      </c>
      <c r="E1202" s="52">
        <v>1362</v>
      </c>
      <c r="F1202" s="13"/>
      <c r="G1202" s="13">
        <v>2489.12</v>
      </c>
    </row>
    <row r="1203" spans="1:7" hidden="1" x14ac:dyDescent="0.75">
      <c r="A1203" s="51">
        <v>44936</v>
      </c>
      <c r="B1203" s="52">
        <v>716</v>
      </c>
      <c r="C1203" s="8" t="s">
        <v>2158</v>
      </c>
      <c r="D1203" s="8" t="s">
        <v>50</v>
      </c>
      <c r="E1203" s="52">
        <v>1362</v>
      </c>
      <c r="F1203" s="13"/>
      <c r="G1203" s="13">
        <v>638.04999999999995</v>
      </c>
    </row>
    <row r="1204" spans="1:7" hidden="1" x14ac:dyDescent="0.75">
      <c r="A1204" s="51">
        <v>44936</v>
      </c>
      <c r="B1204" s="52">
        <v>716</v>
      </c>
      <c r="C1204" s="8" t="s">
        <v>2158</v>
      </c>
      <c r="D1204" s="8" t="s">
        <v>50</v>
      </c>
      <c r="E1204" s="52">
        <v>1362</v>
      </c>
      <c r="F1204" s="13"/>
      <c r="G1204" s="13">
        <v>1280.74</v>
      </c>
    </row>
    <row r="1205" spans="1:7" hidden="1" x14ac:dyDescent="0.75">
      <c r="A1205" s="51">
        <v>44936</v>
      </c>
      <c r="B1205" s="52">
        <v>716</v>
      </c>
      <c r="C1205" s="8" t="s">
        <v>2158</v>
      </c>
      <c r="D1205" s="8" t="s">
        <v>50</v>
      </c>
      <c r="E1205" s="52">
        <v>1362</v>
      </c>
      <c r="F1205" s="13"/>
      <c r="G1205" s="13">
        <v>306.27</v>
      </c>
    </row>
    <row r="1206" spans="1:7" hidden="1" x14ac:dyDescent="0.75">
      <c r="A1206" s="51">
        <v>44936</v>
      </c>
      <c r="B1206" s="52">
        <v>716</v>
      </c>
      <c r="C1206" s="8" t="s">
        <v>2158</v>
      </c>
      <c r="D1206" s="8" t="s">
        <v>50</v>
      </c>
      <c r="E1206" s="52">
        <v>1362</v>
      </c>
      <c r="F1206" s="13"/>
      <c r="G1206" s="13">
        <v>222.12</v>
      </c>
    </row>
    <row r="1207" spans="1:7" hidden="1" x14ac:dyDescent="0.75">
      <c r="A1207" s="51">
        <v>44936</v>
      </c>
      <c r="B1207" s="52">
        <v>716</v>
      </c>
      <c r="C1207" s="8" t="s">
        <v>2158</v>
      </c>
      <c r="D1207" s="8" t="s">
        <v>50</v>
      </c>
      <c r="E1207" s="52">
        <v>1362</v>
      </c>
      <c r="F1207" s="13"/>
      <c r="G1207" s="13">
        <v>267.94</v>
      </c>
    </row>
    <row r="1208" spans="1:7" hidden="1" x14ac:dyDescent="0.75">
      <c r="A1208" s="51">
        <v>44936</v>
      </c>
      <c r="B1208" s="52">
        <v>716</v>
      </c>
      <c r="C1208" s="8" t="s">
        <v>2158</v>
      </c>
      <c r="D1208" s="8" t="s">
        <v>50</v>
      </c>
      <c r="E1208" s="52">
        <v>1362</v>
      </c>
      <c r="F1208" s="13"/>
      <c r="G1208" s="13">
        <v>1111.01</v>
      </c>
    </row>
    <row r="1209" spans="1:7" hidden="1" x14ac:dyDescent="0.75">
      <c r="A1209" s="51">
        <v>44936</v>
      </c>
      <c r="B1209" s="52">
        <v>716</v>
      </c>
      <c r="C1209" s="8" t="s">
        <v>2158</v>
      </c>
      <c r="D1209" s="8" t="s">
        <v>50</v>
      </c>
      <c r="E1209" s="52">
        <v>1362</v>
      </c>
      <c r="F1209" s="13"/>
      <c r="G1209" s="13">
        <v>1149.46</v>
      </c>
    </row>
    <row r="1210" spans="1:7" hidden="1" x14ac:dyDescent="0.75">
      <c r="A1210" s="51">
        <v>44936</v>
      </c>
      <c r="B1210" s="52">
        <v>716</v>
      </c>
      <c r="C1210" s="8" t="s">
        <v>2158</v>
      </c>
      <c r="D1210" s="8" t="s">
        <v>50</v>
      </c>
      <c r="E1210" s="52">
        <v>1362</v>
      </c>
      <c r="F1210" s="13"/>
      <c r="G1210" s="13">
        <v>806.58</v>
      </c>
    </row>
    <row r="1211" spans="1:7" hidden="1" x14ac:dyDescent="0.75">
      <c r="A1211" s="51">
        <v>44936</v>
      </c>
      <c r="B1211" s="52">
        <v>716</v>
      </c>
      <c r="C1211" s="8" t="s">
        <v>2158</v>
      </c>
      <c r="D1211" s="8" t="s">
        <v>50</v>
      </c>
      <c r="E1211" s="52">
        <v>1362</v>
      </c>
      <c r="F1211" s="13"/>
      <c r="G1211" s="13">
        <v>1274.07</v>
      </c>
    </row>
    <row r="1212" spans="1:7" hidden="1" x14ac:dyDescent="0.75">
      <c r="A1212" s="51">
        <v>44936</v>
      </c>
      <c r="B1212" s="52">
        <v>716</v>
      </c>
      <c r="C1212" s="8" t="s">
        <v>2158</v>
      </c>
      <c r="D1212" s="8" t="s">
        <v>50</v>
      </c>
      <c r="E1212" s="52">
        <v>1362</v>
      </c>
      <c r="F1212" s="13"/>
      <c r="G1212" s="13">
        <v>1454.87</v>
      </c>
    </row>
    <row r="1213" spans="1:7" hidden="1" x14ac:dyDescent="0.75">
      <c r="A1213" s="51">
        <v>44936</v>
      </c>
      <c r="B1213" s="52">
        <v>716</v>
      </c>
      <c r="C1213" s="8" t="s">
        <v>2158</v>
      </c>
      <c r="D1213" s="8" t="s">
        <v>50</v>
      </c>
      <c r="E1213" s="52">
        <v>1362</v>
      </c>
      <c r="F1213" s="13"/>
      <c r="G1213" s="13">
        <v>532.33000000000004</v>
      </c>
    </row>
    <row r="1214" spans="1:7" hidden="1" x14ac:dyDescent="0.75">
      <c r="A1214" s="51">
        <v>44936</v>
      </c>
      <c r="B1214" s="52">
        <v>716</v>
      </c>
      <c r="C1214" s="8" t="s">
        <v>2158</v>
      </c>
      <c r="D1214" s="8" t="s">
        <v>50</v>
      </c>
      <c r="E1214" s="52">
        <v>1362</v>
      </c>
      <c r="F1214" s="13"/>
      <c r="G1214" s="13">
        <v>247.27</v>
      </c>
    </row>
    <row r="1215" spans="1:7" hidden="1" x14ac:dyDescent="0.75">
      <c r="A1215" s="51">
        <v>44936</v>
      </c>
      <c r="B1215" s="52">
        <v>716</v>
      </c>
      <c r="C1215" s="8" t="s">
        <v>2158</v>
      </c>
      <c r="D1215" s="8" t="s">
        <v>50</v>
      </c>
      <c r="E1215" s="52">
        <v>1362</v>
      </c>
      <c r="F1215" s="13"/>
      <c r="G1215" s="13">
        <v>1921.94</v>
      </c>
    </row>
    <row r="1216" spans="1:7" hidden="1" x14ac:dyDescent="0.75">
      <c r="A1216" s="51">
        <v>44936</v>
      </c>
      <c r="B1216" s="52">
        <v>716</v>
      </c>
      <c r="C1216" s="8" t="s">
        <v>2158</v>
      </c>
      <c r="D1216" s="8" t="s">
        <v>50</v>
      </c>
      <c r="E1216" s="52">
        <v>1362</v>
      </c>
      <c r="F1216" s="13"/>
      <c r="G1216" s="13">
        <v>1186.68</v>
      </c>
    </row>
    <row r="1217" spans="1:7" hidden="1" x14ac:dyDescent="0.75">
      <c r="A1217" s="51">
        <v>44936</v>
      </c>
      <c r="B1217" s="52">
        <v>716</v>
      </c>
      <c r="C1217" s="8" t="s">
        <v>2158</v>
      </c>
      <c r="D1217" s="8" t="s">
        <v>50</v>
      </c>
      <c r="E1217" s="52">
        <v>1362</v>
      </c>
      <c r="F1217" s="13"/>
      <c r="G1217" s="13">
        <v>629.5</v>
      </c>
    </row>
    <row r="1218" spans="1:7" hidden="1" x14ac:dyDescent="0.75">
      <c r="A1218" s="51">
        <v>44936</v>
      </c>
      <c r="B1218" s="52">
        <v>716</v>
      </c>
      <c r="C1218" s="8" t="s">
        <v>2158</v>
      </c>
      <c r="D1218" s="8" t="s">
        <v>50</v>
      </c>
      <c r="E1218" s="52">
        <v>1362</v>
      </c>
      <c r="F1218" s="13"/>
      <c r="G1218" s="13">
        <v>1048.79</v>
      </c>
    </row>
    <row r="1219" spans="1:7" hidden="1" x14ac:dyDescent="0.75">
      <c r="A1219" s="51">
        <v>44936</v>
      </c>
      <c r="B1219" s="52">
        <v>716</v>
      </c>
      <c r="C1219" s="8" t="s">
        <v>2158</v>
      </c>
      <c r="D1219" s="8" t="s">
        <v>50</v>
      </c>
      <c r="E1219" s="52">
        <v>1362</v>
      </c>
      <c r="F1219" s="13"/>
      <c r="G1219" s="13">
        <v>888.88</v>
      </c>
    </row>
    <row r="1220" spans="1:7" hidden="1" x14ac:dyDescent="0.75">
      <c r="A1220" s="51">
        <v>44938</v>
      </c>
      <c r="B1220" s="52">
        <v>716</v>
      </c>
      <c r="C1220" s="8" t="s">
        <v>2159</v>
      </c>
      <c r="D1220" s="8" t="s">
        <v>50</v>
      </c>
      <c r="E1220" s="52">
        <v>408</v>
      </c>
      <c r="F1220" s="13">
        <v>374.68</v>
      </c>
      <c r="G1220" s="13"/>
    </row>
    <row r="1221" spans="1:7" hidden="1" x14ac:dyDescent="0.75">
      <c r="A1221" s="51">
        <v>44939</v>
      </c>
      <c r="B1221" s="52">
        <v>716</v>
      </c>
      <c r="C1221" s="8" t="s">
        <v>2160</v>
      </c>
      <c r="D1221" s="8" t="s">
        <v>50</v>
      </c>
      <c r="E1221" s="52">
        <v>408</v>
      </c>
      <c r="F1221" s="13">
        <v>1143.23</v>
      </c>
      <c r="G1221" s="13"/>
    </row>
    <row r="1222" spans="1:7" hidden="1" x14ac:dyDescent="0.75">
      <c r="A1222" s="51">
        <v>44940</v>
      </c>
      <c r="B1222" s="52">
        <v>716</v>
      </c>
      <c r="C1222" s="8" t="s">
        <v>2161</v>
      </c>
      <c r="D1222" s="8" t="s">
        <v>50</v>
      </c>
      <c r="E1222" s="52">
        <v>408</v>
      </c>
      <c r="F1222" s="13">
        <v>642.55999999999995</v>
      </c>
      <c r="G1222" s="13"/>
    </row>
    <row r="1223" spans="1:7" hidden="1" x14ac:dyDescent="0.75">
      <c r="A1223" s="51">
        <v>44942</v>
      </c>
      <c r="B1223" s="52">
        <v>716</v>
      </c>
      <c r="C1223" s="8" t="s">
        <v>2162</v>
      </c>
      <c r="D1223" s="8" t="s">
        <v>50</v>
      </c>
      <c r="E1223" s="52">
        <v>408</v>
      </c>
      <c r="F1223" s="13">
        <v>1044.24</v>
      </c>
      <c r="G1223" s="13"/>
    </row>
    <row r="1224" spans="1:7" hidden="1" x14ac:dyDescent="0.75">
      <c r="A1224" s="51">
        <v>44943</v>
      </c>
      <c r="B1224" s="52">
        <v>716</v>
      </c>
      <c r="C1224" s="8" t="s">
        <v>2163</v>
      </c>
      <c r="D1224" s="8" t="s">
        <v>50</v>
      </c>
      <c r="E1224" s="52">
        <v>408</v>
      </c>
      <c r="F1224" s="13">
        <v>1142.8499999999999</v>
      </c>
      <c r="G1224" s="13"/>
    </row>
    <row r="1225" spans="1:7" hidden="1" x14ac:dyDescent="0.75">
      <c r="A1225" s="51">
        <v>44944</v>
      </c>
      <c r="B1225" s="52">
        <v>716</v>
      </c>
      <c r="C1225" s="8" t="s">
        <v>2164</v>
      </c>
      <c r="D1225" s="8" t="s">
        <v>50</v>
      </c>
      <c r="E1225" s="52">
        <v>408</v>
      </c>
      <c r="F1225" s="13">
        <v>440.87</v>
      </c>
      <c r="G1225" s="13"/>
    </row>
    <row r="1226" spans="1:7" hidden="1" x14ac:dyDescent="0.75">
      <c r="A1226" s="51">
        <v>44945</v>
      </c>
      <c r="B1226" s="52">
        <v>716</v>
      </c>
      <c r="C1226" s="8" t="s">
        <v>2165</v>
      </c>
      <c r="D1226" s="8" t="s">
        <v>50</v>
      </c>
      <c r="E1226" s="52">
        <v>408</v>
      </c>
      <c r="F1226" s="13">
        <v>359.26</v>
      </c>
      <c r="G1226" s="13"/>
    </row>
    <row r="1227" spans="1:7" hidden="1" x14ac:dyDescent="0.75">
      <c r="A1227" s="51">
        <v>44946</v>
      </c>
      <c r="B1227" s="52">
        <v>716</v>
      </c>
      <c r="C1227" s="8" t="s">
        <v>2166</v>
      </c>
      <c r="D1227" s="8" t="s">
        <v>50</v>
      </c>
      <c r="E1227" s="52">
        <v>408</v>
      </c>
      <c r="F1227" s="13">
        <v>788.35</v>
      </c>
      <c r="G1227" s="13"/>
    </row>
    <row r="1228" spans="1:7" hidden="1" x14ac:dyDescent="0.75">
      <c r="A1228" s="51">
        <v>44947</v>
      </c>
      <c r="B1228" s="52">
        <v>716</v>
      </c>
      <c r="C1228" s="8" t="s">
        <v>2167</v>
      </c>
      <c r="D1228" s="8" t="s">
        <v>50</v>
      </c>
      <c r="E1228" s="52">
        <v>408</v>
      </c>
      <c r="F1228" s="13">
        <v>1533.14</v>
      </c>
      <c r="G1228" s="13"/>
    </row>
    <row r="1229" spans="1:7" hidden="1" x14ac:dyDescent="0.75">
      <c r="A1229" s="51">
        <v>44949</v>
      </c>
      <c r="B1229" s="52">
        <v>716</v>
      </c>
      <c r="C1229" s="8" t="s">
        <v>2168</v>
      </c>
      <c r="D1229" s="8" t="s">
        <v>50</v>
      </c>
      <c r="E1229" s="52">
        <v>408</v>
      </c>
      <c r="F1229" s="13">
        <v>1015.88</v>
      </c>
      <c r="G1229" s="13"/>
    </row>
    <row r="1230" spans="1:7" hidden="1" x14ac:dyDescent="0.75">
      <c r="A1230" s="51">
        <v>44951</v>
      </c>
      <c r="B1230" s="52">
        <v>716</v>
      </c>
      <c r="C1230" s="8" t="s">
        <v>2169</v>
      </c>
      <c r="D1230" s="8" t="s">
        <v>50</v>
      </c>
      <c r="E1230" s="52">
        <v>408</v>
      </c>
      <c r="F1230" s="13">
        <v>1994.34</v>
      </c>
      <c r="G1230" s="13"/>
    </row>
    <row r="1231" spans="1:7" hidden="1" x14ac:dyDescent="0.75">
      <c r="A1231" s="51">
        <v>44952</v>
      </c>
      <c r="B1231" s="52">
        <v>716</v>
      </c>
      <c r="C1231" s="8" t="s">
        <v>2170</v>
      </c>
      <c r="D1231" s="8" t="s">
        <v>50</v>
      </c>
      <c r="E1231" s="52">
        <v>408</v>
      </c>
      <c r="F1231" s="13">
        <v>472.36</v>
      </c>
      <c r="G1231" s="13"/>
    </row>
    <row r="1232" spans="1:7" hidden="1" x14ac:dyDescent="0.75">
      <c r="A1232" s="51">
        <v>44953</v>
      </c>
      <c r="B1232" s="52">
        <v>716</v>
      </c>
      <c r="C1232" s="8" t="s">
        <v>2171</v>
      </c>
      <c r="D1232" s="8" t="s">
        <v>50</v>
      </c>
      <c r="E1232" s="52">
        <v>408</v>
      </c>
      <c r="F1232" s="13">
        <v>813.88</v>
      </c>
      <c r="G1232" s="13"/>
    </row>
    <row r="1233" spans="1:7" hidden="1" x14ac:dyDescent="0.75">
      <c r="A1233" s="51">
        <v>44954</v>
      </c>
      <c r="B1233" s="52">
        <v>716</v>
      </c>
      <c r="C1233" s="8" t="s">
        <v>2172</v>
      </c>
      <c r="D1233" s="8" t="s">
        <v>50</v>
      </c>
      <c r="E1233" s="52">
        <v>408</v>
      </c>
      <c r="F1233" s="13">
        <v>1056.3</v>
      </c>
      <c r="G1233" s="13"/>
    </row>
    <row r="1234" spans="1:7" hidden="1" x14ac:dyDescent="0.75">
      <c r="A1234" s="51">
        <v>44956</v>
      </c>
      <c r="B1234" s="52">
        <v>716</v>
      </c>
      <c r="C1234" s="8" t="s">
        <v>2173</v>
      </c>
      <c r="D1234" s="8" t="s">
        <v>50</v>
      </c>
      <c r="E1234" s="52">
        <v>408</v>
      </c>
      <c r="F1234" s="13">
        <v>2085.0700000000002</v>
      </c>
      <c r="G1234" s="13"/>
    </row>
    <row r="1235" spans="1:7" hidden="1" x14ac:dyDescent="0.75">
      <c r="A1235" s="51">
        <v>44956</v>
      </c>
      <c r="B1235" s="52">
        <v>716</v>
      </c>
      <c r="C1235" s="8" t="s">
        <v>2174</v>
      </c>
      <c r="D1235" s="8" t="s">
        <v>50</v>
      </c>
      <c r="E1235" s="52">
        <v>408</v>
      </c>
      <c r="F1235" s="13">
        <v>180.5</v>
      </c>
      <c r="G1235" s="13"/>
    </row>
    <row r="1236" spans="1:7" hidden="1" x14ac:dyDescent="0.75">
      <c r="A1236" s="51">
        <v>44957</v>
      </c>
      <c r="B1236" s="52">
        <v>716</v>
      </c>
      <c r="C1236" s="8" t="s">
        <v>2175</v>
      </c>
      <c r="D1236" s="8" t="s">
        <v>50</v>
      </c>
      <c r="E1236" s="52">
        <v>408</v>
      </c>
      <c r="F1236" s="13">
        <v>823.13</v>
      </c>
      <c r="G1236" s="13"/>
    </row>
    <row r="1237" spans="1:7" hidden="1" x14ac:dyDescent="0.75">
      <c r="A1237" s="51">
        <v>44932</v>
      </c>
      <c r="B1237" s="52">
        <v>1734</v>
      </c>
      <c r="C1237" s="8" t="s">
        <v>2176</v>
      </c>
      <c r="D1237" s="8" t="s">
        <v>51</v>
      </c>
      <c r="E1237" s="52">
        <v>408</v>
      </c>
      <c r="F1237" s="13">
        <v>2471.87</v>
      </c>
      <c r="G1237" s="13"/>
    </row>
    <row r="1238" spans="1:7" hidden="1" x14ac:dyDescent="0.75">
      <c r="A1238" s="51">
        <v>44936</v>
      </c>
      <c r="B1238" s="52">
        <v>1734</v>
      </c>
      <c r="C1238" s="8" t="s">
        <v>2177</v>
      </c>
      <c r="D1238" s="8" t="s">
        <v>51</v>
      </c>
      <c r="E1238" s="52">
        <v>1362</v>
      </c>
      <c r="F1238" s="13"/>
      <c r="G1238" s="13">
        <v>1460.96</v>
      </c>
    </row>
    <row r="1239" spans="1:7" hidden="1" x14ac:dyDescent="0.75">
      <c r="A1239" s="51">
        <v>44936</v>
      </c>
      <c r="B1239" s="52">
        <v>1734</v>
      </c>
      <c r="C1239" s="8" t="s">
        <v>2177</v>
      </c>
      <c r="D1239" s="8" t="s">
        <v>51</v>
      </c>
      <c r="E1239" s="52">
        <v>1362</v>
      </c>
      <c r="F1239" s="13"/>
      <c r="G1239" s="13">
        <v>1231.0999999999999</v>
      </c>
    </row>
    <row r="1240" spans="1:7" hidden="1" x14ac:dyDescent="0.75">
      <c r="A1240" s="51">
        <v>44936</v>
      </c>
      <c r="B1240" s="52">
        <v>1734</v>
      </c>
      <c r="C1240" s="8" t="s">
        <v>2177</v>
      </c>
      <c r="D1240" s="8" t="s">
        <v>51</v>
      </c>
      <c r="E1240" s="52">
        <v>1362</v>
      </c>
      <c r="F1240" s="13"/>
      <c r="G1240" s="13">
        <v>2471.87</v>
      </c>
    </row>
    <row r="1241" spans="1:7" hidden="1" x14ac:dyDescent="0.75">
      <c r="A1241" s="51">
        <v>44939</v>
      </c>
      <c r="B1241" s="52">
        <v>1734</v>
      </c>
      <c r="C1241" s="8" t="s">
        <v>2178</v>
      </c>
      <c r="D1241" s="8" t="s">
        <v>51</v>
      </c>
      <c r="E1241" s="52">
        <v>408</v>
      </c>
      <c r="F1241" s="13">
        <v>1562.38</v>
      </c>
      <c r="G1241" s="13"/>
    </row>
    <row r="1242" spans="1:7" hidden="1" x14ac:dyDescent="0.75">
      <c r="A1242" s="51">
        <v>44936</v>
      </c>
      <c r="B1242" s="52">
        <v>917</v>
      </c>
      <c r="C1242" s="8" t="s">
        <v>2179</v>
      </c>
      <c r="D1242" s="8" t="s">
        <v>52</v>
      </c>
      <c r="E1242" s="52">
        <v>1362</v>
      </c>
      <c r="F1242" s="13"/>
      <c r="G1242" s="13">
        <v>539</v>
      </c>
    </row>
    <row r="1243" spans="1:7" hidden="1" x14ac:dyDescent="0.75">
      <c r="A1243" s="51">
        <v>44936</v>
      </c>
      <c r="B1243" s="52">
        <v>917</v>
      </c>
      <c r="C1243" s="8" t="s">
        <v>2179</v>
      </c>
      <c r="D1243" s="8" t="s">
        <v>52</v>
      </c>
      <c r="E1243" s="52">
        <v>1362</v>
      </c>
      <c r="F1243" s="13"/>
      <c r="G1243" s="13">
        <v>1617</v>
      </c>
    </row>
    <row r="1244" spans="1:7" hidden="1" x14ac:dyDescent="0.75">
      <c r="A1244" s="51">
        <v>44936</v>
      </c>
      <c r="B1244" s="52">
        <v>917</v>
      </c>
      <c r="C1244" s="8" t="s">
        <v>2179</v>
      </c>
      <c r="D1244" s="8" t="s">
        <v>52</v>
      </c>
      <c r="E1244" s="52">
        <v>1362</v>
      </c>
      <c r="F1244" s="13"/>
      <c r="G1244" s="13">
        <v>1574.88</v>
      </c>
    </row>
    <row r="1245" spans="1:7" hidden="1" x14ac:dyDescent="0.75">
      <c r="A1245" s="51">
        <v>44936</v>
      </c>
      <c r="B1245" s="52">
        <v>917</v>
      </c>
      <c r="C1245" s="8" t="s">
        <v>2179</v>
      </c>
      <c r="D1245" s="8" t="s">
        <v>52</v>
      </c>
      <c r="E1245" s="52">
        <v>1362</v>
      </c>
      <c r="F1245" s="13"/>
      <c r="G1245" s="13">
        <v>1988.82</v>
      </c>
    </row>
    <row r="1246" spans="1:7" hidden="1" x14ac:dyDescent="0.75">
      <c r="A1246" s="51">
        <v>44936</v>
      </c>
      <c r="B1246" s="52">
        <v>917</v>
      </c>
      <c r="C1246" s="8" t="s">
        <v>2180</v>
      </c>
      <c r="D1246" s="8" t="s">
        <v>52</v>
      </c>
      <c r="E1246" s="52">
        <v>1362</v>
      </c>
      <c r="F1246" s="13"/>
      <c r="G1246" s="13">
        <v>2445.81</v>
      </c>
    </row>
    <row r="1247" spans="1:7" hidden="1" x14ac:dyDescent="0.75">
      <c r="A1247" s="51">
        <v>44936</v>
      </c>
      <c r="B1247" s="52">
        <v>917</v>
      </c>
      <c r="C1247" s="8" t="s">
        <v>2181</v>
      </c>
      <c r="D1247" s="8" t="s">
        <v>52</v>
      </c>
      <c r="E1247" s="52">
        <v>1362</v>
      </c>
      <c r="F1247" s="13"/>
      <c r="G1247" s="13">
        <v>3240.66</v>
      </c>
    </row>
    <row r="1248" spans="1:7" hidden="1" x14ac:dyDescent="0.75">
      <c r="A1248" s="51">
        <v>44936</v>
      </c>
      <c r="B1248" s="52">
        <v>917</v>
      </c>
      <c r="C1248" s="8" t="s">
        <v>2182</v>
      </c>
      <c r="D1248" s="8" t="s">
        <v>52</v>
      </c>
      <c r="E1248" s="52">
        <v>1362</v>
      </c>
      <c r="F1248" s="13"/>
      <c r="G1248" s="13">
        <v>2937.09</v>
      </c>
    </row>
    <row r="1249" spans="1:7" hidden="1" x14ac:dyDescent="0.75">
      <c r="A1249" s="51">
        <v>44936</v>
      </c>
      <c r="B1249" s="52">
        <v>917</v>
      </c>
      <c r="C1249" s="8" t="s">
        <v>2179</v>
      </c>
      <c r="D1249" s="8" t="s">
        <v>52</v>
      </c>
      <c r="E1249" s="52">
        <v>1362</v>
      </c>
      <c r="F1249" s="13"/>
      <c r="G1249" s="13">
        <v>2156</v>
      </c>
    </row>
    <row r="1250" spans="1:7" hidden="1" x14ac:dyDescent="0.75">
      <c r="A1250" s="51">
        <v>44936</v>
      </c>
      <c r="B1250" s="52">
        <v>917</v>
      </c>
      <c r="C1250" s="8" t="s">
        <v>2179</v>
      </c>
      <c r="D1250" s="8" t="s">
        <v>52</v>
      </c>
      <c r="E1250" s="52">
        <v>1362</v>
      </c>
      <c r="F1250" s="13"/>
      <c r="G1250" s="13">
        <v>1064.68</v>
      </c>
    </row>
    <row r="1251" spans="1:7" hidden="1" x14ac:dyDescent="0.75">
      <c r="A1251" s="51">
        <v>44936</v>
      </c>
      <c r="B1251" s="52">
        <v>917</v>
      </c>
      <c r="C1251" s="8" t="s">
        <v>2179</v>
      </c>
      <c r="D1251" s="8" t="s">
        <v>52</v>
      </c>
      <c r="E1251" s="52">
        <v>1362</v>
      </c>
      <c r="F1251" s="13"/>
      <c r="G1251" s="13">
        <v>772</v>
      </c>
    </row>
    <row r="1252" spans="1:7" hidden="1" x14ac:dyDescent="0.75">
      <c r="A1252" s="51">
        <v>44936</v>
      </c>
      <c r="B1252" s="52">
        <v>917</v>
      </c>
      <c r="C1252" s="8" t="s">
        <v>2179</v>
      </c>
      <c r="D1252" s="8" t="s">
        <v>52</v>
      </c>
      <c r="E1252" s="52">
        <v>1362</v>
      </c>
      <c r="F1252" s="13"/>
      <c r="G1252" s="13">
        <v>539</v>
      </c>
    </row>
    <row r="1253" spans="1:7" hidden="1" x14ac:dyDescent="0.75">
      <c r="A1253" s="51">
        <v>44936</v>
      </c>
      <c r="B1253" s="52">
        <v>917</v>
      </c>
      <c r="C1253" s="8" t="s">
        <v>2181</v>
      </c>
      <c r="D1253" s="8" t="s">
        <v>52</v>
      </c>
      <c r="E1253" s="52">
        <v>1362</v>
      </c>
      <c r="F1253" s="13"/>
      <c r="G1253" s="13">
        <v>2281.5100000000002</v>
      </c>
    </row>
    <row r="1254" spans="1:7" hidden="1" x14ac:dyDescent="0.75">
      <c r="A1254" s="51">
        <v>44939</v>
      </c>
      <c r="B1254" s="52">
        <v>917</v>
      </c>
      <c r="C1254" s="8" t="s">
        <v>2183</v>
      </c>
      <c r="D1254" s="8" t="s">
        <v>52</v>
      </c>
      <c r="E1254" s="52">
        <v>408</v>
      </c>
      <c r="F1254" s="13">
        <v>539</v>
      </c>
      <c r="G1254" s="13"/>
    </row>
    <row r="1255" spans="1:7" hidden="1" x14ac:dyDescent="0.75">
      <c r="A1255" s="51">
        <v>44939</v>
      </c>
      <c r="B1255" s="52">
        <v>917</v>
      </c>
      <c r="C1255" s="8" t="s">
        <v>2184</v>
      </c>
      <c r="D1255" s="8" t="s">
        <v>52</v>
      </c>
      <c r="E1255" s="52">
        <v>408</v>
      </c>
      <c r="F1255" s="13">
        <v>2503.38</v>
      </c>
      <c r="G1255" s="13"/>
    </row>
    <row r="1256" spans="1:7" hidden="1" x14ac:dyDescent="0.75">
      <c r="A1256" s="51">
        <v>44939</v>
      </c>
      <c r="B1256" s="52">
        <v>917</v>
      </c>
      <c r="C1256" s="8" t="s">
        <v>2185</v>
      </c>
      <c r="D1256" s="8" t="s">
        <v>52</v>
      </c>
      <c r="E1256" s="52">
        <v>408</v>
      </c>
      <c r="F1256" s="13">
        <v>2173.2399999999998</v>
      </c>
      <c r="G1256" s="13"/>
    </row>
    <row r="1257" spans="1:7" hidden="1" x14ac:dyDescent="0.75">
      <c r="A1257" s="51">
        <v>44928</v>
      </c>
      <c r="B1257" s="52">
        <v>1736</v>
      </c>
      <c r="C1257" s="8" t="s">
        <v>2186</v>
      </c>
      <c r="D1257" s="8" t="s">
        <v>54</v>
      </c>
      <c r="E1257" s="52">
        <v>408</v>
      </c>
      <c r="F1257" s="13">
        <v>678.5</v>
      </c>
      <c r="G1257" s="13"/>
    </row>
    <row r="1258" spans="1:7" hidden="1" x14ac:dyDescent="0.75">
      <c r="A1258" s="51">
        <v>44928</v>
      </c>
      <c r="B1258" s="52">
        <v>1736</v>
      </c>
      <c r="C1258" s="8" t="s">
        <v>2187</v>
      </c>
      <c r="D1258" s="8" t="s">
        <v>54</v>
      </c>
      <c r="E1258" s="52">
        <v>408</v>
      </c>
      <c r="F1258" s="13">
        <v>1651.3</v>
      </c>
      <c r="G1258" s="13"/>
    </row>
    <row r="1259" spans="1:7" hidden="1" x14ac:dyDescent="0.75">
      <c r="A1259" s="51">
        <v>44928</v>
      </c>
      <c r="B1259" s="52">
        <v>1736</v>
      </c>
      <c r="C1259" s="8" t="s">
        <v>2188</v>
      </c>
      <c r="D1259" s="8" t="s">
        <v>54</v>
      </c>
      <c r="E1259" s="52">
        <v>408</v>
      </c>
      <c r="F1259" s="13">
        <v>643.23</v>
      </c>
      <c r="G1259" s="13"/>
    </row>
    <row r="1260" spans="1:7" hidden="1" x14ac:dyDescent="0.75">
      <c r="A1260" s="51">
        <v>44929</v>
      </c>
      <c r="B1260" s="52">
        <v>1736</v>
      </c>
      <c r="C1260" s="8" t="s">
        <v>2189</v>
      </c>
      <c r="D1260" s="8" t="s">
        <v>54</v>
      </c>
      <c r="E1260" s="52">
        <v>408</v>
      </c>
      <c r="F1260" s="13">
        <v>887.78</v>
      </c>
      <c r="G1260" s="13"/>
    </row>
    <row r="1261" spans="1:7" hidden="1" x14ac:dyDescent="0.75">
      <c r="A1261" s="51">
        <v>44930</v>
      </c>
      <c r="B1261" s="52">
        <v>1736</v>
      </c>
      <c r="C1261" s="8" t="s">
        <v>2190</v>
      </c>
      <c r="D1261" s="8" t="s">
        <v>54</v>
      </c>
      <c r="E1261" s="52">
        <v>408</v>
      </c>
      <c r="F1261" s="13">
        <v>1441.9</v>
      </c>
      <c r="G1261" s="13"/>
    </row>
    <row r="1262" spans="1:7" hidden="1" x14ac:dyDescent="0.75">
      <c r="A1262" s="51">
        <v>44930</v>
      </c>
      <c r="B1262" s="52">
        <v>1736</v>
      </c>
      <c r="C1262" s="8" t="s">
        <v>2191</v>
      </c>
      <c r="D1262" s="8" t="s">
        <v>54</v>
      </c>
      <c r="E1262" s="52">
        <v>408</v>
      </c>
      <c r="F1262" s="13">
        <v>1881</v>
      </c>
      <c r="G1262" s="13"/>
    </row>
    <row r="1263" spans="1:7" hidden="1" x14ac:dyDescent="0.75">
      <c r="A1263" s="51">
        <v>44930</v>
      </c>
      <c r="B1263" s="52">
        <v>1736</v>
      </c>
      <c r="C1263" s="8" t="s">
        <v>2192</v>
      </c>
      <c r="D1263" s="8" t="s">
        <v>54</v>
      </c>
      <c r="E1263" s="52">
        <v>408</v>
      </c>
      <c r="F1263" s="13">
        <v>521.29999999999995</v>
      </c>
      <c r="G1263" s="13"/>
    </row>
    <row r="1264" spans="1:7" hidden="1" x14ac:dyDescent="0.75">
      <c r="A1264" s="51">
        <v>44930</v>
      </c>
      <c r="B1264" s="52">
        <v>1736</v>
      </c>
      <c r="C1264" s="8" t="s">
        <v>2193</v>
      </c>
      <c r="D1264" s="8" t="s">
        <v>54</v>
      </c>
      <c r="E1264" s="52">
        <v>408</v>
      </c>
      <c r="F1264" s="13">
        <v>951.11</v>
      </c>
      <c r="G1264" s="13"/>
    </row>
    <row r="1265" spans="1:7" hidden="1" x14ac:dyDescent="0.75">
      <c r="A1265" s="51">
        <v>44932</v>
      </c>
      <c r="B1265" s="52">
        <v>1736</v>
      </c>
      <c r="C1265" s="8" t="s">
        <v>2194</v>
      </c>
      <c r="D1265" s="8" t="s">
        <v>54</v>
      </c>
      <c r="E1265" s="52">
        <v>408</v>
      </c>
      <c r="F1265" s="13">
        <v>1467.9</v>
      </c>
      <c r="G1265" s="13"/>
    </row>
    <row r="1266" spans="1:7" hidden="1" x14ac:dyDescent="0.75">
      <c r="A1266" s="51">
        <v>44932</v>
      </c>
      <c r="B1266" s="52">
        <v>1736</v>
      </c>
      <c r="C1266" s="8" t="s">
        <v>2195</v>
      </c>
      <c r="D1266" s="8" t="s">
        <v>54</v>
      </c>
      <c r="E1266" s="52">
        <v>408</v>
      </c>
      <c r="F1266" s="13">
        <v>1662.19</v>
      </c>
      <c r="G1266" s="13"/>
    </row>
    <row r="1267" spans="1:7" hidden="1" x14ac:dyDescent="0.75">
      <c r="A1267" s="51">
        <v>44932</v>
      </c>
      <c r="B1267" s="52">
        <v>1736</v>
      </c>
      <c r="C1267" s="8" t="s">
        <v>2196</v>
      </c>
      <c r="D1267" s="8" t="s">
        <v>54</v>
      </c>
      <c r="E1267" s="52">
        <v>408</v>
      </c>
      <c r="F1267" s="13">
        <v>2281.5100000000002</v>
      </c>
      <c r="G1267" s="13"/>
    </row>
    <row r="1268" spans="1:7" hidden="1" x14ac:dyDescent="0.75">
      <c r="A1268" s="51">
        <v>44932</v>
      </c>
      <c r="B1268" s="52">
        <v>1736</v>
      </c>
      <c r="C1268" s="8" t="s">
        <v>2197</v>
      </c>
      <c r="D1268" s="8" t="s">
        <v>54</v>
      </c>
      <c r="E1268" s="52">
        <v>408</v>
      </c>
      <c r="F1268" s="13">
        <v>1546.79</v>
      </c>
      <c r="G1268" s="13"/>
    </row>
    <row r="1269" spans="1:7" hidden="1" x14ac:dyDescent="0.75">
      <c r="A1269" s="51">
        <v>44935</v>
      </c>
      <c r="B1269" s="52">
        <v>1736</v>
      </c>
      <c r="C1269" s="8" t="s">
        <v>2198</v>
      </c>
      <c r="D1269" s="8" t="s">
        <v>54</v>
      </c>
      <c r="E1269" s="52">
        <v>408</v>
      </c>
      <c r="F1269" s="13">
        <v>1380.89</v>
      </c>
      <c r="G1269" s="13"/>
    </row>
    <row r="1270" spans="1:7" hidden="1" x14ac:dyDescent="0.75">
      <c r="A1270" s="51">
        <v>44935</v>
      </c>
      <c r="B1270" s="52">
        <v>1736</v>
      </c>
      <c r="C1270" s="8" t="s">
        <v>2199</v>
      </c>
      <c r="D1270" s="8" t="s">
        <v>54</v>
      </c>
      <c r="E1270" s="52">
        <v>408</v>
      </c>
      <c r="F1270" s="13">
        <v>1111.05</v>
      </c>
      <c r="G1270" s="13"/>
    </row>
    <row r="1271" spans="1:7" hidden="1" x14ac:dyDescent="0.75">
      <c r="A1271" s="51">
        <v>44936</v>
      </c>
      <c r="B1271" s="52">
        <v>1736</v>
      </c>
      <c r="C1271" s="8" t="s">
        <v>2182</v>
      </c>
      <c r="D1271" s="8" t="s">
        <v>54</v>
      </c>
      <c r="E1271" s="52">
        <v>1362</v>
      </c>
      <c r="F1271" s="13"/>
      <c r="G1271" s="13">
        <v>604.54999999999995</v>
      </c>
    </row>
    <row r="1272" spans="1:7" hidden="1" x14ac:dyDescent="0.75">
      <c r="A1272" s="51">
        <v>44936</v>
      </c>
      <c r="B1272" s="52">
        <v>1736</v>
      </c>
      <c r="C1272" s="8" t="s">
        <v>2200</v>
      </c>
      <c r="D1272" s="8" t="s">
        <v>54</v>
      </c>
      <c r="E1272" s="52">
        <v>1362</v>
      </c>
      <c r="F1272" s="13"/>
      <c r="G1272" s="13">
        <v>523.79999999999995</v>
      </c>
    </row>
    <row r="1273" spans="1:7" hidden="1" x14ac:dyDescent="0.75">
      <c r="A1273" s="51">
        <v>44936</v>
      </c>
      <c r="B1273" s="52">
        <v>1736</v>
      </c>
      <c r="C1273" s="8" t="s">
        <v>2200</v>
      </c>
      <c r="D1273" s="8" t="s">
        <v>54</v>
      </c>
      <c r="E1273" s="52">
        <v>1362</v>
      </c>
      <c r="F1273" s="13"/>
      <c r="G1273" s="13">
        <v>407.07</v>
      </c>
    </row>
    <row r="1274" spans="1:7" hidden="1" x14ac:dyDescent="0.75">
      <c r="A1274" s="51">
        <v>44936</v>
      </c>
      <c r="B1274" s="52">
        <v>1736</v>
      </c>
      <c r="C1274" s="8" t="s">
        <v>2201</v>
      </c>
      <c r="D1274" s="8" t="s">
        <v>54</v>
      </c>
      <c r="E1274" s="52">
        <v>1362</v>
      </c>
      <c r="F1274" s="13"/>
      <c r="G1274" s="13">
        <v>1132.6099999999999</v>
      </c>
    </row>
    <row r="1275" spans="1:7" hidden="1" x14ac:dyDescent="0.75">
      <c r="A1275" s="51">
        <v>44936</v>
      </c>
      <c r="B1275" s="52">
        <v>1736</v>
      </c>
      <c r="C1275" s="8" t="s">
        <v>2182</v>
      </c>
      <c r="D1275" s="8" t="s">
        <v>54</v>
      </c>
      <c r="E1275" s="52">
        <v>1362</v>
      </c>
      <c r="F1275" s="13"/>
      <c r="G1275" s="13">
        <v>2113.25</v>
      </c>
    </row>
    <row r="1276" spans="1:7" hidden="1" x14ac:dyDescent="0.75">
      <c r="A1276" s="51">
        <v>44936</v>
      </c>
      <c r="B1276" s="52">
        <v>1736</v>
      </c>
      <c r="C1276" s="8" t="s">
        <v>2181</v>
      </c>
      <c r="D1276" s="8" t="s">
        <v>54</v>
      </c>
      <c r="E1276" s="52">
        <v>1362</v>
      </c>
      <c r="F1276" s="13"/>
      <c r="G1276" s="13">
        <v>1673.45</v>
      </c>
    </row>
    <row r="1277" spans="1:7" hidden="1" x14ac:dyDescent="0.75">
      <c r="A1277" s="51">
        <v>44936</v>
      </c>
      <c r="B1277" s="52">
        <v>1736</v>
      </c>
      <c r="C1277" s="8" t="s">
        <v>2180</v>
      </c>
      <c r="D1277" s="8" t="s">
        <v>54</v>
      </c>
      <c r="E1277" s="52">
        <v>1362</v>
      </c>
      <c r="F1277" s="13"/>
      <c r="G1277" s="13">
        <v>2155.94</v>
      </c>
    </row>
    <row r="1278" spans="1:7" hidden="1" x14ac:dyDescent="0.75">
      <c r="A1278" s="51">
        <v>44936</v>
      </c>
      <c r="B1278" s="52">
        <v>1736</v>
      </c>
      <c r="C1278" s="8" t="s">
        <v>2181</v>
      </c>
      <c r="D1278" s="8" t="s">
        <v>54</v>
      </c>
      <c r="E1278" s="52">
        <v>1362</v>
      </c>
      <c r="F1278" s="13"/>
      <c r="G1278" s="13">
        <v>692.5</v>
      </c>
    </row>
    <row r="1279" spans="1:7" hidden="1" x14ac:dyDescent="0.75">
      <c r="A1279" s="51">
        <v>44936</v>
      </c>
      <c r="B1279" s="52">
        <v>1736</v>
      </c>
      <c r="C1279" s="8" t="s">
        <v>2182</v>
      </c>
      <c r="D1279" s="8" t="s">
        <v>54</v>
      </c>
      <c r="E1279" s="52">
        <v>1362</v>
      </c>
      <c r="F1279" s="13"/>
      <c r="G1279" s="13">
        <v>1413.97</v>
      </c>
    </row>
    <row r="1280" spans="1:7" hidden="1" x14ac:dyDescent="0.75">
      <c r="A1280" s="51">
        <v>44936</v>
      </c>
      <c r="B1280" s="52">
        <v>1736</v>
      </c>
      <c r="C1280" s="8" t="s">
        <v>2201</v>
      </c>
      <c r="D1280" s="8" t="s">
        <v>54</v>
      </c>
      <c r="E1280" s="52">
        <v>1362</v>
      </c>
      <c r="F1280" s="13"/>
      <c r="G1280" s="13">
        <v>1483.29</v>
      </c>
    </row>
    <row r="1281" spans="1:7" hidden="1" x14ac:dyDescent="0.75">
      <c r="A1281" s="51">
        <v>44936</v>
      </c>
      <c r="B1281" s="52">
        <v>1736</v>
      </c>
      <c r="C1281" s="8" t="s">
        <v>2182</v>
      </c>
      <c r="D1281" s="8" t="s">
        <v>54</v>
      </c>
      <c r="E1281" s="52">
        <v>1362</v>
      </c>
      <c r="F1281" s="13"/>
      <c r="G1281" s="13">
        <v>1399.45</v>
      </c>
    </row>
    <row r="1282" spans="1:7" hidden="1" x14ac:dyDescent="0.75">
      <c r="A1282" s="51">
        <v>44936</v>
      </c>
      <c r="B1282" s="52">
        <v>1736</v>
      </c>
      <c r="C1282" s="8" t="s">
        <v>2181</v>
      </c>
      <c r="D1282" s="8" t="s">
        <v>54</v>
      </c>
      <c r="E1282" s="52">
        <v>1362</v>
      </c>
      <c r="F1282" s="13"/>
      <c r="G1282" s="13">
        <v>900.48</v>
      </c>
    </row>
    <row r="1283" spans="1:7" hidden="1" x14ac:dyDescent="0.75">
      <c r="A1283" s="51">
        <v>44936</v>
      </c>
      <c r="B1283" s="52">
        <v>1736</v>
      </c>
      <c r="C1283" s="8" t="s">
        <v>2200</v>
      </c>
      <c r="D1283" s="8" t="s">
        <v>54</v>
      </c>
      <c r="E1283" s="52">
        <v>1362</v>
      </c>
      <c r="F1283" s="13"/>
      <c r="G1283" s="13">
        <v>814.44</v>
      </c>
    </row>
    <row r="1284" spans="1:7" hidden="1" x14ac:dyDescent="0.75">
      <c r="A1284" s="51">
        <v>44936</v>
      </c>
      <c r="B1284" s="52">
        <v>1736</v>
      </c>
      <c r="C1284" s="8" t="s">
        <v>2201</v>
      </c>
      <c r="D1284" s="8" t="s">
        <v>54</v>
      </c>
      <c r="E1284" s="52">
        <v>1362</v>
      </c>
      <c r="F1284" s="13"/>
      <c r="G1284" s="13">
        <v>642.1</v>
      </c>
    </row>
    <row r="1285" spans="1:7" hidden="1" x14ac:dyDescent="0.75">
      <c r="A1285" s="51">
        <v>44936</v>
      </c>
      <c r="B1285" s="52">
        <v>1736</v>
      </c>
      <c r="C1285" s="8" t="s">
        <v>2180</v>
      </c>
      <c r="D1285" s="8" t="s">
        <v>54</v>
      </c>
      <c r="E1285" s="52">
        <v>1362</v>
      </c>
      <c r="F1285" s="13"/>
      <c r="G1285" s="13">
        <v>684.5</v>
      </c>
    </row>
    <row r="1286" spans="1:7" hidden="1" x14ac:dyDescent="0.75">
      <c r="A1286" s="51">
        <v>44936</v>
      </c>
      <c r="B1286" s="52">
        <v>1736</v>
      </c>
      <c r="C1286" s="8" t="s">
        <v>2182</v>
      </c>
      <c r="D1286" s="8" t="s">
        <v>54</v>
      </c>
      <c r="E1286" s="52">
        <v>1362</v>
      </c>
      <c r="F1286" s="13"/>
      <c r="G1286" s="13">
        <v>1055.67</v>
      </c>
    </row>
    <row r="1287" spans="1:7" hidden="1" x14ac:dyDescent="0.75">
      <c r="A1287" s="51">
        <v>44936</v>
      </c>
      <c r="B1287" s="52">
        <v>1736</v>
      </c>
      <c r="C1287" s="8" t="s">
        <v>2201</v>
      </c>
      <c r="D1287" s="8" t="s">
        <v>54</v>
      </c>
      <c r="E1287" s="52">
        <v>1362</v>
      </c>
      <c r="F1287" s="13"/>
      <c r="G1287" s="13">
        <v>1301.5999999999999</v>
      </c>
    </row>
    <row r="1288" spans="1:7" hidden="1" x14ac:dyDescent="0.75">
      <c r="A1288" s="51">
        <v>44936</v>
      </c>
      <c r="B1288" s="52">
        <v>1736</v>
      </c>
      <c r="C1288" s="8" t="s">
        <v>2182</v>
      </c>
      <c r="D1288" s="8" t="s">
        <v>54</v>
      </c>
      <c r="E1288" s="52">
        <v>1362</v>
      </c>
      <c r="F1288" s="13"/>
      <c r="G1288" s="13">
        <v>1609.8</v>
      </c>
    </row>
    <row r="1289" spans="1:7" hidden="1" x14ac:dyDescent="0.75">
      <c r="A1289" s="51">
        <v>44936</v>
      </c>
      <c r="B1289" s="52">
        <v>1736</v>
      </c>
      <c r="C1289" s="8" t="s">
        <v>2181</v>
      </c>
      <c r="D1289" s="8" t="s">
        <v>54</v>
      </c>
      <c r="E1289" s="52">
        <v>1362</v>
      </c>
      <c r="F1289" s="13"/>
      <c r="G1289" s="13">
        <v>840.8</v>
      </c>
    </row>
    <row r="1290" spans="1:7" hidden="1" x14ac:dyDescent="0.75">
      <c r="A1290" s="51">
        <v>44936</v>
      </c>
      <c r="B1290" s="52">
        <v>1736</v>
      </c>
      <c r="C1290" s="8" t="s">
        <v>2180</v>
      </c>
      <c r="D1290" s="8" t="s">
        <v>54</v>
      </c>
      <c r="E1290" s="52">
        <v>1362</v>
      </c>
      <c r="F1290" s="13"/>
      <c r="G1290" s="13">
        <v>1884.55</v>
      </c>
    </row>
    <row r="1291" spans="1:7" hidden="1" x14ac:dyDescent="0.75">
      <c r="A1291" s="51">
        <v>44936</v>
      </c>
      <c r="B1291" s="52">
        <v>1736</v>
      </c>
      <c r="C1291" s="8" t="s">
        <v>2200</v>
      </c>
      <c r="D1291" s="8" t="s">
        <v>54</v>
      </c>
      <c r="E1291" s="52">
        <v>1362</v>
      </c>
      <c r="F1291" s="13"/>
      <c r="G1291" s="13">
        <v>1245.6400000000001</v>
      </c>
    </row>
    <row r="1292" spans="1:7" hidden="1" x14ac:dyDescent="0.75">
      <c r="A1292" s="51">
        <v>44936</v>
      </c>
      <c r="B1292" s="52">
        <v>1736</v>
      </c>
      <c r="C1292" s="8" t="s">
        <v>2201</v>
      </c>
      <c r="D1292" s="8" t="s">
        <v>54</v>
      </c>
      <c r="E1292" s="52">
        <v>1362</v>
      </c>
      <c r="F1292" s="13"/>
      <c r="G1292" s="13">
        <v>535.75</v>
      </c>
    </row>
    <row r="1293" spans="1:7" hidden="1" x14ac:dyDescent="0.75">
      <c r="A1293" s="51">
        <v>44936</v>
      </c>
      <c r="B1293" s="52">
        <v>1736</v>
      </c>
      <c r="C1293" s="8" t="s">
        <v>2180</v>
      </c>
      <c r="D1293" s="8" t="s">
        <v>54</v>
      </c>
      <c r="E1293" s="52">
        <v>1362</v>
      </c>
      <c r="F1293" s="13"/>
      <c r="G1293" s="13">
        <v>1302.48</v>
      </c>
    </row>
    <row r="1294" spans="1:7" hidden="1" x14ac:dyDescent="0.75">
      <c r="A1294" s="51">
        <v>44936</v>
      </c>
      <c r="B1294" s="52">
        <v>1736</v>
      </c>
      <c r="C1294" s="8" t="s">
        <v>2181</v>
      </c>
      <c r="D1294" s="8" t="s">
        <v>54</v>
      </c>
      <c r="E1294" s="52">
        <v>1362</v>
      </c>
      <c r="F1294" s="13"/>
      <c r="G1294" s="13">
        <v>876.27</v>
      </c>
    </row>
    <row r="1295" spans="1:7" hidden="1" x14ac:dyDescent="0.75">
      <c r="A1295" s="51">
        <v>44936</v>
      </c>
      <c r="B1295" s="52">
        <v>1736</v>
      </c>
      <c r="C1295" s="8" t="s">
        <v>2182</v>
      </c>
      <c r="D1295" s="8" t="s">
        <v>54</v>
      </c>
      <c r="E1295" s="52">
        <v>1362</v>
      </c>
      <c r="F1295" s="13"/>
      <c r="G1295" s="13">
        <v>689.15</v>
      </c>
    </row>
    <row r="1296" spans="1:7" hidden="1" x14ac:dyDescent="0.75">
      <c r="A1296" s="51">
        <v>44936</v>
      </c>
      <c r="B1296" s="52">
        <v>1736</v>
      </c>
      <c r="C1296" s="8" t="s">
        <v>2180</v>
      </c>
      <c r="D1296" s="8" t="s">
        <v>54</v>
      </c>
      <c r="E1296" s="52">
        <v>1362</v>
      </c>
      <c r="F1296" s="13"/>
      <c r="G1296" s="13">
        <v>2252.35</v>
      </c>
    </row>
    <row r="1297" spans="1:7" hidden="1" x14ac:dyDescent="0.75">
      <c r="A1297" s="51">
        <v>44936</v>
      </c>
      <c r="B1297" s="52">
        <v>1736</v>
      </c>
      <c r="C1297" s="8" t="s">
        <v>2201</v>
      </c>
      <c r="D1297" s="8" t="s">
        <v>54</v>
      </c>
      <c r="E1297" s="52">
        <v>1362</v>
      </c>
      <c r="F1297" s="13"/>
      <c r="G1297" s="13">
        <v>1820.55</v>
      </c>
    </row>
    <row r="1298" spans="1:7" hidden="1" x14ac:dyDescent="0.75">
      <c r="A1298" s="51">
        <v>44936</v>
      </c>
      <c r="B1298" s="52">
        <v>1736</v>
      </c>
      <c r="C1298" s="8" t="s">
        <v>2181</v>
      </c>
      <c r="D1298" s="8" t="s">
        <v>54</v>
      </c>
      <c r="E1298" s="52">
        <v>1362</v>
      </c>
      <c r="F1298" s="13"/>
      <c r="G1298" s="13">
        <v>578.82000000000005</v>
      </c>
    </row>
    <row r="1299" spans="1:7" hidden="1" x14ac:dyDescent="0.75">
      <c r="A1299" s="51">
        <v>44936</v>
      </c>
      <c r="B1299" s="52">
        <v>1736</v>
      </c>
      <c r="C1299" s="8" t="s">
        <v>2182</v>
      </c>
      <c r="D1299" s="8" t="s">
        <v>54</v>
      </c>
      <c r="E1299" s="52">
        <v>1362</v>
      </c>
      <c r="F1299" s="13"/>
      <c r="G1299" s="13">
        <v>678.5</v>
      </c>
    </row>
    <row r="1300" spans="1:7" hidden="1" x14ac:dyDescent="0.75">
      <c r="A1300" s="51">
        <v>44936</v>
      </c>
      <c r="B1300" s="52">
        <v>1736</v>
      </c>
      <c r="C1300" s="8" t="s">
        <v>2181</v>
      </c>
      <c r="D1300" s="8" t="s">
        <v>54</v>
      </c>
      <c r="E1300" s="52">
        <v>1362</v>
      </c>
      <c r="F1300" s="13"/>
      <c r="G1300" s="13">
        <v>1651.3</v>
      </c>
    </row>
    <row r="1301" spans="1:7" hidden="1" x14ac:dyDescent="0.75">
      <c r="A1301" s="51">
        <v>44936</v>
      </c>
      <c r="B1301" s="52">
        <v>1736</v>
      </c>
      <c r="C1301" s="8" t="s">
        <v>2180</v>
      </c>
      <c r="D1301" s="8" t="s">
        <v>54</v>
      </c>
      <c r="E1301" s="52">
        <v>1362</v>
      </c>
      <c r="F1301" s="13"/>
      <c r="G1301" s="13">
        <v>643.23</v>
      </c>
    </row>
    <row r="1302" spans="1:7" hidden="1" x14ac:dyDescent="0.75">
      <c r="A1302" s="51">
        <v>44936</v>
      </c>
      <c r="B1302" s="52">
        <v>1736</v>
      </c>
      <c r="C1302" s="8" t="s">
        <v>2200</v>
      </c>
      <c r="D1302" s="8" t="s">
        <v>54</v>
      </c>
      <c r="E1302" s="52">
        <v>1362</v>
      </c>
      <c r="F1302" s="13"/>
      <c r="G1302" s="13">
        <v>887.78</v>
      </c>
    </row>
    <row r="1303" spans="1:7" hidden="1" x14ac:dyDescent="0.75">
      <c r="A1303" s="51">
        <v>44936</v>
      </c>
      <c r="B1303" s="52">
        <v>1736</v>
      </c>
      <c r="C1303" s="8" t="s">
        <v>2181</v>
      </c>
      <c r="D1303" s="8" t="s">
        <v>54</v>
      </c>
      <c r="E1303" s="52">
        <v>1362</v>
      </c>
      <c r="F1303" s="13"/>
      <c r="G1303" s="13">
        <v>1441.9</v>
      </c>
    </row>
    <row r="1304" spans="1:7" hidden="1" x14ac:dyDescent="0.75">
      <c r="A1304" s="51">
        <v>44936</v>
      </c>
      <c r="B1304" s="52">
        <v>1736</v>
      </c>
      <c r="C1304" s="8" t="s">
        <v>2182</v>
      </c>
      <c r="D1304" s="8" t="s">
        <v>54</v>
      </c>
      <c r="E1304" s="52">
        <v>1362</v>
      </c>
      <c r="F1304" s="13"/>
      <c r="G1304" s="13">
        <v>1881</v>
      </c>
    </row>
    <row r="1305" spans="1:7" hidden="1" x14ac:dyDescent="0.75">
      <c r="A1305" s="51">
        <v>44936</v>
      </c>
      <c r="B1305" s="52">
        <v>1736</v>
      </c>
      <c r="C1305" s="8" t="s">
        <v>2201</v>
      </c>
      <c r="D1305" s="8" t="s">
        <v>54</v>
      </c>
      <c r="E1305" s="52">
        <v>1362</v>
      </c>
      <c r="F1305" s="13"/>
      <c r="G1305" s="13">
        <v>521.29999999999995</v>
      </c>
    </row>
    <row r="1306" spans="1:7" hidden="1" x14ac:dyDescent="0.75">
      <c r="A1306" s="51">
        <v>44936</v>
      </c>
      <c r="B1306" s="52">
        <v>1736</v>
      </c>
      <c r="C1306" s="8" t="s">
        <v>2180</v>
      </c>
      <c r="D1306" s="8" t="s">
        <v>54</v>
      </c>
      <c r="E1306" s="52">
        <v>1362</v>
      </c>
      <c r="F1306" s="13"/>
      <c r="G1306" s="13">
        <v>951.11</v>
      </c>
    </row>
    <row r="1307" spans="1:7" hidden="1" x14ac:dyDescent="0.75">
      <c r="A1307" s="51">
        <v>44936</v>
      </c>
      <c r="B1307" s="52">
        <v>1736</v>
      </c>
      <c r="C1307" s="8" t="s">
        <v>2180</v>
      </c>
      <c r="D1307" s="8" t="s">
        <v>54</v>
      </c>
      <c r="E1307" s="52">
        <v>1362</v>
      </c>
      <c r="F1307" s="13"/>
      <c r="G1307" s="13">
        <v>1467.9</v>
      </c>
    </row>
    <row r="1308" spans="1:7" hidden="1" x14ac:dyDescent="0.75">
      <c r="A1308" s="51">
        <v>44936</v>
      </c>
      <c r="B1308" s="52">
        <v>1736</v>
      </c>
      <c r="C1308" s="8" t="s">
        <v>2201</v>
      </c>
      <c r="D1308" s="8" t="s">
        <v>54</v>
      </c>
      <c r="E1308" s="52">
        <v>1362</v>
      </c>
      <c r="F1308" s="13"/>
      <c r="G1308" s="13">
        <v>1662.19</v>
      </c>
    </row>
    <row r="1309" spans="1:7" hidden="1" x14ac:dyDescent="0.75">
      <c r="A1309" s="51">
        <v>44936</v>
      </c>
      <c r="B1309" s="52">
        <v>1736</v>
      </c>
      <c r="C1309" s="8" t="s">
        <v>2182</v>
      </c>
      <c r="D1309" s="8" t="s">
        <v>54</v>
      </c>
      <c r="E1309" s="52">
        <v>1362</v>
      </c>
      <c r="F1309" s="13"/>
      <c r="G1309" s="13">
        <v>1546.79</v>
      </c>
    </row>
    <row r="1310" spans="1:7" hidden="1" x14ac:dyDescent="0.75">
      <c r="A1310" s="51">
        <v>44937</v>
      </c>
      <c r="B1310" s="52">
        <v>1736</v>
      </c>
      <c r="C1310" s="8" t="s">
        <v>2202</v>
      </c>
      <c r="D1310" s="8" t="s">
        <v>54</v>
      </c>
      <c r="E1310" s="52">
        <v>408</v>
      </c>
      <c r="F1310" s="13">
        <v>1172.02</v>
      </c>
      <c r="G1310" s="13"/>
    </row>
    <row r="1311" spans="1:7" hidden="1" x14ac:dyDescent="0.75">
      <c r="A1311" s="51">
        <v>44937</v>
      </c>
      <c r="B1311" s="52">
        <v>1736</v>
      </c>
      <c r="C1311" s="8" t="s">
        <v>2203</v>
      </c>
      <c r="D1311" s="8" t="s">
        <v>54</v>
      </c>
      <c r="E1311" s="52">
        <v>408</v>
      </c>
      <c r="F1311" s="13">
        <v>1117.07</v>
      </c>
      <c r="G1311" s="13"/>
    </row>
    <row r="1312" spans="1:7" hidden="1" x14ac:dyDescent="0.75">
      <c r="A1312" s="51">
        <v>44937</v>
      </c>
      <c r="B1312" s="52">
        <v>1736</v>
      </c>
      <c r="C1312" s="8" t="s">
        <v>2204</v>
      </c>
      <c r="D1312" s="8" t="s">
        <v>54</v>
      </c>
      <c r="E1312" s="52">
        <v>408</v>
      </c>
      <c r="F1312" s="13">
        <v>627.29999999999995</v>
      </c>
      <c r="G1312" s="13"/>
    </row>
    <row r="1313" spans="1:7" hidden="1" x14ac:dyDescent="0.75">
      <c r="A1313" s="51">
        <v>44937</v>
      </c>
      <c r="B1313" s="52">
        <v>1736</v>
      </c>
      <c r="C1313" s="8" t="s">
        <v>2205</v>
      </c>
      <c r="D1313" s="8" t="s">
        <v>54</v>
      </c>
      <c r="E1313" s="52">
        <v>408</v>
      </c>
      <c r="F1313" s="13">
        <v>1045.3</v>
      </c>
      <c r="G1313" s="13"/>
    </row>
    <row r="1314" spans="1:7" hidden="1" x14ac:dyDescent="0.75">
      <c r="A1314" s="51">
        <v>44937</v>
      </c>
      <c r="B1314" s="52">
        <v>1736</v>
      </c>
      <c r="C1314" s="8" t="s">
        <v>2206</v>
      </c>
      <c r="D1314" s="8" t="s">
        <v>54</v>
      </c>
      <c r="E1314" s="52">
        <v>408</v>
      </c>
      <c r="F1314" s="13">
        <v>1023.3</v>
      </c>
      <c r="G1314" s="13"/>
    </row>
    <row r="1315" spans="1:7" hidden="1" x14ac:dyDescent="0.75">
      <c r="A1315" s="51">
        <v>44940</v>
      </c>
      <c r="B1315" s="52">
        <v>1736</v>
      </c>
      <c r="C1315" s="8" t="s">
        <v>2207</v>
      </c>
      <c r="D1315" s="8" t="s">
        <v>54</v>
      </c>
      <c r="E1315" s="52">
        <v>408</v>
      </c>
      <c r="F1315" s="13">
        <v>606.6</v>
      </c>
      <c r="G1315" s="13"/>
    </row>
    <row r="1316" spans="1:7" hidden="1" x14ac:dyDescent="0.75">
      <c r="A1316" s="51">
        <v>44940</v>
      </c>
      <c r="B1316" s="52">
        <v>1736</v>
      </c>
      <c r="C1316" s="8" t="s">
        <v>2208</v>
      </c>
      <c r="D1316" s="8" t="s">
        <v>54</v>
      </c>
      <c r="E1316" s="52">
        <v>408</v>
      </c>
      <c r="F1316" s="13">
        <v>1244.9100000000001</v>
      </c>
      <c r="G1316" s="13"/>
    </row>
    <row r="1317" spans="1:7" hidden="1" x14ac:dyDescent="0.75">
      <c r="A1317" s="51">
        <v>44940</v>
      </c>
      <c r="B1317" s="52">
        <v>1736</v>
      </c>
      <c r="C1317" s="8" t="s">
        <v>2209</v>
      </c>
      <c r="D1317" s="8" t="s">
        <v>54</v>
      </c>
      <c r="E1317" s="52">
        <v>408</v>
      </c>
      <c r="F1317" s="13">
        <v>920.63</v>
      </c>
      <c r="G1317" s="13"/>
    </row>
    <row r="1318" spans="1:7" hidden="1" x14ac:dyDescent="0.75">
      <c r="A1318" s="51">
        <v>44940</v>
      </c>
      <c r="B1318" s="52">
        <v>1736</v>
      </c>
      <c r="C1318" s="8" t="s">
        <v>2210</v>
      </c>
      <c r="D1318" s="8" t="s">
        <v>54</v>
      </c>
      <c r="E1318" s="52">
        <v>408</v>
      </c>
      <c r="F1318" s="13">
        <v>1136.5899999999999</v>
      </c>
      <c r="G1318" s="13"/>
    </row>
    <row r="1319" spans="1:7" hidden="1" x14ac:dyDescent="0.75">
      <c r="A1319" s="51">
        <v>44943</v>
      </c>
      <c r="B1319" s="52">
        <v>1736</v>
      </c>
      <c r="C1319" s="8" t="s">
        <v>2211</v>
      </c>
      <c r="D1319" s="8" t="s">
        <v>54</v>
      </c>
      <c r="E1319" s="52">
        <v>408</v>
      </c>
      <c r="F1319" s="13">
        <v>1402.61</v>
      </c>
      <c r="G1319" s="13"/>
    </row>
    <row r="1320" spans="1:7" hidden="1" x14ac:dyDescent="0.75">
      <c r="A1320" s="51">
        <v>44943</v>
      </c>
      <c r="B1320" s="52">
        <v>1736</v>
      </c>
      <c r="C1320" s="8" t="s">
        <v>2212</v>
      </c>
      <c r="D1320" s="8" t="s">
        <v>54</v>
      </c>
      <c r="E1320" s="52">
        <v>408</v>
      </c>
      <c r="F1320" s="13">
        <v>778.18</v>
      </c>
      <c r="G1320" s="13"/>
    </row>
    <row r="1321" spans="1:7" hidden="1" x14ac:dyDescent="0.75">
      <c r="A1321" s="51">
        <v>44945</v>
      </c>
      <c r="B1321" s="52">
        <v>1736</v>
      </c>
      <c r="C1321" s="8" t="s">
        <v>2213</v>
      </c>
      <c r="D1321" s="8" t="s">
        <v>54</v>
      </c>
      <c r="E1321" s="52">
        <v>408</v>
      </c>
      <c r="F1321" s="13">
        <v>1127.4000000000001</v>
      </c>
      <c r="G1321" s="13"/>
    </row>
    <row r="1322" spans="1:7" hidden="1" x14ac:dyDescent="0.75">
      <c r="A1322" s="51">
        <v>44945</v>
      </c>
      <c r="B1322" s="52">
        <v>1736</v>
      </c>
      <c r="C1322" s="8" t="s">
        <v>2214</v>
      </c>
      <c r="D1322" s="8" t="s">
        <v>54</v>
      </c>
      <c r="E1322" s="52">
        <v>408</v>
      </c>
      <c r="F1322" s="13">
        <v>719.05</v>
      </c>
      <c r="G1322" s="13"/>
    </row>
    <row r="1323" spans="1:7" hidden="1" x14ac:dyDescent="0.75">
      <c r="A1323" s="51">
        <v>44945</v>
      </c>
      <c r="B1323" s="52">
        <v>1736</v>
      </c>
      <c r="C1323" s="8" t="s">
        <v>2215</v>
      </c>
      <c r="D1323" s="8" t="s">
        <v>54</v>
      </c>
      <c r="E1323" s="52">
        <v>408</v>
      </c>
      <c r="F1323" s="13">
        <v>884.48</v>
      </c>
      <c r="G1323" s="13"/>
    </row>
    <row r="1324" spans="1:7" hidden="1" x14ac:dyDescent="0.75">
      <c r="A1324" s="51">
        <v>44947</v>
      </c>
      <c r="B1324" s="52">
        <v>1736</v>
      </c>
      <c r="C1324" s="8" t="s">
        <v>2216</v>
      </c>
      <c r="D1324" s="8" t="s">
        <v>54</v>
      </c>
      <c r="E1324" s="52">
        <v>408</v>
      </c>
      <c r="F1324" s="13">
        <v>752.65</v>
      </c>
      <c r="G1324" s="13"/>
    </row>
    <row r="1325" spans="1:7" hidden="1" x14ac:dyDescent="0.75">
      <c r="A1325" s="51">
        <v>44947</v>
      </c>
      <c r="B1325" s="52">
        <v>1736</v>
      </c>
      <c r="C1325" s="8" t="s">
        <v>2217</v>
      </c>
      <c r="D1325" s="8" t="s">
        <v>54</v>
      </c>
      <c r="E1325" s="52">
        <v>408</v>
      </c>
      <c r="F1325" s="13">
        <v>1354.87</v>
      </c>
      <c r="G1325" s="13"/>
    </row>
    <row r="1326" spans="1:7" hidden="1" x14ac:dyDescent="0.75">
      <c r="A1326" s="51">
        <v>44947</v>
      </c>
      <c r="B1326" s="52">
        <v>1736</v>
      </c>
      <c r="C1326" s="8" t="s">
        <v>2218</v>
      </c>
      <c r="D1326" s="8" t="s">
        <v>54</v>
      </c>
      <c r="E1326" s="52">
        <v>408</v>
      </c>
      <c r="F1326" s="13">
        <v>831.69</v>
      </c>
      <c r="G1326" s="13"/>
    </row>
    <row r="1327" spans="1:7" hidden="1" x14ac:dyDescent="0.75">
      <c r="A1327" s="51">
        <v>44947</v>
      </c>
      <c r="B1327" s="52">
        <v>1736</v>
      </c>
      <c r="C1327" s="8" t="s">
        <v>2219</v>
      </c>
      <c r="D1327" s="8" t="s">
        <v>54</v>
      </c>
      <c r="E1327" s="52">
        <v>408</v>
      </c>
      <c r="F1327" s="13">
        <v>598.62</v>
      </c>
      <c r="G1327" s="13"/>
    </row>
    <row r="1328" spans="1:7" hidden="1" x14ac:dyDescent="0.75">
      <c r="A1328" s="51">
        <v>44950</v>
      </c>
      <c r="B1328" s="52">
        <v>1736</v>
      </c>
      <c r="C1328" s="8" t="s">
        <v>2220</v>
      </c>
      <c r="D1328" s="8" t="s">
        <v>54</v>
      </c>
      <c r="E1328" s="52">
        <v>408</v>
      </c>
      <c r="F1328" s="13">
        <v>1646.5</v>
      </c>
      <c r="G1328" s="13"/>
    </row>
    <row r="1329" spans="1:7" hidden="1" x14ac:dyDescent="0.75">
      <c r="A1329" s="51">
        <v>44952</v>
      </c>
      <c r="B1329" s="52">
        <v>1736</v>
      </c>
      <c r="C1329" s="8" t="s">
        <v>2221</v>
      </c>
      <c r="D1329" s="8" t="s">
        <v>54</v>
      </c>
      <c r="E1329" s="52">
        <v>408</v>
      </c>
      <c r="F1329" s="13">
        <v>604.12</v>
      </c>
      <c r="G1329" s="13"/>
    </row>
    <row r="1330" spans="1:7" hidden="1" x14ac:dyDescent="0.75">
      <c r="A1330" s="51">
        <v>44952</v>
      </c>
      <c r="B1330" s="52">
        <v>1736</v>
      </c>
      <c r="C1330" s="8" t="s">
        <v>2222</v>
      </c>
      <c r="D1330" s="8" t="s">
        <v>54</v>
      </c>
      <c r="E1330" s="52">
        <v>408</v>
      </c>
      <c r="F1330" s="13">
        <v>2203.46</v>
      </c>
      <c r="G1330" s="13"/>
    </row>
    <row r="1331" spans="1:7" hidden="1" x14ac:dyDescent="0.75">
      <c r="A1331" s="51">
        <v>44954</v>
      </c>
      <c r="B1331" s="52">
        <v>1736</v>
      </c>
      <c r="C1331" s="8" t="s">
        <v>2223</v>
      </c>
      <c r="D1331" s="8" t="s">
        <v>54</v>
      </c>
      <c r="E1331" s="52">
        <v>408</v>
      </c>
      <c r="F1331" s="13">
        <v>2843.29</v>
      </c>
      <c r="G1331" s="13"/>
    </row>
    <row r="1332" spans="1:7" hidden="1" x14ac:dyDescent="0.75">
      <c r="A1332" s="51">
        <v>44954</v>
      </c>
      <c r="B1332" s="52">
        <v>1736</v>
      </c>
      <c r="C1332" s="8" t="s">
        <v>2224</v>
      </c>
      <c r="D1332" s="8" t="s">
        <v>54</v>
      </c>
      <c r="E1332" s="52">
        <v>408</v>
      </c>
      <c r="F1332" s="13">
        <v>835.67</v>
      </c>
      <c r="G1332" s="13"/>
    </row>
    <row r="1333" spans="1:7" hidden="1" x14ac:dyDescent="0.75">
      <c r="A1333" s="51">
        <v>44957</v>
      </c>
      <c r="B1333" s="52">
        <v>1736</v>
      </c>
      <c r="C1333" s="8" t="s">
        <v>2225</v>
      </c>
      <c r="D1333" s="8" t="s">
        <v>54</v>
      </c>
      <c r="E1333" s="52">
        <v>408</v>
      </c>
      <c r="F1333" s="13">
        <v>1192.47</v>
      </c>
      <c r="G1333" s="13"/>
    </row>
    <row r="1334" spans="1:7" hidden="1" x14ac:dyDescent="0.75">
      <c r="A1334" s="51">
        <v>44957</v>
      </c>
      <c r="B1334" s="52">
        <v>1736</v>
      </c>
      <c r="C1334" s="8" t="s">
        <v>2226</v>
      </c>
      <c r="D1334" s="8" t="s">
        <v>54</v>
      </c>
      <c r="E1334" s="52">
        <v>408</v>
      </c>
      <c r="F1334" s="13">
        <v>2333.6</v>
      </c>
      <c r="G1334" s="13"/>
    </row>
    <row r="1335" spans="1:7" hidden="1" x14ac:dyDescent="0.75">
      <c r="A1335" s="51">
        <v>44932</v>
      </c>
      <c r="B1335" s="52">
        <v>1739</v>
      </c>
      <c r="C1335" s="8" t="s">
        <v>2227</v>
      </c>
      <c r="D1335" s="8" t="s">
        <v>55</v>
      </c>
      <c r="E1335" s="52">
        <v>408</v>
      </c>
      <c r="F1335" s="13">
        <v>729.36</v>
      </c>
      <c r="G1335" s="13"/>
    </row>
    <row r="1336" spans="1:7" hidden="1" x14ac:dyDescent="0.75">
      <c r="A1336" s="51">
        <v>44936</v>
      </c>
      <c r="B1336" s="52">
        <v>1739</v>
      </c>
      <c r="C1336" s="8" t="s">
        <v>2228</v>
      </c>
      <c r="D1336" s="8" t="s">
        <v>55</v>
      </c>
      <c r="E1336" s="52">
        <v>1362</v>
      </c>
      <c r="F1336" s="13"/>
      <c r="G1336" s="13">
        <v>1023.84</v>
      </c>
    </row>
    <row r="1337" spans="1:7" hidden="1" x14ac:dyDescent="0.75">
      <c r="A1337" s="51">
        <v>44936</v>
      </c>
      <c r="B1337" s="52">
        <v>1739</v>
      </c>
      <c r="C1337" s="8" t="s">
        <v>2228</v>
      </c>
      <c r="D1337" s="8" t="s">
        <v>55</v>
      </c>
      <c r="E1337" s="52">
        <v>1362</v>
      </c>
      <c r="F1337" s="13"/>
      <c r="G1337" s="13">
        <v>768.14</v>
      </c>
    </row>
    <row r="1338" spans="1:7" hidden="1" x14ac:dyDescent="0.75">
      <c r="A1338" s="51">
        <v>44936</v>
      </c>
      <c r="B1338" s="52">
        <v>1739</v>
      </c>
      <c r="C1338" s="8" t="s">
        <v>2228</v>
      </c>
      <c r="D1338" s="8" t="s">
        <v>55</v>
      </c>
      <c r="E1338" s="52">
        <v>1362</v>
      </c>
      <c r="F1338" s="13"/>
      <c r="G1338" s="13">
        <v>729.36</v>
      </c>
    </row>
    <row r="1339" spans="1:7" hidden="1" x14ac:dyDescent="0.75">
      <c r="A1339" s="51">
        <v>44939</v>
      </c>
      <c r="B1339" s="52">
        <v>1739</v>
      </c>
      <c r="C1339" s="8" t="s">
        <v>2229</v>
      </c>
      <c r="D1339" s="8" t="s">
        <v>55</v>
      </c>
      <c r="E1339" s="52">
        <v>408</v>
      </c>
      <c r="F1339" s="13">
        <v>742.76</v>
      </c>
      <c r="G1339" s="13"/>
    </row>
    <row r="1340" spans="1:7" hidden="1" x14ac:dyDescent="0.75">
      <c r="A1340" s="51">
        <v>44953</v>
      </c>
      <c r="B1340" s="52">
        <v>1739</v>
      </c>
      <c r="C1340" s="8" t="s">
        <v>2230</v>
      </c>
      <c r="D1340" s="8" t="s">
        <v>55</v>
      </c>
      <c r="E1340" s="52">
        <v>408</v>
      </c>
      <c r="F1340" s="13">
        <v>973.52</v>
      </c>
      <c r="G1340" s="13"/>
    </row>
    <row r="1341" spans="1:7" hidden="1" x14ac:dyDescent="0.75">
      <c r="A1341" s="51">
        <v>44928</v>
      </c>
      <c r="B1341" s="52">
        <v>804</v>
      </c>
      <c r="C1341" s="8" t="s">
        <v>2231</v>
      </c>
      <c r="D1341" s="8" t="s">
        <v>56</v>
      </c>
      <c r="E1341" s="52">
        <v>408</v>
      </c>
      <c r="F1341" s="13">
        <v>671.5</v>
      </c>
      <c r="G1341" s="13"/>
    </row>
    <row r="1342" spans="1:7" hidden="1" x14ac:dyDescent="0.75">
      <c r="A1342" s="51">
        <v>44930</v>
      </c>
      <c r="B1342" s="52">
        <v>804</v>
      </c>
      <c r="C1342" s="8" t="s">
        <v>2232</v>
      </c>
      <c r="D1342" s="8" t="s">
        <v>56</v>
      </c>
      <c r="E1342" s="52">
        <v>408</v>
      </c>
      <c r="F1342" s="13">
        <v>538.75</v>
      </c>
      <c r="G1342" s="13"/>
    </row>
    <row r="1343" spans="1:7" hidden="1" x14ac:dyDescent="0.75">
      <c r="A1343" s="51">
        <v>44932</v>
      </c>
      <c r="B1343" s="52">
        <v>804</v>
      </c>
      <c r="C1343" s="8" t="s">
        <v>2233</v>
      </c>
      <c r="D1343" s="8" t="s">
        <v>56</v>
      </c>
      <c r="E1343" s="52">
        <v>408</v>
      </c>
      <c r="F1343" s="13">
        <v>666.5</v>
      </c>
      <c r="G1343" s="13"/>
    </row>
    <row r="1344" spans="1:7" hidden="1" x14ac:dyDescent="0.75">
      <c r="A1344" s="51">
        <v>44932</v>
      </c>
      <c r="B1344" s="52">
        <v>804</v>
      </c>
      <c r="C1344" s="8" t="s">
        <v>2234</v>
      </c>
      <c r="D1344" s="8" t="s">
        <v>56</v>
      </c>
      <c r="E1344" s="52">
        <v>408</v>
      </c>
      <c r="F1344" s="13">
        <v>594</v>
      </c>
      <c r="G1344" s="13"/>
    </row>
    <row r="1345" spans="1:7" hidden="1" x14ac:dyDescent="0.75">
      <c r="A1345" s="51">
        <v>44935</v>
      </c>
      <c r="B1345" s="52">
        <v>804</v>
      </c>
      <c r="C1345" s="8" t="s">
        <v>2235</v>
      </c>
      <c r="D1345" s="8" t="s">
        <v>56</v>
      </c>
      <c r="E1345" s="52">
        <v>408</v>
      </c>
      <c r="F1345" s="13">
        <v>594</v>
      </c>
      <c r="G1345" s="13"/>
    </row>
    <row r="1346" spans="1:7" hidden="1" x14ac:dyDescent="0.75">
      <c r="A1346" s="51">
        <v>44935</v>
      </c>
      <c r="B1346" s="52">
        <v>804</v>
      </c>
      <c r="C1346" s="8" t="s">
        <v>2236</v>
      </c>
      <c r="D1346" s="8" t="s">
        <v>56</v>
      </c>
      <c r="E1346" s="52">
        <v>408</v>
      </c>
      <c r="F1346" s="13">
        <v>666.5</v>
      </c>
      <c r="G1346" s="13"/>
    </row>
    <row r="1347" spans="1:7" hidden="1" x14ac:dyDescent="0.75">
      <c r="A1347" s="51">
        <v>44936</v>
      </c>
      <c r="B1347" s="52">
        <v>804</v>
      </c>
      <c r="C1347" s="8" t="s">
        <v>2237</v>
      </c>
      <c r="D1347" s="8" t="s">
        <v>56</v>
      </c>
      <c r="E1347" s="52">
        <v>1362</v>
      </c>
      <c r="F1347" s="13"/>
      <c r="G1347" s="13">
        <v>954.6</v>
      </c>
    </row>
    <row r="1348" spans="1:7" hidden="1" x14ac:dyDescent="0.75">
      <c r="A1348" s="51">
        <v>44936</v>
      </c>
      <c r="B1348" s="52">
        <v>804</v>
      </c>
      <c r="C1348" s="8" t="s">
        <v>2237</v>
      </c>
      <c r="D1348" s="8" t="s">
        <v>56</v>
      </c>
      <c r="E1348" s="52">
        <v>1362</v>
      </c>
      <c r="F1348" s="13"/>
      <c r="G1348" s="13">
        <v>990</v>
      </c>
    </row>
    <row r="1349" spans="1:7" hidden="1" x14ac:dyDescent="0.75">
      <c r="A1349" s="51">
        <v>44936</v>
      </c>
      <c r="B1349" s="52">
        <v>804</v>
      </c>
      <c r="C1349" s="8" t="s">
        <v>2237</v>
      </c>
      <c r="D1349" s="8" t="s">
        <v>56</v>
      </c>
      <c r="E1349" s="52">
        <v>1362</v>
      </c>
      <c r="F1349" s="13"/>
      <c r="G1349" s="13">
        <v>1217</v>
      </c>
    </row>
    <row r="1350" spans="1:7" hidden="1" x14ac:dyDescent="0.75">
      <c r="A1350" s="51">
        <v>44936</v>
      </c>
      <c r="B1350" s="52">
        <v>804</v>
      </c>
      <c r="C1350" s="8" t="s">
        <v>2237</v>
      </c>
      <c r="D1350" s="8" t="s">
        <v>56</v>
      </c>
      <c r="E1350" s="52">
        <v>1362</v>
      </c>
      <c r="F1350" s="13"/>
      <c r="G1350" s="13">
        <v>544.4</v>
      </c>
    </row>
    <row r="1351" spans="1:7" hidden="1" x14ac:dyDescent="0.75">
      <c r="A1351" s="51">
        <v>44936</v>
      </c>
      <c r="B1351" s="52">
        <v>804</v>
      </c>
      <c r="C1351" s="8" t="s">
        <v>2237</v>
      </c>
      <c r="D1351" s="8" t="s">
        <v>56</v>
      </c>
      <c r="E1351" s="52">
        <v>1362</v>
      </c>
      <c r="F1351" s="13"/>
      <c r="G1351" s="13">
        <v>594</v>
      </c>
    </row>
    <row r="1352" spans="1:7" hidden="1" x14ac:dyDescent="0.75">
      <c r="A1352" s="51">
        <v>44936</v>
      </c>
      <c r="B1352" s="52">
        <v>804</v>
      </c>
      <c r="C1352" s="8" t="s">
        <v>2237</v>
      </c>
      <c r="D1352" s="8" t="s">
        <v>56</v>
      </c>
      <c r="E1352" s="52">
        <v>1362</v>
      </c>
      <c r="F1352" s="13"/>
      <c r="G1352" s="13">
        <v>396</v>
      </c>
    </row>
    <row r="1353" spans="1:7" hidden="1" x14ac:dyDescent="0.75">
      <c r="A1353" s="51">
        <v>44936</v>
      </c>
      <c r="B1353" s="52">
        <v>804</v>
      </c>
      <c r="C1353" s="8" t="s">
        <v>2237</v>
      </c>
      <c r="D1353" s="8" t="s">
        <v>56</v>
      </c>
      <c r="E1353" s="52">
        <v>1362</v>
      </c>
      <c r="F1353" s="13"/>
      <c r="G1353" s="13">
        <v>840</v>
      </c>
    </row>
    <row r="1354" spans="1:7" hidden="1" x14ac:dyDescent="0.75">
      <c r="A1354" s="51">
        <v>44936</v>
      </c>
      <c r="B1354" s="52">
        <v>804</v>
      </c>
      <c r="C1354" s="8" t="s">
        <v>2237</v>
      </c>
      <c r="D1354" s="8" t="s">
        <v>56</v>
      </c>
      <c r="E1354" s="52">
        <v>1362</v>
      </c>
      <c r="F1354" s="13"/>
      <c r="G1354" s="13">
        <v>561.5</v>
      </c>
    </row>
    <row r="1355" spans="1:7" hidden="1" x14ac:dyDescent="0.75">
      <c r="A1355" s="51">
        <v>44936</v>
      </c>
      <c r="B1355" s="52">
        <v>804</v>
      </c>
      <c r="C1355" s="8" t="s">
        <v>2237</v>
      </c>
      <c r="D1355" s="8" t="s">
        <v>56</v>
      </c>
      <c r="E1355" s="52">
        <v>1362</v>
      </c>
      <c r="F1355" s="13"/>
      <c r="G1355" s="13">
        <v>500.5</v>
      </c>
    </row>
    <row r="1356" spans="1:7" hidden="1" x14ac:dyDescent="0.75">
      <c r="A1356" s="51">
        <v>44936</v>
      </c>
      <c r="B1356" s="52">
        <v>804</v>
      </c>
      <c r="C1356" s="8" t="s">
        <v>2237</v>
      </c>
      <c r="D1356" s="8" t="s">
        <v>56</v>
      </c>
      <c r="E1356" s="52">
        <v>1362</v>
      </c>
      <c r="F1356" s="13"/>
      <c r="G1356" s="13">
        <v>990</v>
      </c>
    </row>
    <row r="1357" spans="1:7" hidden="1" x14ac:dyDescent="0.75">
      <c r="A1357" s="51">
        <v>44936</v>
      </c>
      <c r="B1357" s="52">
        <v>804</v>
      </c>
      <c r="C1357" s="8" t="s">
        <v>2237</v>
      </c>
      <c r="D1357" s="8" t="s">
        <v>56</v>
      </c>
      <c r="E1357" s="52">
        <v>1362</v>
      </c>
      <c r="F1357" s="13"/>
      <c r="G1357" s="13">
        <v>990</v>
      </c>
    </row>
    <row r="1358" spans="1:7" hidden="1" x14ac:dyDescent="0.75">
      <c r="A1358" s="51">
        <v>44936</v>
      </c>
      <c r="B1358" s="52">
        <v>804</v>
      </c>
      <c r="C1358" s="8" t="s">
        <v>2237</v>
      </c>
      <c r="D1358" s="8" t="s">
        <v>56</v>
      </c>
      <c r="E1358" s="52">
        <v>1362</v>
      </c>
      <c r="F1358" s="13"/>
      <c r="G1358" s="13">
        <v>500.5</v>
      </c>
    </row>
    <row r="1359" spans="1:7" hidden="1" x14ac:dyDescent="0.75">
      <c r="A1359" s="51">
        <v>44936</v>
      </c>
      <c r="B1359" s="52">
        <v>804</v>
      </c>
      <c r="C1359" s="8" t="s">
        <v>2237</v>
      </c>
      <c r="D1359" s="8" t="s">
        <v>56</v>
      </c>
      <c r="E1359" s="52">
        <v>1362</v>
      </c>
      <c r="F1359" s="13"/>
      <c r="G1359" s="13">
        <v>511</v>
      </c>
    </row>
    <row r="1360" spans="1:7" hidden="1" x14ac:dyDescent="0.75">
      <c r="A1360" s="51">
        <v>44936</v>
      </c>
      <c r="B1360" s="52">
        <v>804</v>
      </c>
      <c r="C1360" s="8" t="s">
        <v>2237</v>
      </c>
      <c r="D1360" s="8" t="s">
        <v>56</v>
      </c>
      <c r="E1360" s="52">
        <v>1362</v>
      </c>
      <c r="F1360" s="13"/>
      <c r="G1360" s="13">
        <v>198</v>
      </c>
    </row>
    <row r="1361" spans="1:7" hidden="1" x14ac:dyDescent="0.75">
      <c r="A1361" s="51">
        <v>44936</v>
      </c>
      <c r="B1361" s="52">
        <v>804</v>
      </c>
      <c r="C1361" s="8" t="s">
        <v>2237</v>
      </c>
      <c r="D1361" s="8" t="s">
        <v>56</v>
      </c>
      <c r="E1361" s="52">
        <v>1362</v>
      </c>
      <c r="F1361" s="13"/>
      <c r="G1361" s="13">
        <v>607.5</v>
      </c>
    </row>
    <row r="1362" spans="1:7" hidden="1" x14ac:dyDescent="0.75">
      <c r="A1362" s="51">
        <v>44936</v>
      </c>
      <c r="B1362" s="52">
        <v>804</v>
      </c>
      <c r="C1362" s="8" t="s">
        <v>2237</v>
      </c>
      <c r="D1362" s="8" t="s">
        <v>56</v>
      </c>
      <c r="E1362" s="52">
        <v>1362</v>
      </c>
      <c r="F1362" s="13"/>
      <c r="G1362" s="13">
        <v>396</v>
      </c>
    </row>
    <row r="1363" spans="1:7" hidden="1" x14ac:dyDescent="0.75">
      <c r="A1363" s="51">
        <v>44936</v>
      </c>
      <c r="B1363" s="52">
        <v>804</v>
      </c>
      <c r="C1363" s="8" t="s">
        <v>2237</v>
      </c>
      <c r="D1363" s="8" t="s">
        <v>56</v>
      </c>
      <c r="E1363" s="52">
        <v>1362</v>
      </c>
      <c r="F1363" s="13"/>
      <c r="G1363" s="13">
        <v>490.5</v>
      </c>
    </row>
    <row r="1364" spans="1:7" hidden="1" x14ac:dyDescent="0.75">
      <c r="A1364" s="51">
        <v>44936</v>
      </c>
      <c r="B1364" s="52">
        <v>804</v>
      </c>
      <c r="C1364" s="8" t="s">
        <v>2237</v>
      </c>
      <c r="D1364" s="8" t="s">
        <v>56</v>
      </c>
      <c r="E1364" s="52">
        <v>1362</v>
      </c>
      <c r="F1364" s="13"/>
      <c r="G1364" s="13">
        <v>807.5</v>
      </c>
    </row>
    <row r="1365" spans="1:7" hidden="1" x14ac:dyDescent="0.75">
      <c r="A1365" s="51">
        <v>44936</v>
      </c>
      <c r="B1365" s="52">
        <v>804</v>
      </c>
      <c r="C1365" s="8" t="s">
        <v>2237</v>
      </c>
      <c r="D1365" s="8" t="s">
        <v>56</v>
      </c>
      <c r="E1365" s="52">
        <v>1362</v>
      </c>
      <c r="F1365" s="13"/>
      <c r="G1365" s="13">
        <v>396</v>
      </c>
    </row>
    <row r="1366" spans="1:7" hidden="1" x14ac:dyDescent="0.75">
      <c r="A1366" s="51">
        <v>44936</v>
      </c>
      <c r="B1366" s="52">
        <v>804</v>
      </c>
      <c r="C1366" s="8" t="s">
        <v>2237</v>
      </c>
      <c r="D1366" s="8" t="s">
        <v>56</v>
      </c>
      <c r="E1366" s="52">
        <v>1362</v>
      </c>
      <c r="F1366" s="13"/>
      <c r="G1366" s="13">
        <v>917.1</v>
      </c>
    </row>
    <row r="1367" spans="1:7" hidden="1" x14ac:dyDescent="0.75">
      <c r="A1367" s="51">
        <v>44936</v>
      </c>
      <c r="B1367" s="52">
        <v>804</v>
      </c>
      <c r="C1367" s="8" t="s">
        <v>2237</v>
      </c>
      <c r="D1367" s="8" t="s">
        <v>56</v>
      </c>
      <c r="E1367" s="52">
        <v>1362</v>
      </c>
      <c r="F1367" s="13"/>
      <c r="G1367" s="13">
        <v>671.5</v>
      </c>
    </row>
    <row r="1368" spans="1:7" hidden="1" x14ac:dyDescent="0.75">
      <c r="A1368" s="51">
        <v>44936</v>
      </c>
      <c r="B1368" s="52">
        <v>804</v>
      </c>
      <c r="C1368" s="8" t="s">
        <v>2237</v>
      </c>
      <c r="D1368" s="8" t="s">
        <v>56</v>
      </c>
      <c r="E1368" s="52">
        <v>1362</v>
      </c>
      <c r="F1368" s="13"/>
      <c r="G1368" s="13">
        <v>538.75</v>
      </c>
    </row>
    <row r="1369" spans="1:7" hidden="1" x14ac:dyDescent="0.75">
      <c r="A1369" s="51">
        <v>44936</v>
      </c>
      <c r="B1369" s="52">
        <v>804</v>
      </c>
      <c r="C1369" s="8" t="s">
        <v>2237</v>
      </c>
      <c r="D1369" s="8" t="s">
        <v>56</v>
      </c>
      <c r="E1369" s="52">
        <v>1362</v>
      </c>
      <c r="F1369" s="13"/>
      <c r="G1369" s="13">
        <v>666.5</v>
      </c>
    </row>
    <row r="1370" spans="1:7" hidden="1" x14ac:dyDescent="0.75">
      <c r="A1370" s="51">
        <v>44936</v>
      </c>
      <c r="B1370" s="52">
        <v>804</v>
      </c>
      <c r="C1370" s="8" t="s">
        <v>2237</v>
      </c>
      <c r="D1370" s="8" t="s">
        <v>56</v>
      </c>
      <c r="E1370" s="52">
        <v>1362</v>
      </c>
      <c r="F1370" s="13"/>
      <c r="G1370" s="13">
        <v>594</v>
      </c>
    </row>
    <row r="1371" spans="1:7" hidden="1" x14ac:dyDescent="0.75">
      <c r="A1371" s="51">
        <v>44936</v>
      </c>
      <c r="B1371" s="52">
        <v>804</v>
      </c>
      <c r="C1371" s="8" t="s">
        <v>2237</v>
      </c>
      <c r="D1371" s="8" t="s">
        <v>56</v>
      </c>
      <c r="E1371" s="52">
        <v>1362</v>
      </c>
      <c r="F1371" s="13"/>
      <c r="G1371" s="13">
        <v>594</v>
      </c>
    </row>
    <row r="1372" spans="1:7" hidden="1" x14ac:dyDescent="0.75">
      <c r="A1372" s="51">
        <v>44936</v>
      </c>
      <c r="B1372" s="52">
        <v>804</v>
      </c>
      <c r="C1372" s="8" t="s">
        <v>2237</v>
      </c>
      <c r="D1372" s="8" t="s">
        <v>56</v>
      </c>
      <c r="E1372" s="52">
        <v>1362</v>
      </c>
      <c r="F1372" s="13"/>
      <c r="G1372" s="13">
        <v>666.5</v>
      </c>
    </row>
    <row r="1373" spans="1:7" hidden="1" x14ac:dyDescent="0.75">
      <c r="A1373" s="51">
        <v>44937</v>
      </c>
      <c r="B1373" s="52">
        <v>804</v>
      </c>
      <c r="C1373" s="8" t="s">
        <v>2238</v>
      </c>
      <c r="D1373" s="8" t="s">
        <v>56</v>
      </c>
      <c r="E1373" s="52">
        <v>408</v>
      </c>
      <c r="F1373" s="13">
        <v>916.75</v>
      </c>
      <c r="G1373" s="13"/>
    </row>
    <row r="1374" spans="1:7" hidden="1" x14ac:dyDescent="0.75">
      <c r="A1374" s="51">
        <v>44939</v>
      </c>
      <c r="B1374" s="52">
        <v>804</v>
      </c>
      <c r="C1374" s="8" t="s">
        <v>2239</v>
      </c>
      <c r="D1374" s="8" t="s">
        <v>56</v>
      </c>
      <c r="E1374" s="52">
        <v>408</v>
      </c>
      <c r="F1374" s="13">
        <v>916.75</v>
      </c>
      <c r="G1374" s="13"/>
    </row>
    <row r="1375" spans="1:7" hidden="1" x14ac:dyDescent="0.75">
      <c r="A1375" s="51">
        <v>44942</v>
      </c>
      <c r="B1375" s="52">
        <v>804</v>
      </c>
      <c r="C1375" s="8" t="s">
        <v>2240</v>
      </c>
      <c r="D1375" s="8" t="s">
        <v>56</v>
      </c>
      <c r="E1375" s="52">
        <v>408</v>
      </c>
      <c r="F1375" s="13">
        <v>594</v>
      </c>
      <c r="G1375" s="13"/>
    </row>
    <row r="1376" spans="1:7" hidden="1" x14ac:dyDescent="0.75">
      <c r="A1376" s="51">
        <v>44942</v>
      </c>
      <c r="B1376" s="52">
        <v>804</v>
      </c>
      <c r="C1376" s="8" t="s">
        <v>2241</v>
      </c>
      <c r="D1376" s="8" t="s">
        <v>56</v>
      </c>
      <c r="E1376" s="52">
        <v>408</v>
      </c>
      <c r="F1376" s="13">
        <v>666.5</v>
      </c>
      <c r="G1376" s="13"/>
    </row>
    <row r="1377" spans="1:7" hidden="1" x14ac:dyDescent="0.75">
      <c r="A1377" s="51">
        <v>44944</v>
      </c>
      <c r="B1377" s="52">
        <v>804</v>
      </c>
      <c r="C1377" s="8" t="s">
        <v>2242</v>
      </c>
      <c r="D1377" s="8" t="s">
        <v>56</v>
      </c>
      <c r="E1377" s="52">
        <v>408</v>
      </c>
      <c r="F1377" s="13">
        <v>990</v>
      </c>
      <c r="G1377" s="13"/>
    </row>
    <row r="1378" spans="1:7" hidden="1" x14ac:dyDescent="0.75">
      <c r="A1378" s="51">
        <v>44944</v>
      </c>
      <c r="B1378" s="52">
        <v>804</v>
      </c>
      <c r="C1378" s="8" t="s">
        <v>2243</v>
      </c>
      <c r="D1378" s="8" t="s">
        <v>56</v>
      </c>
      <c r="E1378" s="52">
        <v>408</v>
      </c>
      <c r="F1378" s="13">
        <v>862.25</v>
      </c>
      <c r="G1378" s="13"/>
    </row>
    <row r="1379" spans="1:7" hidden="1" x14ac:dyDescent="0.75">
      <c r="A1379" s="51">
        <v>44946</v>
      </c>
      <c r="B1379" s="52">
        <v>804</v>
      </c>
      <c r="C1379" s="8" t="s">
        <v>2244</v>
      </c>
      <c r="D1379" s="8" t="s">
        <v>56</v>
      </c>
      <c r="E1379" s="52">
        <v>408</v>
      </c>
      <c r="F1379" s="13">
        <v>780.75</v>
      </c>
      <c r="G1379" s="13"/>
    </row>
    <row r="1380" spans="1:7" hidden="1" x14ac:dyDescent="0.75">
      <c r="A1380" s="51">
        <v>44946</v>
      </c>
      <c r="B1380" s="52">
        <v>804</v>
      </c>
      <c r="C1380" s="8" t="s">
        <v>2245</v>
      </c>
      <c r="D1380" s="8" t="s">
        <v>56</v>
      </c>
      <c r="E1380" s="52">
        <v>408</v>
      </c>
      <c r="F1380" s="13">
        <v>396</v>
      </c>
      <c r="G1380" s="13"/>
    </row>
    <row r="1381" spans="1:7" hidden="1" x14ac:dyDescent="0.75">
      <c r="A1381" s="51">
        <v>44949</v>
      </c>
      <c r="B1381" s="52">
        <v>804</v>
      </c>
      <c r="C1381" s="8" t="s">
        <v>2246</v>
      </c>
      <c r="D1381" s="8" t="s">
        <v>56</v>
      </c>
      <c r="E1381" s="52">
        <v>408</v>
      </c>
      <c r="F1381" s="13">
        <v>777.5</v>
      </c>
      <c r="G1381" s="13"/>
    </row>
    <row r="1382" spans="1:7" hidden="1" x14ac:dyDescent="0.75">
      <c r="A1382" s="51">
        <v>44949</v>
      </c>
      <c r="B1382" s="52">
        <v>804</v>
      </c>
      <c r="C1382" s="8" t="s">
        <v>2247</v>
      </c>
      <c r="D1382" s="8" t="s">
        <v>56</v>
      </c>
      <c r="E1382" s="52">
        <v>408</v>
      </c>
      <c r="F1382" s="13">
        <v>396</v>
      </c>
      <c r="G1382" s="13"/>
    </row>
    <row r="1383" spans="1:7" hidden="1" x14ac:dyDescent="0.75">
      <c r="A1383" s="51">
        <v>44951</v>
      </c>
      <c r="B1383" s="52">
        <v>804</v>
      </c>
      <c r="C1383" s="8" t="s">
        <v>2248</v>
      </c>
      <c r="D1383" s="8" t="s">
        <v>56</v>
      </c>
      <c r="E1383" s="52">
        <v>408</v>
      </c>
      <c r="F1383" s="13">
        <v>777.5</v>
      </c>
      <c r="G1383" s="13"/>
    </row>
    <row r="1384" spans="1:7" hidden="1" x14ac:dyDescent="0.75">
      <c r="A1384" s="51">
        <v>44953</v>
      </c>
      <c r="B1384" s="52">
        <v>804</v>
      </c>
      <c r="C1384" s="8" t="s">
        <v>2249</v>
      </c>
      <c r="D1384" s="8" t="s">
        <v>56</v>
      </c>
      <c r="E1384" s="52">
        <v>408</v>
      </c>
      <c r="F1384" s="13">
        <v>1016</v>
      </c>
      <c r="G1384" s="13"/>
    </row>
    <row r="1385" spans="1:7" hidden="1" x14ac:dyDescent="0.75">
      <c r="A1385" s="51">
        <v>44953</v>
      </c>
      <c r="B1385" s="52">
        <v>804</v>
      </c>
      <c r="C1385" s="8" t="s">
        <v>2250</v>
      </c>
      <c r="D1385" s="8" t="s">
        <v>56</v>
      </c>
      <c r="E1385" s="52">
        <v>408</v>
      </c>
      <c r="F1385" s="13">
        <v>1188</v>
      </c>
      <c r="G1385" s="13"/>
    </row>
    <row r="1386" spans="1:7" hidden="1" x14ac:dyDescent="0.75">
      <c r="A1386" s="51">
        <v>44956</v>
      </c>
      <c r="B1386" s="52">
        <v>804</v>
      </c>
      <c r="C1386" s="8" t="s">
        <v>2251</v>
      </c>
      <c r="D1386" s="8" t="s">
        <v>56</v>
      </c>
      <c r="E1386" s="52">
        <v>408</v>
      </c>
      <c r="F1386" s="13">
        <v>584.5</v>
      </c>
      <c r="G1386" s="13"/>
    </row>
    <row r="1387" spans="1:7" hidden="1" x14ac:dyDescent="0.75">
      <c r="A1387" s="51">
        <v>44956</v>
      </c>
      <c r="B1387" s="52">
        <v>804</v>
      </c>
      <c r="C1387" s="8" t="s">
        <v>2252</v>
      </c>
      <c r="D1387" s="8" t="s">
        <v>56</v>
      </c>
      <c r="E1387" s="52">
        <v>408</v>
      </c>
      <c r="F1387" s="13">
        <v>1188</v>
      </c>
      <c r="G1387" s="13"/>
    </row>
    <row r="1388" spans="1:7" hidden="1" x14ac:dyDescent="0.75">
      <c r="A1388" s="51">
        <v>44956</v>
      </c>
      <c r="B1388" s="52">
        <v>804</v>
      </c>
      <c r="C1388" s="8" t="s">
        <v>2237</v>
      </c>
      <c r="D1388" s="8" t="s">
        <v>56</v>
      </c>
      <c r="E1388" s="52">
        <v>1362</v>
      </c>
      <c r="F1388" s="13"/>
      <c r="G1388" s="13">
        <v>916.75</v>
      </c>
    </row>
    <row r="1389" spans="1:7" hidden="1" x14ac:dyDescent="0.75">
      <c r="A1389" s="51">
        <v>44956</v>
      </c>
      <c r="B1389" s="52">
        <v>804</v>
      </c>
      <c r="C1389" s="8" t="s">
        <v>2237</v>
      </c>
      <c r="D1389" s="8" t="s">
        <v>56</v>
      </c>
      <c r="E1389" s="52">
        <v>1362</v>
      </c>
      <c r="F1389" s="13"/>
      <c r="G1389" s="13">
        <v>916.75</v>
      </c>
    </row>
    <row r="1390" spans="1:7" hidden="1" x14ac:dyDescent="0.75">
      <c r="A1390" s="51">
        <v>44956</v>
      </c>
      <c r="B1390" s="52">
        <v>804</v>
      </c>
      <c r="C1390" s="8" t="s">
        <v>2237</v>
      </c>
      <c r="D1390" s="8" t="s">
        <v>56</v>
      </c>
      <c r="E1390" s="52">
        <v>1362</v>
      </c>
      <c r="F1390" s="13"/>
      <c r="G1390" s="13">
        <v>594</v>
      </c>
    </row>
    <row r="1391" spans="1:7" hidden="1" x14ac:dyDescent="0.75">
      <c r="A1391" s="51">
        <v>44956</v>
      </c>
      <c r="B1391" s="52">
        <v>804</v>
      </c>
      <c r="C1391" s="8" t="s">
        <v>2237</v>
      </c>
      <c r="D1391" s="8" t="s">
        <v>56</v>
      </c>
      <c r="E1391" s="52">
        <v>1362</v>
      </c>
      <c r="F1391" s="13"/>
      <c r="G1391" s="13">
        <v>666.5</v>
      </c>
    </row>
    <row r="1392" spans="1:7" hidden="1" x14ac:dyDescent="0.75">
      <c r="A1392" s="51">
        <v>44956</v>
      </c>
      <c r="B1392" s="52">
        <v>804</v>
      </c>
      <c r="C1392" s="8" t="s">
        <v>2237</v>
      </c>
      <c r="D1392" s="8" t="s">
        <v>56</v>
      </c>
      <c r="E1392" s="52">
        <v>1362</v>
      </c>
      <c r="F1392" s="13"/>
      <c r="G1392" s="13">
        <v>990</v>
      </c>
    </row>
    <row r="1393" spans="1:7" hidden="1" x14ac:dyDescent="0.75">
      <c r="A1393" s="51">
        <v>44956</v>
      </c>
      <c r="B1393" s="52">
        <v>804</v>
      </c>
      <c r="C1393" s="8" t="s">
        <v>2237</v>
      </c>
      <c r="D1393" s="8" t="s">
        <v>56</v>
      </c>
      <c r="E1393" s="52">
        <v>1362</v>
      </c>
      <c r="F1393" s="13"/>
      <c r="G1393" s="13">
        <v>862.25</v>
      </c>
    </row>
    <row r="1394" spans="1:7" hidden="1" x14ac:dyDescent="0.75">
      <c r="A1394" s="51">
        <v>44956</v>
      </c>
      <c r="B1394" s="52">
        <v>804</v>
      </c>
      <c r="C1394" s="8" t="s">
        <v>2237</v>
      </c>
      <c r="D1394" s="8" t="s">
        <v>56</v>
      </c>
      <c r="E1394" s="52">
        <v>1362</v>
      </c>
      <c r="F1394" s="13"/>
      <c r="G1394" s="13">
        <v>780.75</v>
      </c>
    </row>
    <row r="1395" spans="1:7" hidden="1" x14ac:dyDescent="0.75">
      <c r="A1395" s="51">
        <v>44956</v>
      </c>
      <c r="B1395" s="52">
        <v>804</v>
      </c>
      <c r="C1395" s="8" t="s">
        <v>2237</v>
      </c>
      <c r="D1395" s="8" t="s">
        <v>56</v>
      </c>
      <c r="E1395" s="52">
        <v>1362</v>
      </c>
      <c r="F1395" s="13"/>
      <c r="G1395" s="13">
        <v>396</v>
      </c>
    </row>
    <row r="1396" spans="1:7" hidden="1" x14ac:dyDescent="0.75">
      <c r="A1396" s="51">
        <v>44956</v>
      </c>
      <c r="B1396" s="52">
        <v>804</v>
      </c>
      <c r="C1396" s="8" t="s">
        <v>2237</v>
      </c>
      <c r="D1396" s="8" t="s">
        <v>56</v>
      </c>
      <c r="E1396" s="52">
        <v>1362</v>
      </c>
      <c r="F1396" s="13"/>
      <c r="G1396" s="13">
        <v>777.5</v>
      </c>
    </row>
    <row r="1397" spans="1:7" hidden="1" x14ac:dyDescent="0.75">
      <c r="A1397" s="51">
        <v>44956</v>
      </c>
      <c r="B1397" s="52">
        <v>804</v>
      </c>
      <c r="C1397" s="8" t="s">
        <v>2237</v>
      </c>
      <c r="D1397" s="8" t="s">
        <v>56</v>
      </c>
      <c r="E1397" s="52">
        <v>1362</v>
      </c>
      <c r="F1397" s="13"/>
      <c r="G1397" s="13">
        <v>396</v>
      </c>
    </row>
    <row r="1398" spans="1:7" hidden="1" x14ac:dyDescent="0.75">
      <c r="A1398" s="51">
        <v>44956</v>
      </c>
      <c r="B1398" s="52">
        <v>804</v>
      </c>
      <c r="C1398" s="8" t="s">
        <v>2237</v>
      </c>
      <c r="D1398" s="8" t="s">
        <v>56</v>
      </c>
      <c r="E1398" s="52">
        <v>1362</v>
      </c>
      <c r="F1398" s="13"/>
      <c r="G1398" s="13">
        <v>777.5</v>
      </c>
    </row>
    <row r="1399" spans="1:7" hidden="1" x14ac:dyDescent="0.75">
      <c r="A1399" s="51">
        <v>44956</v>
      </c>
      <c r="B1399" s="52">
        <v>804</v>
      </c>
      <c r="C1399" s="8" t="s">
        <v>2237</v>
      </c>
      <c r="D1399" s="8" t="s">
        <v>56</v>
      </c>
      <c r="E1399" s="52">
        <v>1362</v>
      </c>
      <c r="F1399" s="13"/>
      <c r="G1399" s="13">
        <v>1016</v>
      </c>
    </row>
    <row r="1400" spans="1:7" hidden="1" x14ac:dyDescent="0.75">
      <c r="A1400" s="51">
        <v>44956</v>
      </c>
      <c r="B1400" s="52">
        <v>804</v>
      </c>
      <c r="C1400" s="8" t="s">
        <v>2237</v>
      </c>
      <c r="D1400" s="8" t="s">
        <v>56</v>
      </c>
      <c r="E1400" s="52">
        <v>1362</v>
      </c>
      <c r="F1400" s="13"/>
      <c r="G1400" s="13">
        <v>1188</v>
      </c>
    </row>
    <row r="1401" spans="1:7" hidden="1" x14ac:dyDescent="0.75">
      <c r="A1401" s="51">
        <v>44928</v>
      </c>
      <c r="B1401" s="52">
        <v>806</v>
      </c>
      <c r="C1401" s="8" t="s">
        <v>2253</v>
      </c>
      <c r="D1401" s="8" t="s">
        <v>57</v>
      </c>
      <c r="E1401" s="52">
        <v>408</v>
      </c>
      <c r="F1401" s="13">
        <v>396</v>
      </c>
      <c r="G1401" s="13"/>
    </row>
    <row r="1402" spans="1:7" hidden="1" x14ac:dyDescent="0.75">
      <c r="A1402" s="51">
        <v>44928</v>
      </c>
      <c r="B1402" s="52">
        <v>806</v>
      </c>
      <c r="C1402" s="8" t="s">
        <v>2254</v>
      </c>
      <c r="D1402" s="8" t="s">
        <v>57</v>
      </c>
      <c r="E1402" s="52">
        <v>408</v>
      </c>
      <c r="F1402" s="13">
        <v>2589.5</v>
      </c>
      <c r="G1402" s="13"/>
    </row>
    <row r="1403" spans="1:7" hidden="1" x14ac:dyDescent="0.75">
      <c r="A1403" s="51">
        <v>44928</v>
      </c>
      <c r="B1403" s="52">
        <v>806</v>
      </c>
      <c r="C1403" s="8" t="s">
        <v>1482</v>
      </c>
      <c r="D1403" s="8" t="s">
        <v>57</v>
      </c>
      <c r="E1403" s="52">
        <v>8</v>
      </c>
      <c r="F1403" s="13"/>
      <c r="G1403" s="13">
        <v>56.57</v>
      </c>
    </row>
    <row r="1404" spans="1:7" hidden="1" x14ac:dyDescent="0.75">
      <c r="A1404" s="51">
        <v>44930</v>
      </c>
      <c r="B1404" s="52">
        <v>806</v>
      </c>
      <c r="C1404" s="8" t="s">
        <v>2255</v>
      </c>
      <c r="D1404" s="8" t="s">
        <v>57</v>
      </c>
      <c r="E1404" s="52">
        <v>408</v>
      </c>
      <c r="F1404" s="13">
        <v>2236</v>
      </c>
      <c r="G1404" s="13"/>
    </row>
    <row r="1405" spans="1:7" hidden="1" x14ac:dyDescent="0.75">
      <c r="A1405" s="51">
        <v>44930</v>
      </c>
      <c r="B1405" s="52">
        <v>806</v>
      </c>
      <c r="C1405" s="8" t="s">
        <v>2256</v>
      </c>
      <c r="D1405" s="8" t="s">
        <v>57</v>
      </c>
      <c r="E1405" s="52">
        <v>408</v>
      </c>
      <c r="F1405" s="13">
        <v>594</v>
      </c>
      <c r="G1405" s="13"/>
    </row>
    <row r="1406" spans="1:7" hidden="1" x14ac:dyDescent="0.75">
      <c r="A1406" s="51">
        <v>44932</v>
      </c>
      <c r="B1406" s="52">
        <v>806</v>
      </c>
      <c r="C1406" s="8" t="s">
        <v>2257</v>
      </c>
      <c r="D1406" s="8" t="s">
        <v>57</v>
      </c>
      <c r="E1406" s="52">
        <v>408</v>
      </c>
      <c r="F1406" s="13">
        <v>990</v>
      </c>
      <c r="G1406" s="13"/>
    </row>
    <row r="1407" spans="1:7" hidden="1" x14ac:dyDescent="0.75">
      <c r="A1407" s="51">
        <v>44932</v>
      </c>
      <c r="B1407" s="52">
        <v>806</v>
      </c>
      <c r="C1407" s="8" t="s">
        <v>2258</v>
      </c>
      <c r="D1407" s="8" t="s">
        <v>57</v>
      </c>
      <c r="E1407" s="52">
        <v>408</v>
      </c>
      <c r="F1407" s="13">
        <v>2985</v>
      </c>
      <c r="G1407" s="13"/>
    </row>
    <row r="1408" spans="1:7" hidden="1" x14ac:dyDescent="0.75">
      <c r="A1408" s="51">
        <v>44935</v>
      </c>
      <c r="B1408" s="52">
        <v>806</v>
      </c>
      <c r="C1408" s="8" t="s">
        <v>2259</v>
      </c>
      <c r="D1408" s="8" t="s">
        <v>57</v>
      </c>
      <c r="E1408" s="52">
        <v>408</v>
      </c>
      <c r="F1408" s="13">
        <v>2423.6</v>
      </c>
      <c r="G1408" s="13"/>
    </row>
    <row r="1409" spans="1:7" hidden="1" x14ac:dyDescent="0.75">
      <c r="A1409" s="51">
        <v>44936</v>
      </c>
      <c r="B1409" s="52">
        <v>806</v>
      </c>
      <c r="C1409" s="8" t="s">
        <v>1600</v>
      </c>
      <c r="D1409" s="8" t="s">
        <v>57</v>
      </c>
      <c r="E1409" s="52">
        <v>8</v>
      </c>
      <c r="F1409" s="13"/>
      <c r="G1409" s="13">
        <v>2.92</v>
      </c>
    </row>
    <row r="1410" spans="1:7" hidden="1" x14ac:dyDescent="0.75">
      <c r="A1410" s="51">
        <v>44936</v>
      </c>
      <c r="B1410" s="52">
        <v>806</v>
      </c>
      <c r="C1410" s="8" t="s">
        <v>2260</v>
      </c>
      <c r="D1410" s="8" t="s">
        <v>57</v>
      </c>
      <c r="E1410" s="52">
        <v>1362</v>
      </c>
      <c r="F1410" s="13"/>
      <c r="G1410" s="13">
        <v>890</v>
      </c>
    </row>
    <row r="1411" spans="1:7" hidden="1" x14ac:dyDescent="0.75">
      <c r="A1411" s="51">
        <v>44936</v>
      </c>
      <c r="B1411" s="52">
        <v>806</v>
      </c>
      <c r="C1411" s="8" t="s">
        <v>2261</v>
      </c>
      <c r="D1411" s="8" t="s">
        <v>57</v>
      </c>
      <c r="E1411" s="52">
        <v>1362</v>
      </c>
      <c r="F1411" s="13"/>
      <c r="G1411" s="13">
        <v>2925.4</v>
      </c>
    </row>
    <row r="1412" spans="1:7" hidden="1" x14ac:dyDescent="0.75">
      <c r="A1412" s="51">
        <v>44936</v>
      </c>
      <c r="B1412" s="52">
        <v>806</v>
      </c>
      <c r="C1412" s="8" t="s">
        <v>2262</v>
      </c>
      <c r="D1412" s="8" t="s">
        <v>57</v>
      </c>
      <c r="E1412" s="52">
        <v>1362</v>
      </c>
      <c r="F1412" s="13"/>
      <c r="G1412" s="13">
        <v>2795.5</v>
      </c>
    </row>
    <row r="1413" spans="1:7" hidden="1" x14ac:dyDescent="0.75">
      <c r="A1413" s="51">
        <v>44936</v>
      </c>
      <c r="B1413" s="52">
        <v>806</v>
      </c>
      <c r="C1413" s="8" t="s">
        <v>2263</v>
      </c>
      <c r="D1413" s="8" t="s">
        <v>57</v>
      </c>
      <c r="E1413" s="52">
        <v>1362</v>
      </c>
      <c r="F1413" s="13"/>
      <c r="G1413" s="13">
        <v>204</v>
      </c>
    </row>
    <row r="1414" spans="1:7" hidden="1" x14ac:dyDescent="0.75">
      <c r="A1414" s="51">
        <v>44936</v>
      </c>
      <c r="B1414" s="52">
        <v>806</v>
      </c>
      <c r="C1414" s="8" t="s">
        <v>2264</v>
      </c>
      <c r="D1414" s="8" t="s">
        <v>57</v>
      </c>
      <c r="E1414" s="52">
        <v>1362</v>
      </c>
      <c r="F1414" s="13"/>
      <c r="G1414" s="13">
        <v>890</v>
      </c>
    </row>
    <row r="1415" spans="1:7" hidden="1" x14ac:dyDescent="0.75">
      <c r="A1415" s="51">
        <v>44936</v>
      </c>
      <c r="B1415" s="52">
        <v>806</v>
      </c>
      <c r="C1415" s="8" t="s">
        <v>2265</v>
      </c>
      <c r="D1415" s="8" t="s">
        <v>57</v>
      </c>
      <c r="E1415" s="52">
        <v>1362</v>
      </c>
      <c r="F1415" s="13"/>
      <c r="G1415" s="13">
        <v>191</v>
      </c>
    </row>
    <row r="1416" spans="1:7" hidden="1" x14ac:dyDescent="0.75">
      <c r="A1416" s="51">
        <v>44936</v>
      </c>
      <c r="B1416" s="52">
        <v>806</v>
      </c>
      <c r="C1416" s="8" t="s">
        <v>2266</v>
      </c>
      <c r="D1416" s="8" t="s">
        <v>57</v>
      </c>
      <c r="E1416" s="52">
        <v>1362</v>
      </c>
      <c r="F1416" s="13"/>
      <c r="G1416" s="13">
        <v>1792.5</v>
      </c>
    </row>
    <row r="1417" spans="1:7" hidden="1" x14ac:dyDescent="0.75">
      <c r="A1417" s="51">
        <v>44936</v>
      </c>
      <c r="B1417" s="52">
        <v>806</v>
      </c>
      <c r="C1417" s="8" t="s">
        <v>2267</v>
      </c>
      <c r="D1417" s="8" t="s">
        <v>57</v>
      </c>
      <c r="E1417" s="52">
        <v>1362</v>
      </c>
      <c r="F1417" s="13"/>
      <c r="G1417" s="13">
        <v>534</v>
      </c>
    </row>
    <row r="1418" spans="1:7" hidden="1" x14ac:dyDescent="0.75">
      <c r="A1418" s="51">
        <v>44936</v>
      </c>
      <c r="B1418" s="52">
        <v>806</v>
      </c>
      <c r="C1418" s="8" t="s">
        <v>2268</v>
      </c>
      <c r="D1418" s="8" t="s">
        <v>57</v>
      </c>
      <c r="E1418" s="52">
        <v>1362</v>
      </c>
      <c r="F1418" s="13"/>
      <c r="G1418" s="13">
        <v>890</v>
      </c>
    </row>
    <row r="1419" spans="1:7" hidden="1" x14ac:dyDescent="0.75">
      <c r="A1419" s="51">
        <v>44936</v>
      </c>
      <c r="B1419" s="52">
        <v>806</v>
      </c>
      <c r="C1419" s="8" t="s">
        <v>2269</v>
      </c>
      <c r="D1419" s="8" t="s">
        <v>57</v>
      </c>
      <c r="E1419" s="52">
        <v>1362</v>
      </c>
      <c r="F1419" s="13"/>
      <c r="G1419" s="13">
        <v>204</v>
      </c>
    </row>
    <row r="1420" spans="1:7" hidden="1" x14ac:dyDescent="0.75">
      <c r="A1420" s="51">
        <v>44936</v>
      </c>
      <c r="B1420" s="52">
        <v>806</v>
      </c>
      <c r="C1420" s="8" t="s">
        <v>2126</v>
      </c>
      <c r="D1420" s="8" t="s">
        <v>57</v>
      </c>
      <c r="E1420" s="52">
        <v>1362</v>
      </c>
      <c r="F1420" s="13"/>
      <c r="G1420" s="13">
        <v>1272.2</v>
      </c>
    </row>
    <row r="1421" spans="1:7" hidden="1" x14ac:dyDescent="0.75">
      <c r="A1421" s="51">
        <v>44936</v>
      </c>
      <c r="B1421" s="52">
        <v>806</v>
      </c>
      <c r="C1421" s="8" t="s">
        <v>2126</v>
      </c>
      <c r="D1421" s="8" t="s">
        <v>57</v>
      </c>
      <c r="E1421" s="52">
        <v>1362</v>
      </c>
      <c r="F1421" s="13"/>
      <c r="G1421" s="13">
        <v>990</v>
      </c>
    </row>
    <row r="1422" spans="1:7" hidden="1" x14ac:dyDescent="0.75">
      <c r="A1422" s="51">
        <v>44936</v>
      </c>
      <c r="B1422" s="52">
        <v>806</v>
      </c>
      <c r="C1422" s="8" t="s">
        <v>2126</v>
      </c>
      <c r="D1422" s="8" t="s">
        <v>57</v>
      </c>
      <c r="E1422" s="52">
        <v>1362</v>
      </c>
      <c r="F1422" s="13"/>
      <c r="G1422" s="13">
        <v>2583.5</v>
      </c>
    </row>
    <row r="1423" spans="1:7" hidden="1" x14ac:dyDescent="0.75">
      <c r="A1423" s="51">
        <v>44936</v>
      </c>
      <c r="B1423" s="52">
        <v>806</v>
      </c>
      <c r="C1423" s="8" t="s">
        <v>2126</v>
      </c>
      <c r="D1423" s="8" t="s">
        <v>57</v>
      </c>
      <c r="E1423" s="52">
        <v>1362</v>
      </c>
      <c r="F1423" s="13"/>
      <c r="G1423" s="13">
        <v>280</v>
      </c>
    </row>
    <row r="1424" spans="1:7" hidden="1" x14ac:dyDescent="0.75">
      <c r="A1424" s="51">
        <v>44936</v>
      </c>
      <c r="B1424" s="52">
        <v>806</v>
      </c>
      <c r="C1424" s="8" t="s">
        <v>2126</v>
      </c>
      <c r="D1424" s="8" t="s">
        <v>57</v>
      </c>
      <c r="E1424" s="52">
        <v>1362</v>
      </c>
      <c r="F1424" s="13"/>
      <c r="G1424" s="13">
        <v>1319.5</v>
      </c>
    </row>
    <row r="1425" spans="1:7" hidden="1" x14ac:dyDescent="0.75">
      <c r="A1425" s="51">
        <v>44936</v>
      </c>
      <c r="B1425" s="52">
        <v>806</v>
      </c>
      <c r="C1425" s="8" t="s">
        <v>2126</v>
      </c>
      <c r="D1425" s="8" t="s">
        <v>57</v>
      </c>
      <c r="E1425" s="52">
        <v>1362</v>
      </c>
      <c r="F1425" s="13"/>
      <c r="G1425" s="13">
        <v>594</v>
      </c>
    </row>
    <row r="1426" spans="1:7" hidden="1" x14ac:dyDescent="0.75">
      <c r="A1426" s="51">
        <v>44936</v>
      </c>
      <c r="B1426" s="52">
        <v>806</v>
      </c>
      <c r="C1426" s="8" t="s">
        <v>2126</v>
      </c>
      <c r="D1426" s="8" t="s">
        <v>57</v>
      </c>
      <c r="E1426" s="52">
        <v>1362</v>
      </c>
      <c r="F1426" s="13"/>
      <c r="G1426" s="13">
        <v>990</v>
      </c>
    </row>
    <row r="1427" spans="1:7" hidden="1" x14ac:dyDescent="0.75">
      <c r="A1427" s="51">
        <v>44936</v>
      </c>
      <c r="B1427" s="52">
        <v>806</v>
      </c>
      <c r="C1427" s="8" t="s">
        <v>2126</v>
      </c>
      <c r="D1427" s="8" t="s">
        <v>57</v>
      </c>
      <c r="E1427" s="52">
        <v>1362</v>
      </c>
      <c r="F1427" s="13"/>
      <c r="G1427" s="13">
        <v>280</v>
      </c>
    </row>
    <row r="1428" spans="1:7" hidden="1" x14ac:dyDescent="0.75">
      <c r="A1428" s="51">
        <v>44936</v>
      </c>
      <c r="B1428" s="52">
        <v>806</v>
      </c>
      <c r="C1428" s="8" t="s">
        <v>2126</v>
      </c>
      <c r="D1428" s="8" t="s">
        <v>57</v>
      </c>
      <c r="E1428" s="52">
        <v>1362</v>
      </c>
      <c r="F1428" s="13"/>
      <c r="G1428" s="13">
        <v>2034.3</v>
      </c>
    </row>
    <row r="1429" spans="1:7" hidden="1" x14ac:dyDescent="0.75">
      <c r="A1429" s="51">
        <v>44936</v>
      </c>
      <c r="B1429" s="52">
        <v>806</v>
      </c>
      <c r="C1429" s="8" t="s">
        <v>2126</v>
      </c>
      <c r="D1429" s="8" t="s">
        <v>57</v>
      </c>
      <c r="E1429" s="52">
        <v>1362</v>
      </c>
      <c r="F1429" s="13"/>
      <c r="G1429" s="13">
        <v>990</v>
      </c>
    </row>
    <row r="1430" spans="1:7" hidden="1" x14ac:dyDescent="0.75">
      <c r="A1430" s="51">
        <v>44936</v>
      </c>
      <c r="B1430" s="52">
        <v>806</v>
      </c>
      <c r="C1430" s="8" t="s">
        <v>2126</v>
      </c>
      <c r="D1430" s="8" t="s">
        <v>57</v>
      </c>
      <c r="E1430" s="52">
        <v>1362</v>
      </c>
      <c r="F1430" s="13"/>
      <c r="G1430" s="13">
        <v>2476.6999999999998</v>
      </c>
    </row>
    <row r="1431" spans="1:7" hidden="1" x14ac:dyDescent="0.75">
      <c r="A1431" s="51">
        <v>44936</v>
      </c>
      <c r="B1431" s="52">
        <v>806</v>
      </c>
      <c r="C1431" s="8" t="s">
        <v>2126</v>
      </c>
      <c r="D1431" s="8" t="s">
        <v>57</v>
      </c>
      <c r="E1431" s="52">
        <v>1362</v>
      </c>
      <c r="F1431" s="13"/>
      <c r="G1431" s="13">
        <v>2414.1999999999998</v>
      </c>
    </row>
    <row r="1432" spans="1:7" hidden="1" x14ac:dyDescent="0.75">
      <c r="A1432" s="51">
        <v>44936</v>
      </c>
      <c r="B1432" s="52">
        <v>806</v>
      </c>
      <c r="C1432" s="8" t="s">
        <v>2126</v>
      </c>
      <c r="D1432" s="8" t="s">
        <v>57</v>
      </c>
      <c r="E1432" s="52">
        <v>1362</v>
      </c>
      <c r="F1432" s="13"/>
      <c r="G1432" s="13">
        <v>990</v>
      </c>
    </row>
    <row r="1433" spans="1:7" hidden="1" x14ac:dyDescent="0.75">
      <c r="A1433" s="51">
        <v>44936</v>
      </c>
      <c r="B1433" s="52">
        <v>806</v>
      </c>
      <c r="C1433" s="8" t="s">
        <v>2126</v>
      </c>
      <c r="D1433" s="8" t="s">
        <v>57</v>
      </c>
      <c r="E1433" s="52">
        <v>1362</v>
      </c>
      <c r="F1433" s="13"/>
      <c r="G1433" s="13">
        <v>1917.5</v>
      </c>
    </row>
    <row r="1434" spans="1:7" hidden="1" x14ac:dyDescent="0.75">
      <c r="A1434" s="51">
        <v>44936</v>
      </c>
      <c r="B1434" s="52">
        <v>806</v>
      </c>
      <c r="C1434" s="8" t="s">
        <v>2126</v>
      </c>
      <c r="D1434" s="8" t="s">
        <v>57</v>
      </c>
      <c r="E1434" s="52">
        <v>1362</v>
      </c>
      <c r="F1434" s="13"/>
      <c r="G1434" s="13">
        <v>1592.7</v>
      </c>
    </row>
    <row r="1435" spans="1:7" hidden="1" x14ac:dyDescent="0.75">
      <c r="A1435" s="51">
        <v>44936</v>
      </c>
      <c r="B1435" s="52">
        <v>806</v>
      </c>
      <c r="C1435" s="8" t="s">
        <v>2126</v>
      </c>
      <c r="D1435" s="8" t="s">
        <v>57</v>
      </c>
      <c r="E1435" s="52">
        <v>1362</v>
      </c>
      <c r="F1435" s="13"/>
      <c r="G1435" s="13">
        <v>990</v>
      </c>
    </row>
    <row r="1436" spans="1:7" hidden="1" x14ac:dyDescent="0.75">
      <c r="A1436" s="51">
        <v>44936</v>
      </c>
      <c r="B1436" s="52">
        <v>806</v>
      </c>
      <c r="C1436" s="8" t="s">
        <v>2126</v>
      </c>
      <c r="D1436" s="8" t="s">
        <v>57</v>
      </c>
      <c r="E1436" s="52">
        <v>1362</v>
      </c>
      <c r="F1436" s="13"/>
      <c r="G1436" s="13">
        <v>140</v>
      </c>
    </row>
    <row r="1437" spans="1:7" hidden="1" x14ac:dyDescent="0.75">
      <c r="A1437" s="51">
        <v>44936</v>
      </c>
      <c r="B1437" s="52">
        <v>806</v>
      </c>
      <c r="C1437" s="8" t="s">
        <v>2126</v>
      </c>
      <c r="D1437" s="8" t="s">
        <v>57</v>
      </c>
      <c r="E1437" s="52">
        <v>1362</v>
      </c>
      <c r="F1437" s="13"/>
      <c r="G1437" s="13">
        <v>1624.2</v>
      </c>
    </row>
    <row r="1438" spans="1:7" hidden="1" x14ac:dyDescent="0.75">
      <c r="A1438" s="51">
        <v>44936</v>
      </c>
      <c r="B1438" s="52">
        <v>806</v>
      </c>
      <c r="C1438" s="8" t="s">
        <v>2126</v>
      </c>
      <c r="D1438" s="8" t="s">
        <v>57</v>
      </c>
      <c r="E1438" s="52">
        <v>1362</v>
      </c>
      <c r="F1438" s="13"/>
      <c r="G1438" s="13">
        <v>990</v>
      </c>
    </row>
    <row r="1439" spans="1:7" hidden="1" x14ac:dyDescent="0.75">
      <c r="A1439" s="51">
        <v>44936</v>
      </c>
      <c r="B1439" s="52">
        <v>806</v>
      </c>
      <c r="C1439" s="8" t="s">
        <v>2126</v>
      </c>
      <c r="D1439" s="8" t="s">
        <v>57</v>
      </c>
      <c r="E1439" s="52">
        <v>1362</v>
      </c>
      <c r="F1439" s="13"/>
      <c r="G1439" s="13">
        <v>2415.5</v>
      </c>
    </row>
    <row r="1440" spans="1:7" hidden="1" x14ac:dyDescent="0.75">
      <c r="A1440" s="51">
        <v>44936</v>
      </c>
      <c r="B1440" s="52">
        <v>806</v>
      </c>
      <c r="C1440" s="8" t="s">
        <v>2126</v>
      </c>
      <c r="D1440" s="8" t="s">
        <v>57</v>
      </c>
      <c r="E1440" s="52">
        <v>1362</v>
      </c>
      <c r="F1440" s="13"/>
      <c r="G1440" s="13">
        <v>594</v>
      </c>
    </row>
    <row r="1441" spans="1:7" hidden="1" x14ac:dyDescent="0.75">
      <c r="A1441" s="51">
        <v>44936</v>
      </c>
      <c r="B1441" s="52">
        <v>806</v>
      </c>
      <c r="C1441" s="8" t="s">
        <v>2126</v>
      </c>
      <c r="D1441" s="8" t="s">
        <v>57</v>
      </c>
      <c r="E1441" s="52">
        <v>1362</v>
      </c>
      <c r="F1441" s="13"/>
      <c r="G1441" s="13">
        <v>2372</v>
      </c>
    </row>
    <row r="1442" spans="1:7" hidden="1" x14ac:dyDescent="0.75">
      <c r="A1442" s="51">
        <v>44936</v>
      </c>
      <c r="B1442" s="52">
        <v>806</v>
      </c>
      <c r="C1442" s="8" t="s">
        <v>2126</v>
      </c>
      <c r="D1442" s="8" t="s">
        <v>57</v>
      </c>
      <c r="E1442" s="52">
        <v>1362</v>
      </c>
      <c r="F1442" s="13"/>
      <c r="G1442" s="13">
        <v>2081.5</v>
      </c>
    </row>
    <row r="1443" spans="1:7" hidden="1" x14ac:dyDescent="0.75">
      <c r="A1443" s="51">
        <v>44936</v>
      </c>
      <c r="B1443" s="52">
        <v>806</v>
      </c>
      <c r="C1443" s="8" t="s">
        <v>2126</v>
      </c>
      <c r="D1443" s="8" t="s">
        <v>57</v>
      </c>
      <c r="E1443" s="52">
        <v>1362</v>
      </c>
      <c r="F1443" s="13"/>
      <c r="G1443" s="13">
        <v>2907.1</v>
      </c>
    </row>
    <row r="1444" spans="1:7" hidden="1" x14ac:dyDescent="0.75">
      <c r="A1444" s="51">
        <v>44936</v>
      </c>
      <c r="B1444" s="52">
        <v>806</v>
      </c>
      <c r="C1444" s="8" t="s">
        <v>2126</v>
      </c>
      <c r="D1444" s="8" t="s">
        <v>57</v>
      </c>
      <c r="E1444" s="52">
        <v>1362</v>
      </c>
      <c r="F1444" s="13"/>
      <c r="G1444" s="13">
        <v>396</v>
      </c>
    </row>
    <row r="1445" spans="1:7" hidden="1" x14ac:dyDescent="0.75">
      <c r="A1445" s="51">
        <v>44936</v>
      </c>
      <c r="B1445" s="52">
        <v>806</v>
      </c>
      <c r="C1445" s="8" t="s">
        <v>2126</v>
      </c>
      <c r="D1445" s="8" t="s">
        <v>57</v>
      </c>
      <c r="E1445" s="52">
        <v>1362</v>
      </c>
      <c r="F1445" s="13"/>
      <c r="G1445" s="13">
        <v>1992</v>
      </c>
    </row>
    <row r="1446" spans="1:7" hidden="1" x14ac:dyDescent="0.75">
      <c r="A1446" s="51">
        <v>44936</v>
      </c>
      <c r="B1446" s="52">
        <v>806</v>
      </c>
      <c r="C1446" s="8" t="s">
        <v>2126</v>
      </c>
      <c r="D1446" s="8" t="s">
        <v>57</v>
      </c>
      <c r="E1446" s="52">
        <v>1362</v>
      </c>
      <c r="F1446" s="13"/>
      <c r="G1446" s="13">
        <v>396</v>
      </c>
    </row>
    <row r="1447" spans="1:7" hidden="1" x14ac:dyDescent="0.75">
      <c r="A1447" s="51">
        <v>44936</v>
      </c>
      <c r="B1447" s="52">
        <v>806</v>
      </c>
      <c r="C1447" s="8" t="s">
        <v>2126</v>
      </c>
      <c r="D1447" s="8" t="s">
        <v>57</v>
      </c>
      <c r="E1447" s="52">
        <v>1362</v>
      </c>
      <c r="F1447" s="13"/>
      <c r="G1447" s="13">
        <v>140</v>
      </c>
    </row>
    <row r="1448" spans="1:7" hidden="1" x14ac:dyDescent="0.75">
      <c r="A1448" s="51">
        <v>44936</v>
      </c>
      <c r="B1448" s="52">
        <v>806</v>
      </c>
      <c r="C1448" s="8" t="s">
        <v>2126</v>
      </c>
      <c r="D1448" s="8" t="s">
        <v>57</v>
      </c>
      <c r="E1448" s="52">
        <v>1362</v>
      </c>
      <c r="F1448" s="13"/>
      <c r="G1448" s="13">
        <v>2388.5</v>
      </c>
    </row>
    <row r="1449" spans="1:7" hidden="1" x14ac:dyDescent="0.75">
      <c r="A1449" s="51">
        <v>44936</v>
      </c>
      <c r="B1449" s="52">
        <v>806</v>
      </c>
      <c r="C1449" s="8" t="s">
        <v>2126</v>
      </c>
      <c r="D1449" s="8" t="s">
        <v>57</v>
      </c>
      <c r="E1449" s="52">
        <v>1362</v>
      </c>
      <c r="F1449" s="13"/>
      <c r="G1449" s="13">
        <v>1526.2</v>
      </c>
    </row>
    <row r="1450" spans="1:7" hidden="1" x14ac:dyDescent="0.75">
      <c r="A1450" s="51">
        <v>44936</v>
      </c>
      <c r="B1450" s="52">
        <v>806</v>
      </c>
      <c r="C1450" s="8" t="s">
        <v>2126</v>
      </c>
      <c r="D1450" s="8" t="s">
        <v>57</v>
      </c>
      <c r="E1450" s="52">
        <v>1362</v>
      </c>
      <c r="F1450" s="13"/>
      <c r="G1450" s="13">
        <v>990</v>
      </c>
    </row>
    <row r="1451" spans="1:7" hidden="1" x14ac:dyDescent="0.75">
      <c r="A1451" s="51">
        <v>44936</v>
      </c>
      <c r="B1451" s="52">
        <v>806</v>
      </c>
      <c r="C1451" s="8" t="s">
        <v>2126</v>
      </c>
      <c r="D1451" s="8" t="s">
        <v>57</v>
      </c>
      <c r="E1451" s="52">
        <v>1362</v>
      </c>
      <c r="F1451" s="13"/>
      <c r="G1451" s="13">
        <v>990</v>
      </c>
    </row>
    <row r="1452" spans="1:7" hidden="1" x14ac:dyDescent="0.75">
      <c r="A1452" s="51">
        <v>44936</v>
      </c>
      <c r="B1452" s="52">
        <v>806</v>
      </c>
      <c r="C1452" s="8" t="s">
        <v>2126</v>
      </c>
      <c r="D1452" s="8" t="s">
        <v>57</v>
      </c>
      <c r="E1452" s="52">
        <v>1362</v>
      </c>
      <c r="F1452" s="13"/>
      <c r="G1452" s="13">
        <v>382</v>
      </c>
    </row>
    <row r="1453" spans="1:7" hidden="1" x14ac:dyDescent="0.75">
      <c r="A1453" s="51">
        <v>44936</v>
      </c>
      <c r="B1453" s="52">
        <v>806</v>
      </c>
      <c r="C1453" s="8" t="s">
        <v>2126</v>
      </c>
      <c r="D1453" s="8" t="s">
        <v>57</v>
      </c>
      <c r="E1453" s="52">
        <v>1362</v>
      </c>
      <c r="F1453" s="13"/>
      <c r="G1453" s="13">
        <v>2491</v>
      </c>
    </row>
    <row r="1454" spans="1:7" hidden="1" x14ac:dyDescent="0.75">
      <c r="A1454" s="51">
        <v>44936</v>
      </c>
      <c r="B1454" s="52">
        <v>806</v>
      </c>
      <c r="C1454" s="8" t="s">
        <v>2126</v>
      </c>
      <c r="D1454" s="8" t="s">
        <v>57</v>
      </c>
      <c r="E1454" s="52">
        <v>1362</v>
      </c>
      <c r="F1454" s="13"/>
      <c r="G1454" s="13">
        <v>396</v>
      </c>
    </row>
    <row r="1455" spans="1:7" hidden="1" x14ac:dyDescent="0.75">
      <c r="A1455" s="51">
        <v>44936</v>
      </c>
      <c r="B1455" s="52">
        <v>806</v>
      </c>
      <c r="C1455" s="8" t="s">
        <v>2126</v>
      </c>
      <c r="D1455" s="8" t="s">
        <v>57</v>
      </c>
      <c r="E1455" s="52">
        <v>1362</v>
      </c>
      <c r="F1455" s="13"/>
      <c r="G1455" s="13">
        <v>2589.5</v>
      </c>
    </row>
    <row r="1456" spans="1:7" hidden="1" x14ac:dyDescent="0.75">
      <c r="A1456" s="51">
        <v>44936</v>
      </c>
      <c r="B1456" s="52">
        <v>806</v>
      </c>
      <c r="C1456" s="8" t="s">
        <v>2126</v>
      </c>
      <c r="D1456" s="8" t="s">
        <v>57</v>
      </c>
      <c r="E1456" s="52">
        <v>1362</v>
      </c>
      <c r="F1456" s="13"/>
      <c r="G1456" s="13">
        <v>2236</v>
      </c>
    </row>
    <row r="1457" spans="1:7" hidden="1" x14ac:dyDescent="0.75">
      <c r="A1457" s="51">
        <v>44936</v>
      </c>
      <c r="B1457" s="52">
        <v>806</v>
      </c>
      <c r="C1457" s="8" t="s">
        <v>2126</v>
      </c>
      <c r="D1457" s="8" t="s">
        <v>57</v>
      </c>
      <c r="E1457" s="52">
        <v>1362</v>
      </c>
      <c r="F1457" s="13"/>
      <c r="G1457" s="13">
        <v>594</v>
      </c>
    </row>
    <row r="1458" spans="1:7" hidden="1" x14ac:dyDescent="0.75">
      <c r="A1458" s="51">
        <v>44936</v>
      </c>
      <c r="B1458" s="52">
        <v>806</v>
      </c>
      <c r="C1458" s="8" t="s">
        <v>2126</v>
      </c>
      <c r="D1458" s="8" t="s">
        <v>57</v>
      </c>
      <c r="E1458" s="52">
        <v>1362</v>
      </c>
      <c r="F1458" s="13"/>
      <c r="G1458" s="13">
        <v>990</v>
      </c>
    </row>
    <row r="1459" spans="1:7" hidden="1" x14ac:dyDescent="0.75">
      <c r="A1459" s="51">
        <v>44936</v>
      </c>
      <c r="B1459" s="52">
        <v>806</v>
      </c>
      <c r="C1459" s="8" t="s">
        <v>2126</v>
      </c>
      <c r="D1459" s="8" t="s">
        <v>57</v>
      </c>
      <c r="E1459" s="52">
        <v>1362</v>
      </c>
      <c r="F1459" s="13"/>
      <c r="G1459" s="13">
        <v>2423.6</v>
      </c>
    </row>
    <row r="1460" spans="1:7" hidden="1" x14ac:dyDescent="0.75">
      <c r="A1460" s="51">
        <v>44936</v>
      </c>
      <c r="B1460" s="52">
        <v>806</v>
      </c>
      <c r="C1460" s="8" t="s">
        <v>2126</v>
      </c>
      <c r="D1460" s="8" t="s">
        <v>57</v>
      </c>
      <c r="E1460" s="52">
        <v>1362</v>
      </c>
      <c r="F1460" s="13"/>
      <c r="G1460" s="13">
        <v>990</v>
      </c>
    </row>
    <row r="1461" spans="1:7" hidden="1" x14ac:dyDescent="0.75">
      <c r="A1461" s="51">
        <v>44937</v>
      </c>
      <c r="B1461" s="52">
        <v>806</v>
      </c>
      <c r="C1461" s="8" t="s">
        <v>2270</v>
      </c>
      <c r="D1461" s="8" t="s">
        <v>57</v>
      </c>
      <c r="E1461" s="52">
        <v>408</v>
      </c>
      <c r="F1461" s="13">
        <v>990</v>
      </c>
      <c r="G1461" s="13"/>
    </row>
    <row r="1462" spans="1:7" hidden="1" x14ac:dyDescent="0.75">
      <c r="A1462" s="51">
        <v>44937</v>
      </c>
      <c r="B1462" s="52">
        <v>806</v>
      </c>
      <c r="C1462" s="8" t="s">
        <v>2271</v>
      </c>
      <c r="D1462" s="8" t="s">
        <v>57</v>
      </c>
      <c r="E1462" s="52">
        <v>408</v>
      </c>
      <c r="F1462" s="13">
        <v>2602.5</v>
      </c>
      <c r="G1462" s="13"/>
    </row>
    <row r="1463" spans="1:7" hidden="1" x14ac:dyDescent="0.75">
      <c r="A1463" s="51">
        <v>44939</v>
      </c>
      <c r="B1463" s="52">
        <v>806</v>
      </c>
      <c r="C1463" s="8" t="s">
        <v>2272</v>
      </c>
      <c r="D1463" s="8" t="s">
        <v>57</v>
      </c>
      <c r="E1463" s="52">
        <v>408</v>
      </c>
      <c r="F1463" s="13">
        <v>3045.5</v>
      </c>
      <c r="G1463" s="13"/>
    </row>
    <row r="1464" spans="1:7" hidden="1" x14ac:dyDescent="0.75">
      <c r="A1464" s="51">
        <v>44939</v>
      </c>
      <c r="B1464" s="52">
        <v>806</v>
      </c>
      <c r="C1464" s="8" t="s">
        <v>2273</v>
      </c>
      <c r="D1464" s="8" t="s">
        <v>57</v>
      </c>
      <c r="E1464" s="52">
        <v>408</v>
      </c>
      <c r="F1464" s="13">
        <v>594</v>
      </c>
      <c r="G1464" s="13"/>
    </row>
    <row r="1465" spans="1:7" hidden="1" x14ac:dyDescent="0.75">
      <c r="A1465" s="51">
        <v>44942</v>
      </c>
      <c r="B1465" s="52">
        <v>806</v>
      </c>
      <c r="C1465" s="8" t="s">
        <v>2274</v>
      </c>
      <c r="D1465" s="8" t="s">
        <v>57</v>
      </c>
      <c r="E1465" s="52">
        <v>408</v>
      </c>
      <c r="F1465" s="13">
        <v>990</v>
      </c>
      <c r="G1465" s="13"/>
    </row>
    <row r="1466" spans="1:7" hidden="1" x14ac:dyDescent="0.75">
      <c r="A1466" s="51">
        <v>44942</v>
      </c>
      <c r="B1466" s="52">
        <v>806</v>
      </c>
      <c r="C1466" s="8" t="s">
        <v>2275</v>
      </c>
      <c r="D1466" s="8" t="s">
        <v>57</v>
      </c>
      <c r="E1466" s="52">
        <v>408</v>
      </c>
      <c r="F1466" s="13">
        <v>3105</v>
      </c>
      <c r="G1466" s="13"/>
    </row>
    <row r="1467" spans="1:7" hidden="1" x14ac:dyDescent="0.75">
      <c r="A1467" s="51">
        <v>44944</v>
      </c>
      <c r="B1467" s="52">
        <v>806</v>
      </c>
      <c r="C1467" s="8" t="s">
        <v>2276</v>
      </c>
      <c r="D1467" s="8" t="s">
        <v>57</v>
      </c>
      <c r="E1467" s="52">
        <v>408</v>
      </c>
      <c r="F1467" s="13">
        <v>990</v>
      </c>
      <c r="G1467" s="13"/>
    </row>
    <row r="1468" spans="1:7" hidden="1" x14ac:dyDescent="0.75">
      <c r="A1468" s="51">
        <v>44944</v>
      </c>
      <c r="B1468" s="52">
        <v>806</v>
      </c>
      <c r="C1468" s="8" t="s">
        <v>2277</v>
      </c>
      <c r="D1468" s="8" t="s">
        <v>57</v>
      </c>
      <c r="E1468" s="52">
        <v>408</v>
      </c>
      <c r="F1468" s="13">
        <v>2008</v>
      </c>
      <c r="G1468" s="13"/>
    </row>
    <row r="1469" spans="1:7" hidden="1" x14ac:dyDescent="0.75">
      <c r="A1469" s="51">
        <v>44946</v>
      </c>
      <c r="B1469" s="52">
        <v>806</v>
      </c>
      <c r="C1469" s="8" t="s">
        <v>2278</v>
      </c>
      <c r="D1469" s="8" t="s">
        <v>57</v>
      </c>
      <c r="E1469" s="52">
        <v>408</v>
      </c>
      <c r="F1469" s="13">
        <v>594</v>
      </c>
      <c r="G1469" s="13"/>
    </row>
    <row r="1470" spans="1:7" hidden="1" x14ac:dyDescent="0.75">
      <c r="A1470" s="51">
        <v>44946</v>
      </c>
      <c r="B1470" s="52">
        <v>806</v>
      </c>
      <c r="C1470" s="8" t="s">
        <v>2279</v>
      </c>
      <c r="D1470" s="8" t="s">
        <v>57</v>
      </c>
      <c r="E1470" s="52">
        <v>408</v>
      </c>
      <c r="F1470" s="13">
        <v>3282.5</v>
      </c>
      <c r="G1470" s="13"/>
    </row>
    <row r="1471" spans="1:7" hidden="1" x14ac:dyDescent="0.75">
      <c r="A1471" s="51">
        <v>44949</v>
      </c>
      <c r="B1471" s="52">
        <v>806</v>
      </c>
      <c r="C1471" s="8" t="s">
        <v>2280</v>
      </c>
      <c r="D1471" s="8" t="s">
        <v>57</v>
      </c>
      <c r="E1471" s="52">
        <v>408</v>
      </c>
      <c r="F1471" s="13">
        <v>1926</v>
      </c>
      <c r="G1471" s="13"/>
    </row>
    <row r="1472" spans="1:7" hidden="1" x14ac:dyDescent="0.75">
      <c r="A1472" s="51">
        <v>44951</v>
      </c>
      <c r="B1472" s="52">
        <v>806</v>
      </c>
      <c r="C1472" s="8" t="s">
        <v>2281</v>
      </c>
      <c r="D1472" s="8" t="s">
        <v>57</v>
      </c>
      <c r="E1472" s="52">
        <v>408</v>
      </c>
      <c r="F1472" s="13">
        <v>990</v>
      </c>
      <c r="G1472" s="13"/>
    </row>
    <row r="1473" spans="1:7" hidden="1" x14ac:dyDescent="0.75">
      <c r="A1473" s="51">
        <v>44951</v>
      </c>
      <c r="B1473" s="52">
        <v>806</v>
      </c>
      <c r="C1473" s="8" t="s">
        <v>2282</v>
      </c>
      <c r="D1473" s="8" t="s">
        <v>57</v>
      </c>
      <c r="E1473" s="52">
        <v>408</v>
      </c>
      <c r="F1473" s="13">
        <v>2802</v>
      </c>
      <c r="G1473" s="13"/>
    </row>
    <row r="1474" spans="1:7" hidden="1" x14ac:dyDescent="0.75">
      <c r="A1474" s="51">
        <v>44953</v>
      </c>
      <c r="B1474" s="52">
        <v>806</v>
      </c>
      <c r="C1474" s="8" t="s">
        <v>2283</v>
      </c>
      <c r="D1474" s="8" t="s">
        <v>57</v>
      </c>
      <c r="E1474" s="52">
        <v>408</v>
      </c>
      <c r="F1474" s="13">
        <v>3724</v>
      </c>
      <c r="G1474" s="13"/>
    </row>
    <row r="1475" spans="1:7" hidden="1" x14ac:dyDescent="0.75">
      <c r="A1475" s="51">
        <v>44953</v>
      </c>
      <c r="B1475" s="52">
        <v>806</v>
      </c>
      <c r="C1475" s="8" t="s">
        <v>2284</v>
      </c>
      <c r="D1475" s="8" t="s">
        <v>57</v>
      </c>
      <c r="E1475" s="52">
        <v>408</v>
      </c>
      <c r="F1475" s="13">
        <v>990</v>
      </c>
      <c r="G1475" s="13"/>
    </row>
    <row r="1476" spans="1:7" hidden="1" x14ac:dyDescent="0.75">
      <c r="A1476" s="51">
        <v>44956</v>
      </c>
      <c r="B1476" s="52">
        <v>806</v>
      </c>
      <c r="C1476" s="8" t="s">
        <v>2285</v>
      </c>
      <c r="D1476" s="8" t="s">
        <v>57</v>
      </c>
      <c r="E1476" s="52">
        <v>408</v>
      </c>
      <c r="F1476" s="13">
        <v>2339.5</v>
      </c>
      <c r="G1476" s="13"/>
    </row>
    <row r="1477" spans="1:7" hidden="1" x14ac:dyDescent="0.75">
      <c r="A1477" s="51">
        <v>44956</v>
      </c>
      <c r="B1477" s="52">
        <v>806</v>
      </c>
      <c r="C1477" s="8" t="s">
        <v>2286</v>
      </c>
      <c r="D1477" s="8" t="s">
        <v>57</v>
      </c>
      <c r="E1477" s="52">
        <v>408</v>
      </c>
      <c r="F1477" s="13">
        <v>594</v>
      </c>
      <c r="G1477" s="13"/>
    </row>
    <row r="1478" spans="1:7" hidden="1" x14ac:dyDescent="0.75">
      <c r="A1478" s="51">
        <v>44956</v>
      </c>
      <c r="B1478" s="52">
        <v>806</v>
      </c>
      <c r="C1478" s="8" t="s">
        <v>2126</v>
      </c>
      <c r="D1478" s="8" t="s">
        <v>57</v>
      </c>
      <c r="E1478" s="52">
        <v>1362</v>
      </c>
      <c r="F1478" s="13"/>
      <c r="G1478" s="13">
        <v>990</v>
      </c>
    </row>
    <row r="1479" spans="1:7" hidden="1" x14ac:dyDescent="0.75">
      <c r="A1479" s="51">
        <v>44956</v>
      </c>
      <c r="B1479" s="52">
        <v>806</v>
      </c>
      <c r="C1479" s="8" t="s">
        <v>2126</v>
      </c>
      <c r="D1479" s="8" t="s">
        <v>57</v>
      </c>
      <c r="E1479" s="52">
        <v>1362</v>
      </c>
      <c r="F1479" s="13"/>
      <c r="G1479" s="13">
        <v>2602.5</v>
      </c>
    </row>
    <row r="1480" spans="1:7" hidden="1" x14ac:dyDescent="0.75">
      <c r="A1480" s="51">
        <v>44956</v>
      </c>
      <c r="B1480" s="52">
        <v>806</v>
      </c>
      <c r="C1480" s="8" t="s">
        <v>2126</v>
      </c>
      <c r="D1480" s="8" t="s">
        <v>57</v>
      </c>
      <c r="E1480" s="52">
        <v>1362</v>
      </c>
      <c r="F1480" s="13"/>
      <c r="G1480" s="13">
        <v>594</v>
      </c>
    </row>
    <row r="1481" spans="1:7" hidden="1" x14ac:dyDescent="0.75">
      <c r="A1481" s="51">
        <v>44956</v>
      </c>
      <c r="B1481" s="52">
        <v>806</v>
      </c>
      <c r="C1481" s="8" t="s">
        <v>2126</v>
      </c>
      <c r="D1481" s="8" t="s">
        <v>57</v>
      </c>
      <c r="E1481" s="52">
        <v>1362</v>
      </c>
      <c r="F1481" s="13"/>
      <c r="G1481" s="13">
        <v>990</v>
      </c>
    </row>
    <row r="1482" spans="1:7" hidden="1" x14ac:dyDescent="0.75">
      <c r="A1482" s="51">
        <v>44956</v>
      </c>
      <c r="B1482" s="52">
        <v>806</v>
      </c>
      <c r="C1482" s="8" t="s">
        <v>2126</v>
      </c>
      <c r="D1482" s="8" t="s">
        <v>57</v>
      </c>
      <c r="E1482" s="52">
        <v>1362</v>
      </c>
      <c r="F1482" s="13"/>
      <c r="G1482" s="13">
        <v>990</v>
      </c>
    </row>
    <row r="1483" spans="1:7" hidden="1" x14ac:dyDescent="0.75">
      <c r="A1483" s="51">
        <v>44956</v>
      </c>
      <c r="B1483" s="52">
        <v>806</v>
      </c>
      <c r="C1483" s="8" t="s">
        <v>2126</v>
      </c>
      <c r="D1483" s="8" t="s">
        <v>57</v>
      </c>
      <c r="E1483" s="52">
        <v>1362</v>
      </c>
      <c r="F1483" s="13"/>
      <c r="G1483" s="13">
        <v>2008</v>
      </c>
    </row>
    <row r="1484" spans="1:7" hidden="1" x14ac:dyDescent="0.75">
      <c r="A1484" s="51">
        <v>44956</v>
      </c>
      <c r="B1484" s="52">
        <v>806</v>
      </c>
      <c r="C1484" s="8" t="s">
        <v>2126</v>
      </c>
      <c r="D1484" s="8" t="s">
        <v>57</v>
      </c>
      <c r="E1484" s="52">
        <v>1362</v>
      </c>
      <c r="F1484" s="13"/>
      <c r="G1484" s="13">
        <v>594</v>
      </c>
    </row>
    <row r="1485" spans="1:7" hidden="1" x14ac:dyDescent="0.75">
      <c r="A1485" s="51">
        <v>44956</v>
      </c>
      <c r="B1485" s="52">
        <v>806</v>
      </c>
      <c r="C1485" s="8" t="s">
        <v>2126</v>
      </c>
      <c r="D1485" s="8" t="s">
        <v>57</v>
      </c>
      <c r="E1485" s="52">
        <v>1362</v>
      </c>
      <c r="F1485" s="13"/>
      <c r="G1485" s="13">
        <v>1926</v>
      </c>
    </row>
    <row r="1486" spans="1:7" hidden="1" x14ac:dyDescent="0.75">
      <c r="A1486" s="51">
        <v>44956</v>
      </c>
      <c r="B1486" s="52">
        <v>806</v>
      </c>
      <c r="C1486" s="8" t="s">
        <v>2126</v>
      </c>
      <c r="D1486" s="8" t="s">
        <v>57</v>
      </c>
      <c r="E1486" s="52">
        <v>1362</v>
      </c>
      <c r="F1486" s="13"/>
      <c r="G1486" s="13">
        <v>990</v>
      </c>
    </row>
    <row r="1487" spans="1:7" hidden="1" x14ac:dyDescent="0.75">
      <c r="A1487" s="51">
        <v>44956</v>
      </c>
      <c r="B1487" s="52">
        <v>806</v>
      </c>
      <c r="C1487" s="8" t="s">
        <v>2126</v>
      </c>
      <c r="D1487" s="8" t="s">
        <v>57</v>
      </c>
      <c r="E1487" s="52">
        <v>1362</v>
      </c>
      <c r="F1487" s="13"/>
      <c r="G1487" s="13">
        <v>2802</v>
      </c>
    </row>
    <row r="1488" spans="1:7" hidden="1" x14ac:dyDescent="0.75">
      <c r="A1488" s="51">
        <v>44956</v>
      </c>
      <c r="B1488" s="52">
        <v>806</v>
      </c>
      <c r="C1488" s="8" t="s">
        <v>2126</v>
      </c>
      <c r="D1488" s="8" t="s">
        <v>57</v>
      </c>
      <c r="E1488" s="52">
        <v>1362</v>
      </c>
      <c r="F1488" s="13"/>
      <c r="G1488" s="13">
        <v>990</v>
      </c>
    </row>
    <row r="1489" spans="1:7" hidden="1" x14ac:dyDescent="0.75">
      <c r="A1489" s="51">
        <v>44957</v>
      </c>
      <c r="B1489" s="52">
        <v>806</v>
      </c>
      <c r="C1489" s="8" t="s">
        <v>1855</v>
      </c>
      <c r="D1489" s="8" t="s">
        <v>57</v>
      </c>
      <c r="E1489" s="52">
        <v>8</v>
      </c>
      <c r="F1489" s="13"/>
      <c r="G1489" s="13">
        <v>39.119999999999997</v>
      </c>
    </row>
    <row r="1490" spans="1:7" hidden="1" x14ac:dyDescent="0.75">
      <c r="A1490" s="51">
        <v>44928</v>
      </c>
      <c r="B1490" s="52">
        <v>717</v>
      </c>
      <c r="C1490" s="8" t="s">
        <v>2287</v>
      </c>
      <c r="D1490" s="8" t="s">
        <v>58</v>
      </c>
      <c r="E1490" s="52">
        <v>408</v>
      </c>
      <c r="F1490" s="13">
        <v>2431.1</v>
      </c>
      <c r="G1490" s="13"/>
    </row>
    <row r="1491" spans="1:7" hidden="1" x14ac:dyDescent="0.75">
      <c r="A1491" s="51">
        <v>44928</v>
      </c>
      <c r="B1491" s="52">
        <v>717</v>
      </c>
      <c r="C1491" s="8" t="s">
        <v>2288</v>
      </c>
      <c r="D1491" s="8" t="s">
        <v>58</v>
      </c>
      <c r="E1491" s="52">
        <v>1362</v>
      </c>
      <c r="F1491" s="13"/>
      <c r="G1491" s="13">
        <v>1781.4</v>
      </c>
    </row>
    <row r="1492" spans="1:7" hidden="1" x14ac:dyDescent="0.75">
      <c r="A1492" s="51">
        <v>44928</v>
      </c>
      <c r="B1492" s="52">
        <v>717</v>
      </c>
      <c r="C1492" s="8" t="s">
        <v>2289</v>
      </c>
      <c r="D1492" s="8" t="s">
        <v>58</v>
      </c>
      <c r="E1492" s="52">
        <v>1362</v>
      </c>
      <c r="F1492" s="13"/>
      <c r="G1492" s="13">
        <v>2367.35</v>
      </c>
    </row>
    <row r="1493" spans="1:7" hidden="1" x14ac:dyDescent="0.75">
      <c r="A1493" s="51">
        <v>44928</v>
      </c>
      <c r="B1493" s="52">
        <v>717</v>
      </c>
      <c r="C1493" s="8" t="s">
        <v>2290</v>
      </c>
      <c r="D1493" s="8" t="s">
        <v>58</v>
      </c>
      <c r="E1493" s="52">
        <v>1362</v>
      </c>
      <c r="F1493" s="13"/>
      <c r="G1493" s="13">
        <v>1455.25</v>
      </c>
    </row>
    <row r="1494" spans="1:7" hidden="1" x14ac:dyDescent="0.75">
      <c r="A1494" s="51">
        <v>44928</v>
      </c>
      <c r="B1494" s="52">
        <v>717</v>
      </c>
      <c r="C1494" s="8" t="s">
        <v>2291</v>
      </c>
      <c r="D1494" s="8" t="s">
        <v>58</v>
      </c>
      <c r="E1494" s="52">
        <v>1362</v>
      </c>
      <c r="F1494" s="13"/>
      <c r="G1494" s="13">
        <v>78</v>
      </c>
    </row>
    <row r="1495" spans="1:7" hidden="1" x14ac:dyDescent="0.75">
      <c r="A1495" s="51">
        <v>44928</v>
      </c>
      <c r="B1495" s="52">
        <v>717</v>
      </c>
      <c r="C1495" s="8" t="s">
        <v>2292</v>
      </c>
      <c r="D1495" s="8" t="s">
        <v>58</v>
      </c>
      <c r="E1495" s="52">
        <v>1362</v>
      </c>
      <c r="F1495" s="13"/>
      <c r="G1495" s="13">
        <v>1147</v>
      </c>
    </row>
    <row r="1496" spans="1:7" hidden="1" x14ac:dyDescent="0.75">
      <c r="A1496" s="51">
        <v>44928</v>
      </c>
      <c r="B1496" s="52">
        <v>717</v>
      </c>
      <c r="C1496" s="8" t="s">
        <v>2293</v>
      </c>
      <c r="D1496" s="8" t="s">
        <v>58</v>
      </c>
      <c r="E1496" s="52">
        <v>1362</v>
      </c>
      <c r="F1496" s="13"/>
      <c r="G1496" s="13">
        <v>2395.25</v>
      </c>
    </row>
    <row r="1497" spans="1:7" hidden="1" x14ac:dyDescent="0.75">
      <c r="A1497" s="51">
        <v>44928</v>
      </c>
      <c r="B1497" s="52">
        <v>717</v>
      </c>
      <c r="C1497" s="8" t="s">
        <v>2294</v>
      </c>
      <c r="D1497" s="8" t="s">
        <v>58</v>
      </c>
      <c r="E1497" s="52">
        <v>1362</v>
      </c>
      <c r="F1497" s="13"/>
      <c r="G1497" s="13">
        <v>2570.5500000000002</v>
      </c>
    </row>
    <row r="1498" spans="1:7" hidden="1" x14ac:dyDescent="0.75">
      <c r="A1498" s="51">
        <v>44928</v>
      </c>
      <c r="B1498" s="52">
        <v>717</v>
      </c>
      <c r="C1498" s="8" t="s">
        <v>2295</v>
      </c>
      <c r="D1498" s="8" t="s">
        <v>58</v>
      </c>
      <c r="E1498" s="52">
        <v>1362</v>
      </c>
      <c r="F1498" s="13"/>
      <c r="G1498" s="13">
        <v>78</v>
      </c>
    </row>
    <row r="1499" spans="1:7" hidden="1" x14ac:dyDescent="0.75">
      <c r="A1499" s="51">
        <v>44928</v>
      </c>
      <c r="B1499" s="52">
        <v>717</v>
      </c>
      <c r="C1499" s="8" t="s">
        <v>2296</v>
      </c>
      <c r="D1499" s="8" t="s">
        <v>58</v>
      </c>
      <c r="E1499" s="52">
        <v>1362</v>
      </c>
      <c r="F1499" s="13"/>
      <c r="G1499" s="13">
        <v>1560.25</v>
      </c>
    </row>
    <row r="1500" spans="1:7" hidden="1" x14ac:dyDescent="0.75">
      <c r="A1500" s="51">
        <v>44928</v>
      </c>
      <c r="B1500" s="52">
        <v>717</v>
      </c>
      <c r="C1500" s="8" t="s">
        <v>2297</v>
      </c>
      <c r="D1500" s="8" t="s">
        <v>58</v>
      </c>
      <c r="E1500" s="52">
        <v>1362</v>
      </c>
      <c r="F1500" s="13"/>
      <c r="G1500" s="13">
        <v>902.5</v>
      </c>
    </row>
    <row r="1501" spans="1:7" hidden="1" x14ac:dyDescent="0.75">
      <c r="A1501" s="51">
        <v>44928</v>
      </c>
      <c r="B1501" s="52">
        <v>717</v>
      </c>
      <c r="C1501" s="8" t="s">
        <v>2298</v>
      </c>
      <c r="D1501" s="8" t="s">
        <v>58</v>
      </c>
      <c r="E1501" s="52">
        <v>1362</v>
      </c>
      <c r="F1501" s="13"/>
      <c r="G1501" s="13">
        <v>1380.85</v>
      </c>
    </row>
    <row r="1502" spans="1:7" hidden="1" x14ac:dyDescent="0.75">
      <c r="A1502" s="51">
        <v>44928</v>
      </c>
      <c r="B1502" s="52">
        <v>717</v>
      </c>
      <c r="C1502" s="8" t="s">
        <v>2299</v>
      </c>
      <c r="D1502" s="8" t="s">
        <v>58</v>
      </c>
      <c r="E1502" s="52">
        <v>1362</v>
      </c>
      <c r="F1502" s="13"/>
      <c r="G1502" s="13">
        <v>110</v>
      </c>
    </row>
    <row r="1503" spans="1:7" hidden="1" x14ac:dyDescent="0.75">
      <c r="A1503" s="51">
        <v>44928</v>
      </c>
      <c r="B1503" s="52">
        <v>717</v>
      </c>
      <c r="C1503" s="8" t="s">
        <v>2300</v>
      </c>
      <c r="D1503" s="8" t="s">
        <v>58</v>
      </c>
      <c r="E1503" s="52">
        <v>1362</v>
      </c>
      <c r="F1503" s="13"/>
      <c r="G1503" s="13">
        <v>1542.15</v>
      </c>
    </row>
    <row r="1504" spans="1:7" hidden="1" x14ac:dyDescent="0.75">
      <c r="A1504" s="51">
        <v>44928</v>
      </c>
      <c r="B1504" s="52">
        <v>717</v>
      </c>
      <c r="C1504" s="8" t="s">
        <v>2301</v>
      </c>
      <c r="D1504" s="8" t="s">
        <v>58</v>
      </c>
      <c r="E1504" s="52">
        <v>1362</v>
      </c>
      <c r="F1504" s="13"/>
      <c r="G1504" s="13">
        <v>1062.7</v>
      </c>
    </row>
    <row r="1505" spans="1:7" hidden="1" x14ac:dyDescent="0.75">
      <c r="A1505" s="51">
        <v>44929</v>
      </c>
      <c r="B1505" s="52">
        <v>717</v>
      </c>
      <c r="C1505" s="8" t="s">
        <v>2302</v>
      </c>
      <c r="D1505" s="8" t="s">
        <v>58</v>
      </c>
      <c r="E1505" s="52">
        <v>408</v>
      </c>
      <c r="F1505" s="13">
        <v>881</v>
      </c>
      <c r="G1505" s="13"/>
    </row>
    <row r="1506" spans="1:7" hidden="1" x14ac:dyDescent="0.75">
      <c r="A1506" s="51">
        <v>44930</v>
      </c>
      <c r="B1506" s="52">
        <v>717</v>
      </c>
      <c r="C1506" s="8" t="s">
        <v>2303</v>
      </c>
      <c r="D1506" s="8" t="s">
        <v>58</v>
      </c>
      <c r="E1506" s="52">
        <v>408</v>
      </c>
      <c r="F1506" s="13">
        <v>724</v>
      </c>
      <c r="G1506" s="13"/>
    </row>
    <row r="1507" spans="1:7" hidden="1" x14ac:dyDescent="0.75">
      <c r="A1507" s="51">
        <v>44931</v>
      </c>
      <c r="B1507" s="52">
        <v>717</v>
      </c>
      <c r="C1507" s="8" t="s">
        <v>2304</v>
      </c>
      <c r="D1507" s="8" t="s">
        <v>58</v>
      </c>
      <c r="E1507" s="52">
        <v>408</v>
      </c>
      <c r="F1507" s="13">
        <v>1153.0999999999999</v>
      </c>
      <c r="G1507" s="13"/>
    </row>
    <row r="1508" spans="1:7" hidden="1" x14ac:dyDescent="0.75">
      <c r="A1508" s="51">
        <v>44932</v>
      </c>
      <c r="B1508" s="52">
        <v>717</v>
      </c>
      <c r="C1508" s="8" t="s">
        <v>2305</v>
      </c>
      <c r="D1508" s="8" t="s">
        <v>58</v>
      </c>
      <c r="E1508" s="52">
        <v>408</v>
      </c>
      <c r="F1508" s="13">
        <v>1894.7</v>
      </c>
      <c r="G1508" s="13"/>
    </row>
    <row r="1509" spans="1:7" hidden="1" x14ac:dyDescent="0.75">
      <c r="A1509" s="51">
        <v>44933</v>
      </c>
      <c r="B1509" s="52">
        <v>717</v>
      </c>
      <c r="C1509" s="8" t="s">
        <v>2306</v>
      </c>
      <c r="D1509" s="8" t="s">
        <v>58</v>
      </c>
      <c r="E1509" s="52">
        <v>408</v>
      </c>
      <c r="F1509" s="13">
        <v>1391.4</v>
      </c>
      <c r="G1509" s="13"/>
    </row>
    <row r="1510" spans="1:7" hidden="1" x14ac:dyDescent="0.75">
      <c r="A1510" s="51">
        <v>44935</v>
      </c>
      <c r="B1510" s="52">
        <v>717</v>
      </c>
      <c r="C1510" s="8" t="s">
        <v>2307</v>
      </c>
      <c r="D1510" s="8" t="s">
        <v>58</v>
      </c>
      <c r="E1510" s="52">
        <v>408</v>
      </c>
      <c r="F1510" s="13">
        <v>2055.6999999999998</v>
      </c>
      <c r="G1510" s="13"/>
    </row>
    <row r="1511" spans="1:7" hidden="1" x14ac:dyDescent="0.75">
      <c r="A1511" s="51">
        <v>44935</v>
      </c>
      <c r="B1511" s="52">
        <v>717</v>
      </c>
      <c r="C1511" s="8" t="s">
        <v>2308</v>
      </c>
      <c r="D1511" s="8" t="s">
        <v>58</v>
      </c>
      <c r="E1511" s="52">
        <v>408</v>
      </c>
      <c r="F1511" s="13">
        <v>649</v>
      </c>
      <c r="G1511" s="13"/>
    </row>
    <row r="1512" spans="1:7" hidden="1" x14ac:dyDescent="0.75">
      <c r="A1512" s="51">
        <v>44936</v>
      </c>
      <c r="B1512" s="52">
        <v>717</v>
      </c>
      <c r="C1512" s="8" t="s">
        <v>2309</v>
      </c>
      <c r="D1512" s="8" t="s">
        <v>58</v>
      </c>
      <c r="E1512" s="52">
        <v>408</v>
      </c>
      <c r="F1512" s="13">
        <v>1973.9</v>
      </c>
      <c r="G1512" s="13"/>
    </row>
    <row r="1513" spans="1:7" hidden="1" x14ac:dyDescent="0.75">
      <c r="A1513" s="51">
        <v>44936</v>
      </c>
      <c r="B1513" s="52">
        <v>717</v>
      </c>
      <c r="C1513" s="8" t="s">
        <v>2310</v>
      </c>
      <c r="D1513" s="8" t="s">
        <v>58</v>
      </c>
      <c r="E1513" s="52">
        <v>1362</v>
      </c>
      <c r="F1513" s="13"/>
      <c r="G1513" s="13">
        <v>1854.95</v>
      </c>
    </row>
    <row r="1514" spans="1:7" hidden="1" x14ac:dyDescent="0.75">
      <c r="A1514" s="51">
        <v>44936</v>
      </c>
      <c r="B1514" s="52">
        <v>717</v>
      </c>
      <c r="C1514" s="8" t="s">
        <v>2311</v>
      </c>
      <c r="D1514" s="8" t="s">
        <v>58</v>
      </c>
      <c r="E1514" s="52">
        <v>1362</v>
      </c>
      <c r="F1514" s="13"/>
      <c r="G1514" s="13">
        <v>714.9</v>
      </c>
    </row>
    <row r="1515" spans="1:7" hidden="1" x14ac:dyDescent="0.75">
      <c r="A1515" s="51">
        <v>44936</v>
      </c>
      <c r="B1515" s="52">
        <v>717</v>
      </c>
      <c r="C1515" s="8" t="s">
        <v>2312</v>
      </c>
      <c r="D1515" s="8" t="s">
        <v>58</v>
      </c>
      <c r="E1515" s="52">
        <v>1362</v>
      </c>
      <c r="F1515" s="13"/>
      <c r="G1515" s="13">
        <v>1370.5</v>
      </c>
    </row>
    <row r="1516" spans="1:7" hidden="1" x14ac:dyDescent="0.75">
      <c r="A1516" s="51">
        <v>44936</v>
      </c>
      <c r="B1516" s="52">
        <v>717</v>
      </c>
      <c r="C1516" s="8" t="s">
        <v>2313</v>
      </c>
      <c r="D1516" s="8" t="s">
        <v>58</v>
      </c>
      <c r="E1516" s="52">
        <v>1362</v>
      </c>
      <c r="F1516" s="13"/>
      <c r="G1516" s="13">
        <v>1390.8</v>
      </c>
    </row>
    <row r="1517" spans="1:7" hidden="1" x14ac:dyDescent="0.75">
      <c r="A1517" s="51">
        <v>44936</v>
      </c>
      <c r="B1517" s="52">
        <v>717</v>
      </c>
      <c r="C1517" s="8" t="s">
        <v>2314</v>
      </c>
      <c r="D1517" s="8" t="s">
        <v>58</v>
      </c>
      <c r="E1517" s="52">
        <v>1362</v>
      </c>
      <c r="F1517" s="13"/>
      <c r="G1517" s="13">
        <v>1335.6</v>
      </c>
    </row>
    <row r="1518" spans="1:7" hidden="1" x14ac:dyDescent="0.75">
      <c r="A1518" s="51">
        <v>44937</v>
      </c>
      <c r="B1518" s="52">
        <v>717</v>
      </c>
      <c r="C1518" s="8" t="s">
        <v>2315</v>
      </c>
      <c r="D1518" s="8" t="s">
        <v>58</v>
      </c>
      <c r="E1518" s="52">
        <v>408</v>
      </c>
      <c r="F1518" s="13">
        <v>1790.15</v>
      </c>
      <c r="G1518" s="13"/>
    </row>
    <row r="1519" spans="1:7" hidden="1" x14ac:dyDescent="0.75">
      <c r="A1519" s="51">
        <v>44938</v>
      </c>
      <c r="B1519" s="52">
        <v>717</v>
      </c>
      <c r="C1519" s="8" t="s">
        <v>2316</v>
      </c>
      <c r="D1519" s="8" t="s">
        <v>58</v>
      </c>
      <c r="E1519" s="52">
        <v>408</v>
      </c>
      <c r="F1519" s="13">
        <v>868</v>
      </c>
      <c r="G1519" s="13"/>
    </row>
    <row r="1520" spans="1:7" hidden="1" x14ac:dyDescent="0.75">
      <c r="A1520" s="51">
        <v>44939</v>
      </c>
      <c r="B1520" s="52">
        <v>717</v>
      </c>
      <c r="C1520" s="8" t="s">
        <v>2317</v>
      </c>
      <c r="D1520" s="8" t="s">
        <v>58</v>
      </c>
      <c r="E1520" s="52">
        <v>408</v>
      </c>
      <c r="F1520" s="13">
        <v>750</v>
      </c>
      <c r="G1520" s="13"/>
    </row>
    <row r="1521" spans="1:7" hidden="1" x14ac:dyDescent="0.75">
      <c r="A1521" s="51">
        <v>44940</v>
      </c>
      <c r="B1521" s="52">
        <v>717</v>
      </c>
      <c r="C1521" s="8" t="s">
        <v>2318</v>
      </c>
      <c r="D1521" s="8" t="s">
        <v>58</v>
      </c>
      <c r="E1521" s="52">
        <v>408</v>
      </c>
      <c r="F1521" s="13">
        <v>1351.5</v>
      </c>
      <c r="G1521" s="13"/>
    </row>
    <row r="1522" spans="1:7" hidden="1" x14ac:dyDescent="0.75">
      <c r="A1522" s="51">
        <v>44942</v>
      </c>
      <c r="B1522" s="52">
        <v>717</v>
      </c>
      <c r="C1522" s="8" t="s">
        <v>2319</v>
      </c>
      <c r="D1522" s="8" t="s">
        <v>58</v>
      </c>
      <c r="E1522" s="52">
        <v>408</v>
      </c>
      <c r="F1522" s="13">
        <v>3572.5</v>
      </c>
      <c r="G1522" s="13"/>
    </row>
    <row r="1523" spans="1:7" hidden="1" x14ac:dyDescent="0.75">
      <c r="A1523" s="51">
        <v>44943</v>
      </c>
      <c r="B1523" s="52">
        <v>717</v>
      </c>
      <c r="C1523" s="8" t="s">
        <v>2320</v>
      </c>
      <c r="D1523" s="8" t="s">
        <v>58</v>
      </c>
      <c r="E1523" s="52">
        <v>408</v>
      </c>
      <c r="F1523" s="13">
        <v>1128</v>
      </c>
      <c r="G1523" s="13"/>
    </row>
    <row r="1524" spans="1:7" hidden="1" x14ac:dyDescent="0.75">
      <c r="A1524" s="51">
        <v>44944</v>
      </c>
      <c r="B1524" s="52">
        <v>717</v>
      </c>
      <c r="C1524" s="8" t="s">
        <v>2321</v>
      </c>
      <c r="D1524" s="8" t="s">
        <v>58</v>
      </c>
      <c r="E1524" s="52">
        <v>408</v>
      </c>
      <c r="F1524" s="13">
        <v>1120</v>
      </c>
      <c r="G1524" s="13"/>
    </row>
    <row r="1525" spans="1:7" hidden="1" x14ac:dyDescent="0.75">
      <c r="A1525" s="51">
        <v>44945</v>
      </c>
      <c r="B1525" s="52">
        <v>717</v>
      </c>
      <c r="C1525" s="8" t="s">
        <v>2322</v>
      </c>
      <c r="D1525" s="8" t="s">
        <v>58</v>
      </c>
      <c r="E1525" s="52">
        <v>408</v>
      </c>
      <c r="F1525" s="13">
        <v>1754.45</v>
      </c>
      <c r="G1525" s="13"/>
    </row>
    <row r="1526" spans="1:7" hidden="1" x14ac:dyDescent="0.75">
      <c r="A1526" s="51">
        <v>44946</v>
      </c>
      <c r="B1526" s="52">
        <v>717</v>
      </c>
      <c r="C1526" s="8" t="s">
        <v>2323</v>
      </c>
      <c r="D1526" s="8" t="s">
        <v>58</v>
      </c>
      <c r="E1526" s="52">
        <v>408</v>
      </c>
      <c r="F1526" s="13">
        <v>1133.5</v>
      </c>
      <c r="G1526" s="13"/>
    </row>
    <row r="1527" spans="1:7" hidden="1" x14ac:dyDescent="0.75">
      <c r="A1527" s="51">
        <v>44946</v>
      </c>
      <c r="B1527" s="52">
        <v>717</v>
      </c>
      <c r="C1527" s="8" t="s">
        <v>2324</v>
      </c>
      <c r="D1527" s="8" t="s">
        <v>58</v>
      </c>
      <c r="E1527" s="52">
        <v>1362</v>
      </c>
      <c r="F1527" s="13"/>
      <c r="G1527" s="13">
        <v>766</v>
      </c>
    </row>
    <row r="1528" spans="1:7" hidden="1" x14ac:dyDescent="0.75">
      <c r="A1528" s="51">
        <v>44946</v>
      </c>
      <c r="B1528" s="52">
        <v>717</v>
      </c>
      <c r="C1528" s="8" t="s">
        <v>2325</v>
      </c>
      <c r="D1528" s="8" t="s">
        <v>58</v>
      </c>
      <c r="E1528" s="52">
        <v>1362</v>
      </c>
      <c r="F1528" s="13"/>
      <c r="G1528" s="13">
        <v>2606.25</v>
      </c>
    </row>
    <row r="1529" spans="1:7" hidden="1" x14ac:dyDescent="0.75">
      <c r="A1529" s="51">
        <v>44946</v>
      </c>
      <c r="B1529" s="52">
        <v>717</v>
      </c>
      <c r="C1529" s="8" t="s">
        <v>2325</v>
      </c>
      <c r="D1529" s="8" t="s">
        <v>58</v>
      </c>
      <c r="E1529" s="52">
        <v>1362</v>
      </c>
      <c r="F1529" s="13"/>
      <c r="G1529" s="13">
        <v>621.5</v>
      </c>
    </row>
    <row r="1530" spans="1:7" hidden="1" x14ac:dyDescent="0.75">
      <c r="A1530" s="51">
        <v>44946</v>
      </c>
      <c r="B1530" s="52">
        <v>717</v>
      </c>
      <c r="C1530" s="8" t="s">
        <v>2325</v>
      </c>
      <c r="D1530" s="8" t="s">
        <v>58</v>
      </c>
      <c r="E1530" s="52">
        <v>1362</v>
      </c>
      <c r="F1530" s="13"/>
      <c r="G1530" s="13">
        <v>650</v>
      </c>
    </row>
    <row r="1531" spans="1:7" hidden="1" x14ac:dyDescent="0.75">
      <c r="A1531" s="51">
        <v>44946</v>
      </c>
      <c r="B1531" s="52">
        <v>717</v>
      </c>
      <c r="C1531" s="8" t="s">
        <v>2325</v>
      </c>
      <c r="D1531" s="8" t="s">
        <v>58</v>
      </c>
      <c r="E1531" s="52">
        <v>1362</v>
      </c>
      <c r="F1531" s="13"/>
      <c r="G1531" s="13">
        <v>1257.1500000000001</v>
      </c>
    </row>
    <row r="1532" spans="1:7" hidden="1" x14ac:dyDescent="0.75">
      <c r="A1532" s="51">
        <v>44946</v>
      </c>
      <c r="B1532" s="52">
        <v>717</v>
      </c>
      <c r="C1532" s="8" t="s">
        <v>2325</v>
      </c>
      <c r="D1532" s="8" t="s">
        <v>58</v>
      </c>
      <c r="E1532" s="52">
        <v>1362</v>
      </c>
      <c r="F1532" s="13"/>
      <c r="G1532" s="13">
        <v>1504.7</v>
      </c>
    </row>
    <row r="1533" spans="1:7" hidden="1" x14ac:dyDescent="0.75">
      <c r="A1533" s="51">
        <v>44946</v>
      </c>
      <c r="B1533" s="52">
        <v>717</v>
      </c>
      <c r="C1533" s="8" t="s">
        <v>2325</v>
      </c>
      <c r="D1533" s="8" t="s">
        <v>58</v>
      </c>
      <c r="E1533" s="52">
        <v>1362</v>
      </c>
      <c r="F1533" s="13"/>
      <c r="G1533" s="13">
        <v>2867</v>
      </c>
    </row>
    <row r="1534" spans="1:7" hidden="1" x14ac:dyDescent="0.75">
      <c r="A1534" s="51">
        <v>44946</v>
      </c>
      <c r="B1534" s="52">
        <v>717</v>
      </c>
      <c r="C1534" s="8" t="s">
        <v>2325</v>
      </c>
      <c r="D1534" s="8" t="s">
        <v>58</v>
      </c>
      <c r="E1534" s="52">
        <v>1362</v>
      </c>
      <c r="F1534" s="13"/>
      <c r="G1534" s="13">
        <v>1300.5</v>
      </c>
    </row>
    <row r="1535" spans="1:7" hidden="1" x14ac:dyDescent="0.75">
      <c r="A1535" s="51">
        <v>44946</v>
      </c>
      <c r="B1535" s="52">
        <v>717</v>
      </c>
      <c r="C1535" s="8" t="s">
        <v>2325</v>
      </c>
      <c r="D1535" s="8" t="s">
        <v>58</v>
      </c>
      <c r="E1535" s="52">
        <v>1362</v>
      </c>
      <c r="F1535" s="13"/>
      <c r="G1535" s="13">
        <v>1338</v>
      </c>
    </row>
    <row r="1536" spans="1:7" hidden="1" x14ac:dyDescent="0.75">
      <c r="A1536" s="51">
        <v>44946</v>
      </c>
      <c r="B1536" s="52">
        <v>717</v>
      </c>
      <c r="C1536" s="8" t="s">
        <v>2325</v>
      </c>
      <c r="D1536" s="8" t="s">
        <v>58</v>
      </c>
      <c r="E1536" s="52">
        <v>1362</v>
      </c>
      <c r="F1536" s="13"/>
      <c r="G1536" s="13">
        <v>2251.0500000000002</v>
      </c>
    </row>
    <row r="1537" spans="1:7" hidden="1" x14ac:dyDescent="0.75">
      <c r="A1537" s="51">
        <v>44946</v>
      </c>
      <c r="B1537" s="52">
        <v>717</v>
      </c>
      <c r="C1537" s="8" t="s">
        <v>2325</v>
      </c>
      <c r="D1537" s="8" t="s">
        <v>58</v>
      </c>
      <c r="E1537" s="52">
        <v>1362</v>
      </c>
      <c r="F1537" s="13"/>
      <c r="G1537" s="13">
        <v>2025.75</v>
      </c>
    </row>
    <row r="1538" spans="1:7" hidden="1" x14ac:dyDescent="0.75">
      <c r="A1538" s="51">
        <v>44946</v>
      </c>
      <c r="B1538" s="52">
        <v>717</v>
      </c>
      <c r="C1538" s="8" t="s">
        <v>2325</v>
      </c>
      <c r="D1538" s="8" t="s">
        <v>58</v>
      </c>
      <c r="E1538" s="52">
        <v>1362</v>
      </c>
      <c r="F1538" s="13"/>
      <c r="G1538" s="13">
        <v>1338.5</v>
      </c>
    </row>
    <row r="1539" spans="1:7" hidden="1" x14ac:dyDescent="0.75">
      <c r="A1539" s="51">
        <v>44947</v>
      </c>
      <c r="B1539" s="52">
        <v>717</v>
      </c>
      <c r="C1539" s="8" t="s">
        <v>2326</v>
      </c>
      <c r="D1539" s="8" t="s">
        <v>58</v>
      </c>
      <c r="E1539" s="52">
        <v>408</v>
      </c>
      <c r="F1539" s="13">
        <v>1576.5</v>
      </c>
      <c r="G1539" s="13"/>
    </row>
    <row r="1540" spans="1:7" hidden="1" x14ac:dyDescent="0.75">
      <c r="A1540" s="51">
        <v>44949</v>
      </c>
      <c r="B1540" s="52">
        <v>717</v>
      </c>
      <c r="C1540" s="8" t="s">
        <v>2327</v>
      </c>
      <c r="D1540" s="8" t="s">
        <v>58</v>
      </c>
      <c r="E1540" s="52">
        <v>408</v>
      </c>
      <c r="F1540" s="13">
        <v>2201.4499999999998</v>
      </c>
      <c r="G1540" s="13"/>
    </row>
    <row r="1541" spans="1:7" hidden="1" x14ac:dyDescent="0.75">
      <c r="A1541" s="51">
        <v>44950</v>
      </c>
      <c r="B1541" s="52">
        <v>717</v>
      </c>
      <c r="C1541" s="8" t="s">
        <v>2328</v>
      </c>
      <c r="D1541" s="8" t="s">
        <v>58</v>
      </c>
      <c r="E1541" s="52">
        <v>408</v>
      </c>
      <c r="F1541" s="13">
        <v>1304.5</v>
      </c>
      <c r="G1541" s="13"/>
    </row>
    <row r="1542" spans="1:7" hidden="1" x14ac:dyDescent="0.75">
      <c r="A1542" s="51">
        <v>44951</v>
      </c>
      <c r="B1542" s="52">
        <v>717</v>
      </c>
      <c r="C1542" s="8" t="s">
        <v>2329</v>
      </c>
      <c r="D1542" s="8" t="s">
        <v>58</v>
      </c>
      <c r="E1542" s="52">
        <v>408</v>
      </c>
      <c r="F1542" s="13">
        <v>1469.5</v>
      </c>
      <c r="G1542" s="13"/>
    </row>
    <row r="1543" spans="1:7" hidden="1" x14ac:dyDescent="0.75">
      <c r="A1543" s="51">
        <v>44952</v>
      </c>
      <c r="B1543" s="52">
        <v>717</v>
      </c>
      <c r="C1543" s="8" t="s">
        <v>2330</v>
      </c>
      <c r="D1543" s="8" t="s">
        <v>58</v>
      </c>
      <c r="E1543" s="52">
        <v>408</v>
      </c>
      <c r="F1543" s="13">
        <v>1645.55</v>
      </c>
      <c r="G1543" s="13"/>
    </row>
    <row r="1544" spans="1:7" hidden="1" x14ac:dyDescent="0.75">
      <c r="A1544" s="51">
        <v>44953</v>
      </c>
      <c r="B1544" s="52">
        <v>717</v>
      </c>
      <c r="C1544" s="8" t="s">
        <v>2331</v>
      </c>
      <c r="D1544" s="8" t="s">
        <v>58</v>
      </c>
      <c r="E1544" s="52">
        <v>408</v>
      </c>
      <c r="F1544" s="13">
        <v>1615.6</v>
      </c>
      <c r="G1544" s="13"/>
    </row>
    <row r="1545" spans="1:7" hidden="1" x14ac:dyDescent="0.75">
      <c r="A1545" s="51">
        <v>44954</v>
      </c>
      <c r="B1545" s="52">
        <v>717</v>
      </c>
      <c r="C1545" s="8" t="s">
        <v>2332</v>
      </c>
      <c r="D1545" s="8" t="s">
        <v>58</v>
      </c>
      <c r="E1545" s="52">
        <v>408</v>
      </c>
      <c r="F1545" s="13">
        <v>1330</v>
      </c>
      <c r="G1545" s="13"/>
    </row>
    <row r="1546" spans="1:7" hidden="1" x14ac:dyDescent="0.75">
      <c r="A1546" s="51">
        <v>44956</v>
      </c>
      <c r="B1546" s="52">
        <v>717</v>
      </c>
      <c r="C1546" s="8" t="s">
        <v>2333</v>
      </c>
      <c r="D1546" s="8" t="s">
        <v>58</v>
      </c>
      <c r="E1546" s="52">
        <v>408</v>
      </c>
      <c r="F1546" s="13">
        <v>1779</v>
      </c>
      <c r="G1546" s="13"/>
    </row>
    <row r="1547" spans="1:7" hidden="1" x14ac:dyDescent="0.75">
      <c r="A1547" s="51">
        <v>44957</v>
      </c>
      <c r="B1547" s="52">
        <v>717</v>
      </c>
      <c r="C1547" s="8" t="s">
        <v>2334</v>
      </c>
      <c r="D1547" s="8" t="s">
        <v>58</v>
      </c>
      <c r="E1547" s="52">
        <v>408</v>
      </c>
      <c r="F1547" s="13">
        <v>734.3</v>
      </c>
      <c r="G1547" s="13"/>
    </row>
    <row r="1548" spans="1:7" hidden="1" x14ac:dyDescent="0.75">
      <c r="A1548" s="51">
        <v>44928</v>
      </c>
      <c r="B1548" s="52">
        <v>1818</v>
      </c>
      <c r="C1548" s="8" t="s">
        <v>2335</v>
      </c>
      <c r="D1548" s="8" t="s">
        <v>59</v>
      </c>
      <c r="E1548" s="52">
        <v>408</v>
      </c>
      <c r="F1548" s="13">
        <v>2531.5500000000002</v>
      </c>
      <c r="G1548" s="13"/>
    </row>
    <row r="1549" spans="1:7" hidden="1" x14ac:dyDescent="0.75">
      <c r="A1549" s="51">
        <v>44928</v>
      </c>
      <c r="B1549" s="52">
        <v>1818</v>
      </c>
      <c r="C1549" s="8" t="s">
        <v>2336</v>
      </c>
      <c r="D1549" s="8" t="s">
        <v>59</v>
      </c>
      <c r="E1549" s="52">
        <v>1362</v>
      </c>
      <c r="F1549" s="13"/>
      <c r="G1549" s="13">
        <v>1879.9</v>
      </c>
    </row>
    <row r="1550" spans="1:7" hidden="1" x14ac:dyDescent="0.75">
      <c r="A1550" s="51">
        <v>44928</v>
      </c>
      <c r="B1550" s="52">
        <v>1818</v>
      </c>
      <c r="C1550" s="8" t="s">
        <v>2337</v>
      </c>
      <c r="D1550" s="8" t="s">
        <v>59</v>
      </c>
      <c r="E1550" s="52">
        <v>1362</v>
      </c>
      <c r="F1550" s="13"/>
      <c r="G1550" s="13">
        <v>2104.1</v>
      </c>
    </row>
    <row r="1551" spans="1:7" hidden="1" x14ac:dyDescent="0.75">
      <c r="A1551" s="51">
        <v>44928</v>
      </c>
      <c r="B1551" s="52">
        <v>1818</v>
      </c>
      <c r="C1551" s="8" t="s">
        <v>2338</v>
      </c>
      <c r="D1551" s="8" t="s">
        <v>59</v>
      </c>
      <c r="E1551" s="52">
        <v>1362</v>
      </c>
      <c r="F1551" s="13"/>
      <c r="G1551" s="13">
        <v>1089.4000000000001</v>
      </c>
    </row>
    <row r="1552" spans="1:7" hidden="1" x14ac:dyDescent="0.75">
      <c r="A1552" s="51">
        <v>44928</v>
      </c>
      <c r="B1552" s="52">
        <v>1818</v>
      </c>
      <c r="C1552" s="8" t="s">
        <v>2339</v>
      </c>
      <c r="D1552" s="8" t="s">
        <v>59</v>
      </c>
      <c r="E1552" s="52">
        <v>1362</v>
      </c>
      <c r="F1552" s="13"/>
      <c r="G1552" s="13">
        <v>2146.35</v>
      </c>
    </row>
    <row r="1553" spans="1:7" hidden="1" x14ac:dyDescent="0.75">
      <c r="A1553" s="51">
        <v>44928</v>
      </c>
      <c r="B1553" s="52">
        <v>1818</v>
      </c>
      <c r="C1553" s="8" t="s">
        <v>2340</v>
      </c>
      <c r="D1553" s="8" t="s">
        <v>59</v>
      </c>
      <c r="E1553" s="52">
        <v>1362</v>
      </c>
      <c r="F1553" s="13"/>
      <c r="G1553" s="13">
        <v>2288.6</v>
      </c>
    </row>
    <row r="1554" spans="1:7" hidden="1" x14ac:dyDescent="0.75">
      <c r="A1554" s="51">
        <v>44928</v>
      </c>
      <c r="B1554" s="52">
        <v>1818</v>
      </c>
      <c r="C1554" s="8" t="s">
        <v>2341</v>
      </c>
      <c r="D1554" s="8" t="s">
        <v>59</v>
      </c>
      <c r="E1554" s="52">
        <v>1362</v>
      </c>
      <c r="F1554" s="13"/>
      <c r="G1554" s="13">
        <v>2601.9</v>
      </c>
    </row>
    <row r="1555" spans="1:7" hidden="1" x14ac:dyDescent="0.75">
      <c r="A1555" s="51">
        <v>44928</v>
      </c>
      <c r="B1555" s="52">
        <v>1818</v>
      </c>
      <c r="C1555" s="8" t="s">
        <v>2342</v>
      </c>
      <c r="D1555" s="8" t="s">
        <v>59</v>
      </c>
      <c r="E1555" s="52">
        <v>1362</v>
      </c>
      <c r="F1555" s="13"/>
      <c r="G1555" s="13">
        <v>1362.7</v>
      </c>
    </row>
    <row r="1556" spans="1:7" hidden="1" x14ac:dyDescent="0.75">
      <c r="A1556" s="51">
        <v>44928</v>
      </c>
      <c r="B1556" s="52">
        <v>1818</v>
      </c>
      <c r="C1556" s="8" t="s">
        <v>2343</v>
      </c>
      <c r="D1556" s="8" t="s">
        <v>59</v>
      </c>
      <c r="E1556" s="52">
        <v>1362</v>
      </c>
      <c r="F1556" s="13"/>
      <c r="G1556" s="13">
        <v>2582.65</v>
      </c>
    </row>
    <row r="1557" spans="1:7" hidden="1" x14ac:dyDescent="0.75">
      <c r="A1557" s="51">
        <v>44928</v>
      </c>
      <c r="B1557" s="52">
        <v>1818</v>
      </c>
      <c r="C1557" s="8" t="s">
        <v>2344</v>
      </c>
      <c r="D1557" s="8" t="s">
        <v>59</v>
      </c>
      <c r="E1557" s="52">
        <v>1362</v>
      </c>
      <c r="F1557" s="13"/>
      <c r="G1557" s="13">
        <v>1901.15</v>
      </c>
    </row>
    <row r="1558" spans="1:7" hidden="1" x14ac:dyDescent="0.75">
      <c r="A1558" s="51">
        <v>44928</v>
      </c>
      <c r="B1558" s="52">
        <v>1818</v>
      </c>
      <c r="C1558" s="8" t="s">
        <v>2345</v>
      </c>
      <c r="D1558" s="8" t="s">
        <v>59</v>
      </c>
      <c r="E1558" s="52">
        <v>1362</v>
      </c>
      <c r="F1558" s="13"/>
      <c r="G1558" s="13">
        <v>1844.45</v>
      </c>
    </row>
    <row r="1559" spans="1:7" hidden="1" x14ac:dyDescent="0.75">
      <c r="A1559" s="51">
        <v>44928</v>
      </c>
      <c r="B1559" s="52">
        <v>1818</v>
      </c>
      <c r="C1559" s="8" t="s">
        <v>2346</v>
      </c>
      <c r="D1559" s="8" t="s">
        <v>59</v>
      </c>
      <c r="E1559" s="52">
        <v>1362</v>
      </c>
      <c r="F1559" s="13"/>
      <c r="G1559" s="13">
        <v>2166.35</v>
      </c>
    </row>
    <row r="1560" spans="1:7" hidden="1" x14ac:dyDescent="0.75">
      <c r="A1560" s="51">
        <v>44928</v>
      </c>
      <c r="B1560" s="52">
        <v>1818</v>
      </c>
      <c r="C1560" s="8" t="s">
        <v>2347</v>
      </c>
      <c r="D1560" s="8" t="s">
        <v>59</v>
      </c>
      <c r="E1560" s="52">
        <v>1362</v>
      </c>
      <c r="F1560" s="13"/>
      <c r="G1560" s="13">
        <v>2529.25</v>
      </c>
    </row>
    <row r="1561" spans="1:7" hidden="1" x14ac:dyDescent="0.75">
      <c r="A1561" s="51">
        <v>44928</v>
      </c>
      <c r="B1561" s="52">
        <v>1818</v>
      </c>
      <c r="C1561" s="8" t="s">
        <v>2348</v>
      </c>
      <c r="D1561" s="8" t="s">
        <v>59</v>
      </c>
      <c r="E1561" s="52">
        <v>1362</v>
      </c>
      <c r="F1561" s="13"/>
      <c r="G1561" s="13">
        <v>1381.8</v>
      </c>
    </row>
    <row r="1562" spans="1:7" hidden="1" x14ac:dyDescent="0.75">
      <c r="A1562" s="51">
        <v>44928</v>
      </c>
      <c r="B1562" s="52">
        <v>1818</v>
      </c>
      <c r="C1562" s="8" t="s">
        <v>2349</v>
      </c>
      <c r="D1562" s="8" t="s">
        <v>59</v>
      </c>
      <c r="E1562" s="52">
        <v>1362</v>
      </c>
      <c r="F1562" s="13"/>
      <c r="G1562" s="13">
        <v>38</v>
      </c>
    </row>
    <row r="1563" spans="1:7" hidden="1" x14ac:dyDescent="0.75">
      <c r="A1563" s="51">
        <v>44929</v>
      </c>
      <c r="B1563" s="52">
        <v>1818</v>
      </c>
      <c r="C1563" s="8" t="s">
        <v>2350</v>
      </c>
      <c r="D1563" s="8" t="s">
        <v>59</v>
      </c>
      <c r="E1563" s="52">
        <v>408</v>
      </c>
      <c r="F1563" s="13">
        <v>1515.45</v>
      </c>
      <c r="G1563" s="13"/>
    </row>
    <row r="1564" spans="1:7" hidden="1" x14ac:dyDescent="0.75">
      <c r="A1564" s="51">
        <v>44930</v>
      </c>
      <c r="B1564" s="52">
        <v>1818</v>
      </c>
      <c r="C1564" s="8" t="s">
        <v>2351</v>
      </c>
      <c r="D1564" s="8" t="s">
        <v>59</v>
      </c>
      <c r="E1564" s="52">
        <v>408</v>
      </c>
      <c r="F1564" s="13">
        <v>2222.1999999999998</v>
      </c>
      <c r="G1564" s="13"/>
    </row>
    <row r="1565" spans="1:7" hidden="1" x14ac:dyDescent="0.75">
      <c r="A1565" s="51">
        <v>44931</v>
      </c>
      <c r="B1565" s="52">
        <v>1818</v>
      </c>
      <c r="C1565" s="8" t="s">
        <v>2352</v>
      </c>
      <c r="D1565" s="8" t="s">
        <v>59</v>
      </c>
      <c r="E1565" s="52">
        <v>408</v>
      </c>
      <c r="F1565" s="13">
        <v>2361.5</v>
      </c>
      <c r="G1565" s="13"/>
    </row>
    <row r="1566" spans="1:7" hidden="1" x14ac:dyDescent="0.75">
      <c r="A1566" s="51">
        <v>44932</v>
      </c>
      <c r="B1566" s="52">
        <v>1818</v>
      </c>
      <c r="C1566" s="8" t="s">
        <v>2353</v>
      </c>
      <c r="D1566" s="8" t="s">
        <v>59</v>
      </c>
      <c r="E1566" s="52">
        <v>408</v>
      </c>
      <c r="F1566" s="13">
        <v>2430.35</v>
      </c>
      <c r="G1566" s="13"/>
    </row>
    <row r="1567" spans="1:7" hidden="1" x14ac:dyDescent="0.75">
      <c r="A1567" s="51">
        <v>44933</v>
      </c>
      <c r="B1567" s="52">
        <v>1818</v>
      </c>
      <c r="C1567" s="8" t="s">
        <v>2354</v>
      </c>
      <c r="D1567" s="8" t="s">
        <v>59</v>
      </c>
      <c r="E1567" s="52">
        <v>408</v>
      </c>
      <c r="F1567" s="13">
        <v>1078.8</v>
      </c>
      <c r="G1567" s="13"/>
    </row>
    <row r="1568" spans="1:7" hidden="1" x14ac:dyDescent="0.75">
      <c r="A1568" s="51">
        <v>44935</v>
      </c>
      <c r="B1568" s="52">
        <v>1818</v>
      </c>
      <c r="C1568" s="8" t="s">
        <v>2355</v>
      </c>
      <c r="D1568" s="8" t="s">
        <v>59</v>
      </c>
      <c r="E1568" s="52">
        <v>408</v>
      </c>
      <c r="F1568" s="13">
        <v>1119</v>
      </c>
      <c r="G1568" s="13"/>
    </row>
    <row r="1569" spans="1:7" hidden="1" x14ac:dyDescent="0.75">
      <c r="A1569" s="51">
        <v>44936</v>
      </c>
      <c r="B1569" s="52">
        <v>1818</v>
      </c>
      <c r="C1569" s="8" t="s">
        <v>2356</v>
      </c>
      <c r="D1569" s="8" t="s">
        <v>59</v>
      </c>
      <c r="E1569" s="52">
        <v>408</v>
      </c>
      <c r="F1569" s="13">
        <v>1885.4</v>
      </c>
      <c r="G1569" s="13"/>
    </row>
    <row r="1570" spans="1:7" hidden="1" x14ac:dyDescent="0.75">
      <c r="A1570" s="51">
        <v>44936</v>
      </c>
      <c r="B1570" s="52">
        <v>1818</v>
      </c>
      <c r="C1570" s="8" t="s">
        <v>2357</v>
      </c>
      <c r="D1570" s="8" t="s">
        <v>59</v>
      </c>
      <c r="E1570" s="52">
        <v>408</v>
      </c>
      <c r="F1570" s="13">
        <v>691.15</v>
      </c>
      <c r="G1570" s="13"/>
    </row>
    <row r="1571" spans="1:7" hidden="1" x14ac:dyDescent="0.75">
      <c r="A1571" s="51">
        <v>44936</v>
      </c>
      <c r="B1571" s="52">
        <v>1818</v>
      </c>
      <c r="C1571" s="8" t="s">
        <v>2358</v>
      </c>
      <c r="D1571" s="8" t="s">
        <v>59</v>
      </c>
      <c r="E1571" s="52">
        <v>408</v>
      </c>
      <c r="F1571" s="13">
        <v>543.15</v>
      </c>
      <c r="G1571" s="13"/>
    </row>
    <row r="1572" spans="1:7" hidden="1" x14ac:dyDescent="0.75">
      <c r="A1572" s="51">
        <v>44936</v>
      </c>
      <c r="B1572" s="52">
        <v>1818</v>
      </c>
      <c r="C1572" s="8" t="s">
        <v>2359</v>
      </c>
      <c r="D1572" s="8" t="s">
        <v>59</v>
      </c>
      <c r="E1572" s="52">
        <v>408</v>
      </c>
      <c r="F1572" s="13">
        <v>543.15</v>
      </c>
      <c r="G1572" s="13"/>
    </row>
    <row r="1573" spans="1:7" hidden="1" x14ac:dyDescent="0.75">
      <c r="A1573" s="51">
        <v>44936</v>
      </c>
      <c r="B1573" s="52">
        <v>1818</v>
      </c>
      <c r="C1573" s="8" t="s">
        <v>2360</v>
      </c>
      <c r="D1573" s="8" t="s">
        <v>59</v>
      </c>
      <c r="E1573" s="52">
        <v>1362</v>
      </c>
      <c r="F1573" s="13"/>
      <c r="G1573" s="13">
        <v>1207.2</v>
      </c>
    </row>
    <row r="1574" spans="1:7" hidden="1" x14ac:dyDescent="0.75">
      <c r="A1574" s="51">
        <v>44936</v>
      </c>
      <c r="B1574" s="52">
        <v>1818</v>
      </c>
      <c r="C1574" s="8" t="s">
        <v>2361</v>
      </c>
      <c r="D1574" s="8" t="s">
        <v>59</v>
      </c>
      <c r="E1574" s="52">
        <v>1362</v>
      </c>
      <c r="F1574" s="13"/>
      <c r="G1574" s="13">
        <v>2031.45</v>
      </c>
    </row>
    <row r="1575" spans="1:7" hidden="1" x14ac:dyDescent="0.75">
      <c r="A1575" s="51">
        <v>44936</v>
      </c>
      <c r="B1575" s="52">
        <v>1818</v>
      </c>
      <c r="C1575" s="8" t="s">
        <v>2362</v>
      </c>
      <c r="D1575" s="8" t="s">
        <v>59</v>
      </c>
      <c r="E1575" s="52">
        <v>1362</v>
      </c>
      <c r="F1575" s="13"/>
      <c r="G1575" s="13">
        <v>2124.62</v>
      </c>
    </row>
    <row r="1576" spans="1:7" hidden="1" x14ac:dyDescent="0.75">
      <c r="A1576" s="51">
        <v>44937</v>
      </c>
      <c r="B1576" s="52">
        <v>1818</v>
      </c>
      <c r="C1576" s="8" t="s">
        <v>2363</v>
      </c>
      <c r="D1576" s="8" t="s">
        <v>59</v>
      </c>
      <c r="E1576" s="52">
        <v>408</v>
      </c>
      <c r="F1576" s="13">
        <v>543.15</v>
      </c>
      <c r="G1576" s="13"/>
    </row>
    <row r="1577" spans="1:7" hidden="1" x14ac:dyDescent="0.75">
      <c r="A1577" s="51">
        <v>44937</v>
      </c>
      <c r="B1577" s="52">
        <v>1818</v>
      </c>
      <c r="C1577" s="8" t="s">
        <v>2364</v>
      </c>
      <c r="D1577" s="8" t="s">
        <v>59</v>
      </c>
      <c r="E1577" s="52">
        <v>408</v>
      </c>
      <c r="F1577" s="13">
        <v>691.15</v>
      </c>
      <c r="G1577" s="13"/>
    </row>
    <row r="1578" spans="1:7" hidden="1" x14ac:dyDescent="0.75">
      <c r="A1578" s="51">
        <v>44937</v>
      </c>
      <c r="B1578" s="52">
        <v>1818</v>
      </c>
      <c r="C1578" s="8" t="s">
        <v>2365</v>
      </c>
      <c r="D1578" s="8" t="s">
        <v>59</v>
      </c>
      <c r="E1578" s="52">
        <v>408</v>
      </c>
      <c r="F1578" s="13">
        <v>603.15</v>
      </c>
      <c r="G1578" s="13"/>
    </row>
    <row r="1579" spans="1:7" hidden="1" x14ac:dyDescent="0.75">
      <c r="A1579" s="51">
        <v>44937</v>
      </c>
      <c r="B1579" s="52">
        <v>1818</v>
      </c>
      <c r="C1579" s="8" t="s">
        <v>2366</v>
      </c>
      <c r="D1579" s="8" t="s">
        <v>59</v>
      </c>
      <c r="E1579" s="52">
        <v>408</v>
      </c>
      <c r="F1579" s="13">
        <v>173.9</v>
      </c>
      <c r="G1579" s="13"/>
    </row>
    <row r="1580" spans="1:7" hidden="1" x14ac:dyDescent="0.75">
      <c r="A1580" s="51">
        <v>44937</v>
      </c>
      <c r="B1580" s="52">
        <v>1818</v>
      </c>
      <c r="C1580" s="8" t="s">
        <v>2367</v>
      </c>
      <c r="D1580" s="8" t="s">
        <v>59</v>
      </c>
      <c r="E1580" s="52">
        <v>408</v>
      </c>
      <c r="F1580" s="13">
        <v>2550.6999999999998</v>
      </c>
      <c r="G1580" s="13"/>
    </row>
    <row r="1581" spans="1:7" hidden="1" x14ac:dyDescent="0.75">
      <c r="A1581" s="51">
        <v>44938</v>
      </c>
      <c r="B1581" s="52">
        <v>1818</v>
      </c>
      <c r="C1581" s="8" t="s">
        <v>2368</v>
      </c>
      <c r="D1581" s="8" t="s">
        <v>59</v>
      </c>
      <c r="E1581" s="52">
        <v>408</v>
      </c>
      <c r="F1581" s="13">
        <v>1471.3</v>
      </c>
      <c r="G1581" s="13"/>
    </row>
    <row r="1582" spans="1:7" hidden="1" x14ac:dyDescent="0.75">
      <c r="A1582" s="51">
        <v>44939</v>
      </c>
      <c r="B1582" s="52">
        <v>1818</v>
      </c>
      <c r="C1582" s="8" t="s">
        <v>2369</v>
      </c>
      <c r="D1582" s="8" t="s">
        <v>59</v>
      </c>
      <c r="E1582" s="52">
        <v>408</v>
      </c>
      <c r="F1582" s="13">
        <v>2827.3</v>
      </c>
      <c r="G1582" s="13"/>
    </row>
    <row r="1583" spans="1:7" hidden="1" x14ac:dyDescent="0.75">
      <c r="A1583" s="51">
        <v>44940</v>
      </c>
      <c r="B1583" s="52">
        <v>1818</v>
      </c>
      <c r="C1583" s="8" t="s">
        <v>2370</v>
      </c>
      <c r="D1583" s="8" t="s">
        <v>59</v>
      </c>
      <c r="E1583" s="52">
        <v>408</v>
      </c>
      <c r="F1583" s="13">
        <v>1511.5</v>
      </c>
      <c r="G1583" s="13"/>
    </row>
    <row r="1584" spans="1:7" hidden="1" x14ac:dyDescent="0.75">
      <c r="A1584" s="51">
        <v>44942</v>
      </c>
      <c r="B1584" s="52">
        <v>1818</v>
      </c>
      <c r="C1584" s="8" t="s">
        <v>2371</v>
      </c>
      <c r="D1584" s="8" t="s">
        <v>59</v>
      </c>
      <c r="E1584" s="52">
        <v>408</v>
      </c>
      <c r="F1584" s="13">
        <v>2762.7</v>
      </c>
      <c r="G1584" s="13"/>
    </row>
    <row r="1585" spans="1:7" hidden="1" x14ac:dyDescent="0.75">
      <c r="A1585" s="51">
        <v>44943</v>
      </c>
      <c r="B1585" s="52">
        <v>1818</v>
      </c>
      <c r="C1585" s="8" t="s">
        <v>2372</v>
      </c>
      <c r="D1585" s="8" t="s">
        <v>59</v>
      </c>
      <c r="E1585" s="52">
        <v>408</v>
      </c>
      <c r="F1585" s="13">
        <v>2414.9</v>
      </c>
      <c r="G1585" s="13"/>
    </row>
    <row r="1586" spans="1:7" hidden="1" x14ac:dyDescent="0.75">
      <c r="A1586" s="51">
        <v>44944</v>
      </c>
      <c r="B1586" s="52">
        <v>1818</v>
      </c>
      <c r="C1586" s="8" t="s">
        <v>2373</v>
      </c>
      <c r="D1586" s="8" t="s">
        <v>59</v>
      </c>
      <c r="E1586" s="52">
        <v>408</v>
      </c>
      <c r="F1586" s="13">
        <v>1562.05</v>
      </c>
      <c r="G1586" s="13"/>
    </row>
    <row r="1587" spans="1:7" hidden="1" x14ac:dyDescent="0.75">
      <c r="A1587" s="51">
        <v>44945</v>
      </c>
      <c r="B1587" s="52">
        <v>1818</v>
      </c>
      <c r="C1587" s="8" t="s">
        <v>2374</v>
      </c>
      <c r="D1587" s="8" t="s">
        <v>59</v>
      </c>
      <c r="E1587" s="52">
        <v>408</v>
      </c>
      <c r="F1587" s="13">
        <v>1272.75</v>
      </c>
      <c r="G1587" s="13"/>
    </row>
    <row r="1588" spans="1:7" hidden="1" x14ac:dyDescent="0.75">
      <c r="A1588" s="51">
        <v>44946</v>
      </c>
      <c r="B1588" s="52">
        <v>1818</v>
      </c>
      <c r="C1588" s="8" t="s">
        <v>2375</v>
      </c>
      <c r="D1588" s="8" t="s">
        <v>59</v>
      </c>
      <c r="E1588" s="52">
        <v>408</v>
      </c>
      <c r="F1588" s="13">
        <v>1967.1</v>
      </c>
      <c r="G1588" s="13"/>
    </row>
    <row r="1589" spans="1:7" hidden="1" x14ac:dyDescent="0.75">
      <c r="A1589" s="51">
        <v>44946</v>
      </c>
      <c r="B1589" s="52">
        <v>1818</v>
      </c>
      <c r="C1589" s="8" t="s">
        <v>2376</v>
      </c>
      <c r="D1589" s="8" t="s">
        <v>59</v>
      </c>
      <c r="E1589" s="52">
        <v>1362</v>
      </c>
      <c r="F1589" s="13"/>
      <c r="G1589" s="13">
        <v>3428.8</v>
      </c>
    </row>
    <row r="1590" spans="1:7" hidden="1" x14ac:dyDescent="0.75">
      <c r="A1590" s="51">
        <v>44946</v>
      </c>
      <c r="B1590" s="52">
        <v>1818</v>
      </c>
      <c r="C1590" s="8" t="s">
        <v>2377</v>
      </c>
      <c r="D1590" s="8" t="s">
        <v>59</v>
      </c>
      <c r="E1590" s="52">
        <v>1362</v>
      </c>
      <c r="F1590" s="13"/>
      <c r="G1590" s="13">
        <v>1116.2</v>
      </c>
    </row>
    <row r="1591" spans="1:7" hidden="1" x14ac:dyDescent="0.75">
      <c r="A1591" s="51">
        <v>44946</v>
      </c>
      <c r="B1591" s="52">
        <v>1818</v>
      </c>
      <c r="C1591" s="8" t="s">
        <v>2378</v>
      </c>
      <c r="D1591" s="8" t="s">
        <v>59</v>
      </c>
      <c r="E1591" s="52">
        <v>1362</v>
      </c>
      <c r="F1591" s="13"/>
      <c r="G1591" s="13">
        <v>2469.75</v>
      </c>
    </row>
    <row r="1592" spans="1:7" hidden="1" x14ac:dyDescent="0.75">
      <c r="A1592" s="51">
        <v>44946</v>
      </c>
      <c r="B1592" s="52">
        <v>1818</v>
      </c>
      <c r="C1592" s="8" t="s">
        <v>2378</v>
      </c>
      <c r="D1592" s="8" t="s">
        <v>59</v>
      </c>
      <c r="E1592" s="52">
        <v>1362</v>
      </c>
      <c r="F1592" s="13"/>
      <c r="G1592" s="13">
        <v>2128.25</v>
      </c>
    </row>
    <row r="1593" spans="1:7" hidden="1" x14ac:dyDescent="0.75">
      <c r="A1593" s="51">
        <v>44946</v>
      </c>
      <c r="B1593" s="52">
        <v>1818</v>
      </c>
      <c r="C1593" s="8" t="s">
        <v>2378</v>
      </c>
      <c r="D1593" s="8" t="s">
        <v>59</v>
      </c>
      <c r="E1593" s="52">
        <v>1362</v>
      </c>
      <c r="F1593" s="13"/>
      <c r="G1593" s="13">
        <v>3123.9</v>
      </c>
    </row>
    <row r="1594" spans="1:7" hidden="1" x14ac:dyDescent="0.75">
      <c r="A1594" s="51">
        <v>44946</v>
      </c>
      <c r="B1594" s="52">
        <v>1818</v>
      </c>
      <c r="C1594" s="8" t="s">
        <v>2378</v>
      </c>
      <c r="D1594" s="8" t="s">
        <v>59</v>
      </c>
      <c r="E1594" s="52">
        <v>1362</v>
      </c>
      <c r="F1594" s="13"/>
      <c r="G1594" s="13">
        <v>2455.1</v>
      </c>
    </row>
    <row r="1595" spans="1:7" hidden="1" x14ac:dyDescent="0.75">
      <c r="A1595" s="51">
        <v>44946</v>
      </c>
      <c r="B1595" s="52">
        <v>1818</v>
      </c>
      <c r="C1595" s="8" t="s">
        <v>2378</v>
      </c>
      <c r="D1595" s="8" t="s">
        <v>59</v>
      </c>
      <c r="E1595" s="52">
        <v>1362</v>
      </c>
      <c r="F1595" s="13"/>
      <c r="G1595" s="13">
        <v>2764.6</v>
      </c>
    </row>
    <row r="1596" spans="1:7" hidden="1" x14ac:dyDescent="0.75">
      <c r="A1596" s="51">
        <v>44946</v>
      </c>
      <c r="B1596" s="52">
        <v>1818</v>
      </c>
      <c r="C1596" s="8" t="s">
        <v>2378</v>
      </c>
      <c r="D1596" s="8" t="s">
        <v>59</v>
      </c>
      <c r="E1596" s="52">
        <v>1362</v>
      </c>
      <c r="F1596" s="13"/>
      <c r="G1596" s="13">
        <v>786.2</v>
      </c>
    </row>
    <row r="1597" spans="1:7" hidden="1" x14ac:dyDescent="0.75">
      <c r="A1597" s="51">
        <v>44946</v>
      </c>
      <c r="B1597" s="52">
        <v>1818</v>
      </c>
      <c r="C1597" s="8" t="s">
        <v>2378</v>
      </c>
      <c r="D1597" s="8" t="s">
        <v>59</v>
      </c>
      <c r="E1597" s="52">
        <v>1362</v>
      </c>
      <c r="F1597" s="13"/>
      <c r="G1597" s="13">
        <v>1396.7</v>
      </c>
    </row>
    <row r="1598" spans="1:7" hidden="1" x14ac:dyDescent="0.75">
      <c r="A1598" s="51">
        <v>44946</v>
      </c>
      <c r="B1598" s="52">
        <v>1818</v>
      </c>
      <c r="C1598" s="8" t="s">
        <v>2378</v>
      </c>
      <c r="D1598" s="8" t="s">
        <v>59</v>
      </c>
      <c r="E1598" s="52">
        <v>1362</v>
      </c>
      <c r="F1598" s="13"/>
      <c r="G1598" s="13">
        <v>2065.1</v>
      </c>
    </row>
    <row r="1599" spans="1:7" hidden="1" x14ac:dyDescent="0.75">
      <c r="A1599" s="51">
        <v>44946</v>
      </c>
      <c r="B1599" s="52">
        <v>1818</v>
      </c>
      <c r="C1599" s="8" t="s">
        <v>2378</v>
      </c>
      <c r="D1599" s="8" t="s">
        <v>59</v>
      </c>
      <c r="E1599" s="52">
        <v>1362</v>
      </c>
      <c r="F1599" s="13"/>
      <c r="G1599" s="13">
        <v>2351.6</v>
      </c>
    </row>
    <row r="1600" spans="1:7" hidden="1" x14ac:dyDescent="0.75">
      <c r="A1600" s="51">
        <v>44946</v>
      </c>
      <c r="B1600" s="52">
        <v>1818</v>
      </c>
      <c r="C1600" s="8" t="s">
        <v>2378</v>
      </c>
      <c r="D1600" s="8" t="s">
        <v>59</v>
      </c>
      <c r="E1600" s="52">
        <v>1362</v>
      </c>
      <c r="F1600" s="13"/>
      <c r="G1600" s="13">
        <v>2014.1</v>
      </c>
    </row>
    <row r="1601" spans="1:7" hidden="1" x14ac:dyDescent="0.75">
      <c r="A1601" s="51">
        <v>44946</v>
      </c>
      <c r="B1601" s="52">
        <v>1818</v>
      </c>
      <c r="C1601" s="8" t="s">
        <v>2378</v>
      </c>
      <c r="D1601" s="8" t="s">
        <v>59</v>
      </c>
      <c r="E1601" s="52">
        <v>1362</v>
      </c>
      <c r="F1601" s="13"/>
      <c r="G1601" s="13">
        <v>2339</v>
      </c>
    </row>
    <row r="1602" spans="1:7" hidden="1" x14ac:dyDescent="0.75">
      <c r="A1602" s="51">
        <v>44947</v>
      </c>
      <c r="B1602" s="52">
        <v>1818</v>
      </c>
      <c r="C1602" s="8" t="s">
        <v>2379</v>
      </c>
      <c r="D1602" s="8" t="s">
        <v>59</v>
      </c>
      <c r="E1602" s="52">
        <v>408</v>
      </c>
      <c r="F1602" s="13">
        <v>1665.5</v>
      </c>
      <c r="G1602" s="13"/>
    </row>
    <row r="1603" spans="1:7" hidden="1" x14ac:dyDescent="0.75">
      <c r="A1603" s="51">
        <v>44949</v>
      </c>
      <c r="B1603" s="52">
        <v>1818</v>
      </c>
      <c r="C1603" s="8" t="s">
        <v>2380</v>
      </c>
      <c r="D1603" s="8" t="s">
        <v>59</v>
      </c>
      <c r="E1603" s="52">
        <v>408</v>
      </c>
      <c r="F1603" s="13">
        <v>1535</v>
      </c>
      <c r="G1603" s="13"/>
    </row>
    <row r="1604" spans="1:7" hidden="1" x14ac:dyDescent="0.75">
      <c r="A1604" s="51">
        <v>44950</v>
      </c>
      <c r="B1604" s="52">
        <v>1818</v>
      </c>
      <c r="C1604" s="8" t="s">
        <v>2381</v>
      </c>
      <c r="D1604" s="8" t="s">
        <v>59</v>
      </c>
      <c r="E1604" s="52">
        <v>408</v>
      </c>
      <c r="F1604" s="13">
        <v>2914.9</v>
      </c>
      <c r="G1604" s="13"/>
    </row>
    <row r="1605" spans="1:7" hidden="1" x14ac:dyDescent="0.75">
      <c r="A1605" s="51">
        <v>44951</v>
      </c>
      <c r="B1605" s="52">
        <v>1818</v>
      </c>
      <c r="C1605" s="8" t="s">
        <v>2382</v>
      </c>
      <c r="D1605" s="8" t="s">
        <v>59</v>
      </c>
      <c r="E1605" s="52">
        <v>408</v>
      </c>
      <c r="F1605" s="13">
        <v>3703.5</v>
      </c>
      <c r="G1605" s="13"/>
    </row>
    <row r="1606" spans="1:7" hidden="1" x14ac:dyDescent="0.75">
      <c r="A1606" s="51">
        <v>44952</v>
      </c>
      <c r="B1606" s="52">
        <v>1818</v>
      </c>
      <c r="C1606" s="8" t="s">
        <v>2383</v>
      </c>
      <c r="D1606" s="8" t="s">
        <v>59</v>
      </c>
      <c r="E1606" s="52">
        <v>408</v>
      </c>
      <c r="F1606" s="13">
        <v>1639.4</v>
      </c>
      <c r="G1606" s="13"/>
    </row>
    <row r="1607" spans="1:7" hidden="1" x14ac:dyDescent="0.75">
      <c r="A1607" s="51">
        <v>44953</v>
      </c>
      <c r="B1607" s="52">
        <v>1818</v>
      </c>
      <c r="C1607" s="8" t="s">
        <v>2384</v>
      </c>
      <c r="D1607" s="8" t="s">
        <v>59</v>
      </c>
      <c r="E1607" s="52">
        <v>408</v>
      </c>
      <c r="F1607" s="13">
        <v>3226.9</v>
      </c>
      <c r="G1607" s="13"/>
    </row>
    <row r="1608" spans="1:7" hidden="1" x14ac:dyDescent="0.75">
      <c r="A1608" s="51">
        <v>44954</v>
      </c>
      <c r="B1608" s="52">
        <v>1818</v>
      </c>
      <c r="C1608" s="8" t="s">
        <v>2385</v>
      </c>
      <c r="D1608" s="8" t="s">
        <v>59</v>
      </c>
      <c r="E1608" s="52">
        <v>408</v>
      </c>
      <c r="F1608" s="13">
        <v>1856</v>
      </c>
      <c r="G1608" s="13"/>
    </row>
    <row r="1609" spans="1:7" hidden="1" x14ac:dyDescent="0.75">
      <c r="A1609" s="51">
        <v>44956</v>
      </c>
      <c r="B1609" s="52">
        <v>1818</v>
      </c>
      <c r="C1609" s="8" t="s">
        <v>2386</v>
      </c>
      <c r="D1609" s="8" t="s">
        <v>59</v>
      </c>
      <c r="E1609" s="52">
        <v>408</v>
      </c>
      <c r="F1609" s="13">
        <v>2480.3000000000002</v>
      </c>
      <c r="G1609" s="13"/>
    </row>
    <row r="1610" spans="1:7" hidden="1" x14ac:dyDescent="0.75">
      <c r="A1610" s="51">
        <v>44957</v>
      </c>
      <c r="B1610" s="52">
        <v>1818</v>
      </c>
      <c r="C1610" s="8" t="s">
        <v>2387</v>
      </c>
      <c r="D1610" s="8" t="s">
        <v>59</v>
      </c>
      <c r="E1610" s="52">
        <v>408</v>
      </c>
      <c r="F1610" s="13">
        <v>2566.4</v>
      </c>
      <c r="G1610" s="13"/>
    </row>
    <row r="1611" spans="1:7" hidden="1" x14ac:dyDescent="0.75">
      <c r="A1611" s="51">
        <v>44928</v>
      </c>
      <c r="B1611" s="52">
        <v>719</v>
      </c>
      <c r="C1611" s="8" t="s">
        <v>2388</v>
      </c>
      <c r="D1611" s="8" t="s">
        <v>61</v>
      </c>
      <c r="E1611" s="52">
        <v>408</v>
      </c>
      <c r="F1611" s="13">
        <v>296.37</v>
      </c>
      <c r="G1611" s="13"/>
    </row>
    <row r="1612" spans="1:7" hidden="1" x14ac:dyDescent="0.75">
      <c r="A1612" s="51">
        <v>44928</v>
      </c>
      <c r="B1612" s="52">
        <v>719</v>
      </c>
      <c r="C1612" s="8" t="s">
        <v>2389</v>
      </c>
      <c r="D1612" s="8" t="s">
        <v>61</v>
      </c>
      <c r="E1612" s="52">
        <v>408</v>
      </c>
      <c r="F1612" s="13">
        <v>612.15</v>
      </c>
      <c r="G1612" s="13"/>
    </row>
    <row r="1613" spans="1:7" hidden="1" x14ac:dyDescent="0.75">
      <c r="A1613" s="51">
        <v>44928</v>
      </c>
      <c r="B1613" s="52">
        <v>719</v>
      </c>
      <c r="C1613" s="8" t="s">
        <v>2390</v>
      </c>
      <c r="D1613" s="8" t="s">
        <v>61</v>
      </c>
      <c r="E1613" s="52">
        <v>1362</v>
      </c>
      <c r="F1613" s="13"/>
      <c r="G1613" s="13">
        <v>322</v>
      </c>
    </row>
    <row r="1614" spans="1:7" hidden="1" x14ac:dyDescent="0.75">
      <c r="A1614" s="51">
        <v>44928</v>
      </c>
      <c r="B1614" s="52">
        <v>719</v>
      </c>
      <c r="C1614" s="8" t="s">
        <v>2391</v>
      </c>
      <c r="D1614" s="8" t="s">
        <v>61</v>
      </c>
      <c r="E1614" s="52">
        <v>1362</v>
      </c>
      <c r="F1614" s="13"/>
      <c r="G1614" s="13">
        <v>530.54999999999995</v>
      </c>
    </row>
    <row r="1615" spans="1:7" hidden="1" x14ac:dyDescent="0.75">
      <c r="A1615" s="51">
        <v>44928</v>
      </c>
      <c r="B1615" s="52">
        <v>719</v>
      </c>
      <c r="C1615" s="8" t="s">
        <v>2392</v>
      </c>
      <c r="D1615" s="8" t="s">
        <v>61</v>
      </c>
      <c r="E1615" s="52">
        <v>1362</v>
      </c>
      <c r="F1615" s="13"/>
      <c r="G1615" s="13">
        <v>127.5</v>
      </c>
    </row>
    <row r="1616" spans="1:7" hidden="1" x14ac:dyDescent="0.75">
      <c r="A1616" s="51">
        <v>44928</v>
      </c>
      <c r="B1616" s="52">
        <v>719</v>
      </c>
      <c r="C1616" s="8" t="s">
        <v>2393</v>
      </c>
      <c r="D1616" s="8" t="s">
        <v>61</v>
      </c>
      <c r="E1616" s="52">
        <v>1362</v>
      </c>
      <c r="F1616" s="13"/>
      <c r="G1616" s="13">
        <v>541.49</v>
      </c>
    </row>
    <row r="1617" spans="1:7" hidden="1" x14ac:dyDescent="0.75">
      <c r="A1617" s="51">
        <v>44928</v>
      </c>
      <c r="B1617" s="52">
        <v>719</v>
      </c>
      <c r="C1617" s="8" t="s">
        <v>2394</v>
      </c>
      <c r="D1617" s="8" t="s">
        <v>61</v>
      </c>
      <c r="E1617" s="52">
        <v>1362</v>
      </c>
      <c r="F1617" s="13"/>
      <c r="G1617" s="13">
        <v>448.18</v>
      </c>
    </row>
    <row r="1618" spans="1:7" hidden="1" x14ac:dyDescent="0.75">
      <c r="A1618" s="51">
        <v>44928</v>
      </c>
      <c r="B1618" s="52">
        <v>719</v>
      </c>
      <c r="C1618" s="8" t="s">
        <v>2395</v>
      </c>
      <c r="D1618" s="8" t="s">
        <v>61</v>
      </c>
      <c r="E1618" s="52">
        <v>1362</v>
      </c>
      <c r="F1618" s="13"/>
      <c r="G1618" s="13">
        <v>633.5</v>
      </c>
    </row>
    <row r="1619" spans="1:7" hidden="1" x14ac:dyDescent="0.75">
      <c r="A1619" s="51">
        <v>44930</v>
      </c>
      <c r="B1619" s="52">
        <v>719</v>
      </c>
      <c r="C1619" s="8" t="s">
        <v>2396</v>
      </c>
      <c r="D1619" s="8" t="s">
        <v>61</v>
      </c>
      <c r="E1619" s="52">
        <v>408</v>
      </c>
      <c r="F1619" s="13">
        <v>318.38</v>
      </c>
      <c r="G1619" s="13"/>
    </row>
    <row r="1620" spans="1:7" hidden="1" x14ac:dyDescent="0.75">
      <c r="A1620" s="51">
        <v>44932</v>
      </c>
      <c r="B1620" s="52">
        <v>719</v>
      </c>
      <c r="C1620" s="8" t="s">
        <v>2397</v>
      </c>
      <c r="D1620" s="8" t="s">
        <v>61</v>
      </c>
      <c r="E1620" s="52">
        <v>408</v>
      </c>
      <c r="F1620" s="13">
        <v>435.3</v>
      </c>
      <c r="G1620" s="13"/>
    </row>
    <row r="1621" spans="1:7" hidden="1" x14ac:dyDescent="0.75">
      <c r="A1621" s="51">
        <v>44935</v>
      </c>
      <c r="B1621" s="52">
        <v>719</v>
      </c>
      <c r="C1621" s="8" t="s">
        <v>2398</v>
      </c>
      <c r="D1621" s="8" t="s">
        <v>61</v>
      </c>
      <c r="E1621" s="52">
        <v>408</v>
      </c>
      <c r="F1621" s="13">
        <v>376.38</v>
      </c>
      <c r="G1621" s="13"/>
    </row>
    <row r="1622" spans="1:7" hidden="1" x14ac:dyDescent="0.75">
      <c r="A1622" s="51">
        <v>44936</v>
      </c>
      <c r="B1622" s="52">
        <v>719</v>
      </c>
      <c r="C1622" s="8" t="s">
        <v>2399</v>
      </c>
      <c r="D1622" s="8" t="s">
        <v>61</v>
      </c>
      <c r="E1622" s="52">
        <v>1362</v>
      </c>
      <c r="F1622" s="13"/>
      <c r="G1622" s="13">
        <v>438.98</v>
      </c>
    </row>
    <row r="1623" spans="1:7" hidden="1" x14ac:dyDescent="0.75">
      <c r="A1623" s="51">
        <v>44936</v>
      </c>
      <c r="B1623" s="52">
        <v>719</v>
      </c>
      <c r="C1623" s="8" t="s">
        <v>2400</v>
      </c>
      <c r="D1623" s="8" t="s">
        <v>61</v>
      </c>
      <c r="E1623" s="52">
        <v>1362</v>
      </c>
      <c r="F1623" s="13"/>
      <c r="G1623" s="13">
        <v>284.89999999999998</v>
      </c>
    </row>
    <row r="1624" spans="1:7" hidden="1" x14ac:dyDescent="0.75">
      <c r="A1624" s="51">
        <v>44937</v>
      </c>
      <c r="B1624" s="52">
        <v>719</v>
      </c>
      <c r="C1624" s="8" t="s">
        <v>2401</v>
      </c>
      <c r="D1624" s="8" t="s">
        <v>61</v>
      </c>
      <c r="E1624" s="52">
        <v>408</v>
      </c>
      <c r="F1624" s="13">
        <v>126.6</v>
      </c>
      <c r="G1624" s="13"/>
    </row>
    <row r="1625" spans="1:7" hidden="1" x14ac:dyDescent="0.75">
      <c r="A1625" s="51">
        <v>44939</v>
      </c>
      <c r="B1625" s="52">
        <v>719</v>
      </c>
      <c r="C1625" s="8" t="s">
        <v>2402</v>
      </c>
      <c r="D1625" s="8" t="s">
        <v>61</v>
      </c>
      <c r="E1625" s="52">
        <v>408</v>
      </c>
      <c r="F1625" s="13">
        <v>196.88</v>
      </c>
      <c r="G1625" s="13"/>
    </row>
    <row r="1626" spans="1:7" hidden="1" x14ac:dyDescent="0.75">
      <c r="A1626" s="51">
        <v>44942</v>
      </c>
      <c r="B1626" s="52">
        <v>719</v>
      </c>
      <c r="C1626" s="8" t="s">
        <v>2403</v>
      </c>
      <c r="D1626" s="8" t="s">
        <v>61</v>
      </c>
      <c r="E1626" s="52">
        <v>408</v>
      </c>
      <c r="F1626" s="13">
        <v>380.95</v>
      </c>
      <c r="G1626" s="13"/>
    </row>
    <row r="1627" spans="1:7" hidden="1" x14ac:dyDescent="0.75">
      <c r="A1627" s="51">
        <v>44944</v>
      </c>
      <c r="B1627" s="52">
        <v>719</v>
      </c>
      <c r="C1627" s="8" t="s">
        <v>2404</v>
      </c>
      <c r="D1627" s="8" t="s">
        <v>61</v>
      </c>
      <c r="E1627" s="52">
        <v>408</v>
      </c>
      <c r="F1627" s="13">
        <v>381.25</v>
      </c>
      <c r="G1627" s="13"/>
    </row>
    <row r="1628" spans="1:7" hidden="1" x14ac:dyDescent="0.75">
      <c r="A1628" s="51">
        <v>44946</v>
      </c>
      <c r="B1628" s="52">
        <v>719</v>
      </c>
      <c r="C1628" s="8" t="s">
        <v>2405</v>
      </c>
      <c r="D1628" s="8" t="s">
        <v>61</v>
      </c>
      <c r="E1628" s="52">
        <v>408</v>
      </c>
      <c r="F1628" s="13">
        <v>423.3</v>
      </c>
      <c r="G1628" s="13"/>
    </row>
    <row r="1629" spans="1:7" hidden="1" x14ac:dyDescent="0.75">
      <c r="A1629" s="51">
        <v>44946</v>
      </c>
      <c r="B1629" s="52">
        <v>719</v>
      </c>
      <c r="C1629" s="8" t="s">
        <v>2406</v>
      </c>
      <c r="D1629" s="8" t="s">
        <v>61</v>
      </c>
      <c r="E1629" s="52">
        <v>1362</v>
      </c>
      <c r="F1629" s="13"/>
      <c r="G1629" s="13">
        <v>262.98</v>
      </c>
    </row>
    <row r="1630" spans="1:7" hidden="1" x14ac:dyDescent="0.75">
      <c r="A1630" s="51">
        <v>44946</v>
      </c>
      <c r="B1630" s="52">
        <v>719</v>
      </c>
      <c r="C1630" s="8" t="s">
        <v>2407</v>
      </c>
      <c r="D1630" s="8" t="s">
        <v>61</v>
      </c>
      <c r="E1630" s="52">
        <v>1362</v>
      </c>
      <c r="F1630" s="13"/>
      <c r="G1630" s="13">
        <v>1123.8499999999999</v>
      </c>
    </row>
    <row r="1631" spans="1:7" hidden="1" x14ac:dyDescent="0.75">
      <c r="A1631" s="51">
        <v>44946</v>
      </c>
      <c r="B1631" s="52">
        <v>719</v>
      </c>
      <c r="C1631" s="8" t="s">
        <v>2406</v>
      </c>
      <c r="D1631" s="8" t="s">
        <v>61</v>
      </c>
      <c r="E1631" s="52">
        <v>1362</v>
      </c>
      <c r="F1631" s="13"/>
      <c r="G1631" s="13">
        <v>274.39999999999998</v>
      </c>
    </row>
    <row r="1632" spans="1:7" hidden="1" x14ac:dyDescent="0.75">
      <c r="A1632" s="51">
        <v>44946</v>
      </c>
      <c r="B1632" s="52">
        <v>719</v>
      </c>
      <c r="C1632" s="8" t="s">
        <v>2406</v>
      </c>
      <c r="D1632" s="8" t="s">
        <v>61</v>
      </c>
      <c r="E1632" s="52">
        <v>1362</v>
      </c>
      <c r="F1632" s="13"/>
      <c r="G1632" s="13">
        <v>119.1</v>
      </c>
    </row>
    <row r="1633" spans="1:7" hidden="1" x14ac:dyDescent="0.75">
      <c r="A1633" s="51">
        <v>44946</v>
      </c>
      <c r="B1633" s="52">
        <v>719</v>
      </c>
      <c r="C1633" s="8" t="s">
        <v>2406</v>
      </c>
      <c r="D1633" s="8" t="s">
        <v>61</v>
      </c>
      <c r="E1633" s="52">
        <v>1362</v>
      </c>
      <c r="F1633" s="13"/>
      <c r="G1633" s="13">
        <v>444.98</v>
      </c>
    </row>
    <row r="1634" spans="1:7" hidden="1" x14ac:dyDescent="0.75">
      <c r="A1634" s="51">
        <v>44946</v>
      </c>
      <c r="B1634" s="52">
        <v>719</v>
      </c>
      <c r="C1634" s="8" t="s">
        <v>2407</v>
      </c>
      <c r="D1634" s="8" t="s">
        <v>61</v>
      </c>
      <c r="E1634" s="52">
        <v>1362</v>
      </c>
      <c r="F1634" s="13"/>
      <c r="G1634" s="13">
        <v>1272.25</v>
      </c>
    </row>
    <row r="1635" spans="1:7" hidden="1" x14ac:dyDescent="0.75">
      <c r="A1635" s="51">
        <v>44946</v>
      </c>
      <c r="B1635" s="52">
        <v>719</v>
      </c>
      <c r="C1635" s="8" t="s">
        <v>2406</v>
      </c>
      <c r="D1635" s="8" t="s">
        <v>61</v>
      </c>
      <c r="E1635" s="52">
        <v>1362</v>
      </c>
      <c r="F1635" s="13"/>
      <c r="G1635" s="13">
        <v>190.98</v>
      </c>
    </row>
    <row r="1636" spans="1:7" hidden="1" x14ac:dyDescent="0.75">
      <c r="A1636" s="51">
        <v>44949</v>
      </c>
      <c r="B1636" s="52">
        <v>719</v>
      </c>
      <c r="C1636" s="8" t="s">
        <v>2408</v>
      </c>
      <c r="D1636" s="8" t="s">
        <v>61</v>
      </c>
      <c r="E1636" s="52">
        <v>408</v>
      </c>
      <c r="F1636" s="13">
        <v>348.8</v>
      </c>
      <c r="G1636" s="13"/>
    </row>
    <row r="1637" spans="1:7" hidden="1" x14ac:dyDescent="0.75">
      <c r="A1637" s="51">
        <v>44951</v>
      </c>
      <c r="B1637" s="52">
        <v>719</v>
      </c>
      <c r="C1637" s="8" t="s">
        <v>2409</v>
      </c>
      <c r="D1637" s="8" t="s">
        <v>61</v>
      </c>
      <c r="E1637" s="52">
        <v>408</v>
      </c>
      <c r="F1637" s="13">
        <v>800.97</v>
      </c>
      <c r="G1637" s="13"/>
    </row>
    <row r="1638" spans="1:7" hidden="1" x14ac:dyDescent="0.75">
      <c r="A1638" s="51">
        <v>44956</v>
      </c>
      <c r="B1638" s="52">
        <v>719</v>
      </c>
      <c r="C1638" s="8" t="s">
        <v>2410</v>
      </c>
      <c r="D1638" s="8" t="s">
        <v>61</v>
      </c>
      <c r="E1638" s="52">
        <v>408</v>
      </c>
      <c r="F1638" s="13">
        <v>594.16999999999996</v>
      </c>
      <c r="G1638" s="13"/>
    </row>
    <row r="1639" spans="1:7" hidden="1" x14ac:dyDescent="0.75">
      <c r="A1639" s="51">
        <v>44957</v>
      </c>
      <c r="B1639" s="52">
        <v>719</v>
      </c>
      <c r="C1639" s="8" t="s">
        <v>2411</v>
      </c>
      <c r="D1639" s="8" t="s">
        <v>61</v>
      </c>
      <c r="E1639" s="52">
        <v>408</v>
      </c>
      <c r="F1639" s="13">
        <v>643.37</v>
      </c>
      <c r="G1639" s="13"/>
    </row>
    <row r="1640" spans="1:7" hidden="1" x14ac:dyDescent="0.75">
      <c r="A1640" s="51">
        <v>44928</v>
      </c>
      <c r="B1640" s="52">
        <v>1821</v>
      </c>
      <c r="C1640" s="8" t="s">
        <v>2412</v>
      </c>
      <c r="D1640" s="8" t="s">
        <v>62</v>
      </c>
      <c r="E1640" s="52">
        <v>1362</v>
      </c>
      <c r="F1640" s="13"/>
      <c r="G1640" s="13">
        <v>103.6</v>
      </c>
    </row>
    <row r="1641" spans="1:7" hidden="1" x14ac:dyDescent="0.75">
      <c r="A1641" s="51">
        <v>44928</v>
      </c>
      <c r="B1641" s="52">
        <v>1821</v>
      </c>
      <c r="C1641" s="8" t="s">
        <v>2413</v>
      </c>
      <c r="D1641" s="8" t="s">
        <v>62</v>
      </c>
      <c r="E1641" s="52">
        <v>1362</v>
      </c>
      <c r="F1641" s="13"/>
      <c r="G1641" s="13">
        <v>118.7</v>
      </c>
    </row>
    <row r="1642" spans="1:7" hidden="1" x14ac:dyDescent="0.75">
      <c r="A1642" s="51">
        <v>44928</v>
      </c>
      <c r="B1642" s="52">
        <v>1821</v>
      </c>
      <c r="C1642" s="8" t="s">
        <v>2414</v>
      </c>
      <c r="D1642" s="8" t="s">
        <v>62</v>
      </c>
      <c r="E1642" s="52">
        <v>1362</v>
      </c>
      <c r="F1642" s="13"/>
      <c r="G1642" s="13">
        <v>143.9</v>
      </c>
    </row>
    <row r="1643" spans="1:7" hidden="1" x14ac:dyDescent="0.75">
      <c r="A1643" s="51">
        <v>44928</v>
      </c>
      <c r="B1643" s="52">
        <v>1821</v>
      </c>
      <c r="C1643" s="8" t="s">
        <v>2415</v>
      </c>
      <c r="D1643" s="8" t="s">
        <v>62</v>
      </c>
      <c r="E1643" s="52">
        <v>1362</v>
      </c>
      <c r="F1643" s="13"/>
      <c r="G1643" s="13">
        <v>114.5</v>
      </c>
    </row>
    <row r="1644" spans="1:7" hidden="1" x14ac:dyDescent="0.75">
      <c r="A1644" s="51">
        <v>44928</v>
      </c>
      <c r="B1644" s="52">
        <v>1821</v>
      </c>
      <c r="C1644" s="8" t="s">
        <v>2416</v>
      </c>
      <c r="D1644" s="8" t="s">
        <v>62</v>
      </c>
      <c r="E1644" s="52">
        <v>1362</v>
      </c>
      <c r="F1644" s="13"/>
      <c r="G1644" s="13">
        <v>113.7</v>
      </c>
    </row>
    <row r="1645" spans="1:7" hidden="1" x14ac:dyDescent="0.75">
      <c r="A1645" s="51">
        <v>44928</v>
      </c>
      <c r="B1645" s="52">
        <v>1821</v>
      </c>
      <c r="C1645" s="8" t="s">
        <v>2417</v>
      </c>
      <c r="D1645" s="8" t="s">
        <v>62</v>
      </c>
      <c r="E1645" s="52">
        <v>1362</v>
      </c>
      <c r="F1645" s="13"/>
      <c r="G1645" s="13">
        <v>127.8</v>
      </c>
    </row>
    <row r="1646" spans="1:7" hidden="1" x14ac:dyDescent="0.75">
      <c r="A1646" s="51">
        <v>44928</v>
      </c>
      <c r="B1646" s="52">
        <v>1821</v>
      </c>
      <c r="C1646" s="8" t="s">
        <v>2418</v>
      </c>
      <c r="D1646" s="8" t="s">
        <v>62</v>
      </c>
      <c r="E1646" s="52">
        <v>1362</v>
      </c>
      <c r="F1646" s="13"/>
      <c r="G1646" s="13">
        <v>148.5</v>
      </c>
    </row>
    <row r="1647" spans="1:7" hidden="1" x14ac:dyDescent="0.75">
      <c r="A1647" s="51">
        <v>44931</v>
      </c>
      <c r="B1647" s="52">
        <v>1821</v>
      </c>
      <c r="C1647" s="8" t="s">
        <v>2419</v>
      </c>
      <c r="D1647" s="8" t="s">
        <v>62</v>
      </c>
      <c r="E1647" s="52">
        <v>408</v>
      </c>
      <c r="F1647" s="13">
        <v>219.7</v>
      </c>
      <c r="G1647" s="13"/>
    </row>
    <row r="1648" spans="1:7" hidden="1" x14ac:dyDescent="0.75">
      <c r="A1648" s="51">
        <v>44932</v>
      </c>
      <c r="B1648" s="52">
        <v>1821</v>
      </c>
      <c r="C1648" s="8" t="s">
        <v>2420</v>
      </c>
      <c r="D1648" s="8" t="s">
        <v>62</v>
      </c>
      <c r="E1648" s="52">
        <v>408</v>
      </c>
      <c r="F1648" s="13">
        <v>299.2</v>
      </c>
      <c r="G1648" s="13"/>
    </row>
    <row r="1649" spans="1:7" hidden="1" x14ac:dyDescent="0.75">
      <c r="A1649" s="51">
        <v>44936</v>
      </c>
      <c r="B1649" s="52">
        <v>1821</v>
      </c>
      <c r="C1649" s="8" t="s">
        <v>2421</v>
      </c>
      <c r="D1649" s="8" t="s">
        <v>62</v>
      </c>
      <c r="E1649" s="52">
        <v>408</v>
      </c>
      <c r="F1649" s="13">
        <v>343.7</v>
      </c>
      <c r="G1649" s="13"/>
    </row>
    <row r="1650" spans="1:7" hidden="1" x14ac:dyDescent="0.75">
      <c r="A1650" s="51">
        <v>44936</v>
      </c>
      <c r="B1650" s="52">
        <v>1821</v>
      </c>
      <c r="C1650" s="8" t="s">
        <v>2422</v>
      </c>
      <c r="D1650" s="8" t="s">
        <v>62</v>
      </c>
      <c r="E1650" s="52">
        <v>1362</v>
      </c>
      <c r="F1650" s="13"/>
      <c r="G1650" s="13">
        <v>139.69999999999999</v>
      </c>
    </row>
    <row r="1651" spans="1:7" hidden="1" x14ac:dyDescent="0.75">
      <c r="A1651" s="51">
        <v>44936</v>
      </c>
      <c r="B1651" s="52">
        <v>1821</v>
      </c>
      <c r="C1651" s="8" t="s">
        <v>2423</v>
      </c>
      <c r="D1651" s="8" t="s">
        <v>62</v>
      </c>
      <c r="E1651" s="52">
        <v>1362</v>
      </c>
      <c r="F1651" s="13"/>
      <c r="G1651" s="13">
        <v>129.30000000000001</v>
      </c>
    </row>
    <row r="1652" spans="1:7" hidden="1" x14ac:dyDescent="0.75">
      <c r="A1652" s="51">
        <v>44936</v>
      </c>
      <c r="B1652" s="52">
        <v>1821</v>
      </c>
      <c r="C1652" s="8" t="s">
        <v>2424</v>
      </c>
      <c r="D1652" s="8" t="s">
        <v>62</v>
      </c>
      <c r="E1652" s="52">
        <v>1362</v>
      </c>
      <c r="F1652" s="13"/>
      <c r="G1652" s="13">
        <v>124.7</v>
      </c>
    </row>
    <row r="1653" spans="1:7" hidden="1" x14ac:dyDescent="0.75">
      <c r="A1653" s="51">
        <v>44936</v>
      </c>
      <c r="B1653" s="52">
        <v>1821</v>
      </c>
      <c r="C1653" s="8" t="s">
        <v>2425</v>
      </c>
      <c r="D1653" s="8" t="s">
        <v>62</v>
      </c>
      <c r="E1653" s="52">
        <v>1362</v>
      </c>
      <c r="F1653" s="13"/>
      <c r="G1653" s="13">
        <v>149.6</v>
      </c>
    </row>
    <row r="1654" spans="1:7" hidden="1" x14ac:dyDescent="0.75">
      <c r="A1654" s="51">
        <v>44937</v>
      </c>
      <c r="B1654" s="52">
        <v>1821</v>
      </c>
      <c r="C1654" s="8" t="s">
        <v>2426</v>
      </c>
      <c r="D1654" s="8" t="s">
        <v>62</v>
      </c>
      <c r="E1654" s="52">
        <v>408</v>
      </c>
      <c r="F1654" s="13">
        <v>222</v>
      </c>
      <c r="G1654" s="13"/>
    </row>
    <row r="1655" spans="1:7" hidden="1" x14ac:dyDescent="0.75">
      <c r="A1655" s="51">
        <v>44938</v>
      </c>
      <c r="B1655" s="52">
        <v>1821</v>
      </c>
      <c r="C1655" s="8" t="s">
        <v>2427</v>
      </c>
      <c r="D1655" s="8" t="s">
        <v>62</v>
      </c>
      <c r="E1655" s="52">
        <v>408</v>
      </c>
      <c r="F1655" s="13">
        <v>262</v>
      </c>
      <c r="G1655" s="13"/>
    </row>
    <row r="1656" spans="1:7" hidden="1" x14ac:dyDescent="0.75">
      <c r="A1656" s="51">
        <v>44939</v>
      </c>
      <c r="B1656" s="52">
        <v>1821</v>
      </c>
      <c r="C1656" s="8" t="s">
        <v>2428</v>
      </c>
      <c r="D1656" s="8" t="s">
        <v>62</v>
      </c>
      <c r="E1656" s="52">
        <v>408</v>
      </c>
      <c r="F1656" s="13">
        <v>210.7</v>
      </c>
      <c r="G1656" s="13"/>
    </row>
    <row r="1657" spans="1:7" hidden="1" x14ac:dyDescent="0.75">
      <c r="A1657" s="51">
        <v>44943</v>
      </c>
      <c r="B1657" s="52">
        <v>1821</v>
      </c>
      <c r="C1657" s="8" t="s">
        <v>2429</v>
      </c>
      <c r="D1657" s="8" t="s">
        <v>62</v>
      </c>
      <c r="E1657" s="52">
        <v>408</v>
      </c>
      <c r="F1657" s="13">
        <v>240.2</v>
      </c>
      <c r="G1657" s="13"/>
    </row>
    <row r="1658" spans="1:7" hidden="1" x14ac:dyDescent="0.75">
      <c r="A1658" s="51">
        <v>44946</v>
      </c>
      <c r="B1658" s="52">
        <v>1821</v>
      </c>
      <c r="C1658" s="8" t="s">
        <v>2430</v>
      </c>
      <c r="D1658" s="8" t="s">
        <v>62</v>
      </c>
      <c r="E1658" s="52">
        <v>408</v>
      </c>
      <c r="F1658" s="13">
        <v>460.3</v>
      </c>
      <c r="G1658" s="13"/>
    </row>
    <row r="1659" spans="1:7" hidden="1" x14ac:dyDescent="0.75">
      <c r="A1659" s="51">
        <v>44946</v>
      </c>
      <c r="B1659" s="52">
        <v>1821</v>
      </c>
      <c r="C1659" s="8" t="s">
        <v>2431</v>
      </c>
      <c r="D1659" s="8" t="s">
        <v>62</v>
      </c>
      <c r="E1659" s="52">
        <v>1362</v>
      </c>
      <c r="F1659" s="13"/>
      <c r="G1659" s="13">
        <v>114.4</v>
      </c>
    </row>
    <row r="1660" spans="1:7" hidden="1" x14ac:dyDescent="0.75">
      <c r="A1660" s="51">
        <v>44946</v>
      </c>
      <c r="B1660" s="52">
        <v>1821</v>
      </c>
      <c r="C1660" s="8" t="s">
        <v>2432</v>
      </c>
      <c r="D1660" s="8" t="s">
        <v>62</v>
      </c>
      <c r="E1660" s="52">
        <v>1362</v>
      </c>
      <c r="F1660" s="13"/>
      <c r="G1660" s="13">
        <v>119.1</v>
      </c>
    </row>
    <row r="1661" spans="1:7" hidden="1" x14ac:dyDescent="0.75">
      <c r="A1661" s="51">
        <v>44946</v>
      </c>
      <c r="B1661" s="52">
        <v>1821</v>
      </c>
      <c r="C1661" s="8" t="s">
        <v>2433</v>
      </c>
      <c r="D1661" s="8" t="s">
        <v>62</v>
      </c>
      <c r="E1661" s="52">
        <v>1362</v>
      </c>
      <c r="F1661" s="13"/>
      <c r="G1661" s="13">
        <v>195.8</v>
      </c>
    </row>
    <row r="1662" spans="1:7" hidden="1" x14ac:dyDescent="0.75">
      <c r="A1662" s="51">
        <v>44946</v>
      </c>
      <c r="B1662" s="52">
        <v>1821</v>
      </c>
      <c r="C1662" s="8" t="s">
        <v>2433</v>
      </c>
      <c r="D1662" s="8" t="s">
        <v>62</v>
      </c>
      <c r="E1662" s="52">
        <v>1362</v>
      </c>
      <c r="F1662" s="13"/>
      <c r="G1662" s="13">
        <v>184.5</v>
      </c>
    </row>
    <row r="1663" spans="1:7" hidden="1" x14ac:dyDescent="0.75">
      <c r="A1663" s="51">
        <v>44946</v>
      </c>
      <c r="B1663" s="52">
        <v>1821</v>
      </c>
      <c r="C1663" s="8" t="s">
        <v>2433</v>
      </c>
      <c r="D1663" s="8" t="s">
        <v>62</v>
      </c>
      <c r="E1663" s="52">
        <v>1362</v>
      </c>
      <c r="F1663" s="13"/>
      <c r="G1663" s="13">
        <v>148.19999999999999</v>
      </c>
    </row>
    <row r="1664" spans="1:7" hidden="1" x14ac:dyDescent="0.75">
      <c r="A1664" s="51">
        <v>44946</v>
      </c>
      <c r="B1664" s="52">
        <v>1821</v>
      </c>
      <c r="C1664" s="8" t="s">
        <v>2433</v>
      </c>
      <c r="D1664" s="8" t="s">
        <v>62</v>
      </c>
      <c r="E1664" s="52">
        <v>1362</v>
      </c>
      <c r="F1664" s="13"/>
      <c r="G1664" s="13">
        <v>164.2</v>
      </c>
    </row>
    <row r="1665" spans="1:7" hidden="1" x14ac:dyDescent="0.75">
      <c r="A1665" s="51">
        <v>44946</v>
      </c>
      <c r="B1665" s="52">
        <v>1821</v>
      </c>
      <c r="C1665" s="8" t="s">
        <v>2433</v>
      </c>
      <c r="D1665" s="8" t="s">
        <v>62</v>
      </c>
      <c r="E1665" s="52">
        <v>1362</v>
      </c>
      <c r="F1665" s="13"/>
      <c r="G1665" s="13">
        <v>250.2</v>
      </c>
    </row>
    <row r="1666" spans="1:7" hidden="1" x14ac:dyDescent="0.75">
      <c r="A1666" s="51">
        <v>44946</v>
      </c>
      <c r="B1666" s="52">
        <v>1821</v>
      </c>
      <c r="C1666" s="8" t="s">
        <v>2433</v>
      </c>
      <c r="D1666" s="8" t="s">
        <v>62</v>
      </c>
      <c r="E1666" s="52">
        <v>1362</v>
      </c>
      <c r="F1666" s="13"/>
      <c r="G1666" s="13">
        <v>224.5</v>
      </c>
    </row>
    <row r="1667" spans="1:7" hidden="1" x14ac:dyDescent="0.75">
      <c r="A1667" s="51">
        <v>44946</v>
      </c>
      <c r="B1667" s="52">
        <v>1821</v>
      </c>
      <c r="C1667" s="8" t="s">
        <v>2433</v>
      </c>
      <c r="D1667" s="8" t="s">
        <v>62</v>
      </c>
      <c r="E1667" s="52">
        <v>1362</v>
      </c>
      <c r="F1667" s="13"/>
      <c r="G1667" s="13">
        <v>221.6</v>
      </c>
    </row>
    <row r="1668" spans="1:7" hidden="1" x14ac:dyDescent="0.75">
      <c r="A1668" s="51">
        <v>44947</v>
      </c>
      <c r="B1668" s="52">
        <v>1821</v>
      </c>
      <c r="C1668" s="8" t="s">
        <v>2434</v>
      </c>
      <c r="D1668" s="8" t="s">
        <v>62</v>
      </c>
      <c r="E1668" s="52">
        <v>408</v>
      </c>
      <c r="F1668" s="13">
        <v>264.7</v>
      </c>
      <c r="G1668" s="13"/>
    </row>
    <row r="1669" spans="1:7" hidden="1" x14ac:dyDescent="0.75">
      <c r="A1669" s="51">
        <v>44950</v>
      </c>
      <c r="B1669" s="52">
        <v>1821</v>
      </c>
      <c r="C1669" s="8" t="s">
        <v>2435</v>
      </c>
      <c r="D1669" s="8" t="s">
        <v>62</v>
      </c>
      <c r="E1669" s="52">
        <v>408</v>
      </c>
      <c r="F1669" s="13">
        <v>234.5</v>
      </c>
      <c r="G1669" s="13"/>
    </row>
    <row r="1670" spans="1:7" hidden="1" x14ac:dyDescent="0.75">
      <c r="A1670" s="51">
        <v>44953</v>
      </c>
      <c r="B1670" s="52">
        <v>1821</v>
      </c>
      <c r="C1670" s="8" t="s">
        <v>2436</v>
      </c>
      <c r="D1670" s="8" t="s">
        <v>62</v>
      </c>
      <c r="E1670" s="52">
        <v>408</v>
      </c>
      <c r="F1670" s="13">
        <v>269.7</v>
      </c>
      <c r="G1670" s="13"/>
    </row>
    <row r="1671" spans="1:7" hidden="1" x14ac:dyDescent="0.75">
      <c r="A1671" s="51">
        <v>44928</v>
      </c>
      <c r="B1671" s="52">
        <v>714</v>
      </c>
      <c r="C1671" s="8" t="s">
        <v>2437</v>
      </c>
      <c r="D1671" s="8" t="s">
        <v>63</v>
      </c>
      <c r="E1671" s="52">
        <v>408</v>
      </c>
      <c r="F1671" s="13">
        <v>1756.07</v>
      </c>
      <c r="G1671" s="13"/>
    </row>
    <row r="1672" spans="1:7" hidden="1" x14ac:dyDescent="0.75">
      <c r="A1672" s="51">
        <v>44928</v>
      </c>
      <c r="B1672" s="52">
        <v>714</v>
      </c>
      <c r="C1672" s="8" t="s">
        <v>2438</v>
      </c>
      <c r="D1672" s="8" t="s">
        <v>63</v>
      </c>
      <c r="E1672" s="52">
        <v>1362</v>
      </c>
      <c r="F1672" s="13"/>
      <c r="G1672" s="13">
        <v>784.3</v>
      </c>
    </row>
    <row r="1673" spans="1:7" hidden="1" x14ac:dyDescent="0.75">
      <c r="A1673" s="51">
        <v>44928</v>
      </c>
      <c r="B1673" s="52">
        <v>714</v>
      </c>
      <c r="C1673" s="8" t="s">
        <v>2439</v>
      </c>
      <c r="D1673" s="8" t="s">
        <v>63</v>
      </c>
      <c r="E1673" s="52">
        <v>1362</v>
      </c>
      <c r="F1673" s="13"/>
      <c r="G1673" s="13">
        <v>493.5</v>
      </c>
    </row>
    <row r="1674" spans="1:7" hidden="1" x14ac:dyDescent="0.75">
      <c r="A1674" s="51">
        <v>44928</v>
      </c>
      <c r="B1674" s="52">
        <v>714</v>
      </c>
      <c r="C1674" s="8" t="s">
        <v>2440</v>
      </c>
      <c r="D1674" s="8" t="s">
        <v>63</v>
      </c>
      <c r="E1674" s="52">
        <v>1362</v>
      </c>
      <c r="F1674" s="13"/>
      <c r="G1674" s="13">
        <v>994.56</v>
      </c>
    </row>
    <row r="1675" spans="1:7" hidden="1" x14ac:dyDescent="0.75">
      <c r="A1675" s="51">
        <v>44928</v>
      </c>
      <c r="B1675" s="52">
        <v>714</v>
      </c>
      <c r="C1675" s="8" t="s">
        <v>2441</v>
      </c>
      <c r="D1675" s="8" t="s">
        <v>63</v>
      </c>
      <c r="E1675" s="52">
        <v>1362</v>
      </c>
      <c r="F1675" s="13"/>
      <c r="G1675" s="13">
        <v>562.6</v>
      </c>
    </row>
    <row r="1676" spans="1:7" hidden="1" x14ac:dyDescent="0.75">
      <c r="A1676" s="51">
        <v>44928</v>
      </c>
      <c r="B1676" s="52">
        <v>714</v>
      </c>
      <c r="C1676" s="8" t="s">
        <v>2442</v>
      </c>
      <c r="D1676" s="8" t="s">
        <v>63</v>
      </c>
      <c r="E1676" s="52">
        <v>1362</v>
      </c>
      <c r="F1676" s="13"/>
      <c r="G1676" s="13">
        <v>392</v>
      </c>
    </row>
    <row r="1677" spans="1:7" hidden="1" x14ac:dyDescent="0.75">
      <c r="A1677" s="51">
        <v>44928</v>
      </c>
      <c r="B1677" s="52">
        <v>714</v>
      </c>
      <c r="C1677" s="8" t="s">
        <v>2443</v>
      </c>
      <c r="D1677" s="8" t="s">
        <v>63</v>
      </c>
      <c r="E1677" s="52">
        <v>1362</v>
      </c>
      <c r="F1677" s="13"/>
      <c r="G1677" s="13">
        <v>1314.66</v>
      </c>
    </row>
    <row r="1678" spans="1:7" hidden="1" x14ac:dyDescent="0.75">
      <c r="A1678" s="51">
        <v>44928</v>
      </c>
      <c r="B1678" s="52">
        <v>714</v>
      </c>
      <c r="C1678" s="8" t="s">
        <v>2444</v>
      </c>
      <c r="D1678" s="8" t="s">
        <v>63</v>
      </c>
      <c r="E1678" s="52">
        <v>1362</v>
      </c>
      <c r="F1678" s="13"/>
      <c r="G1678" s="13">
        <v>673.9</v>
      </c>
    </row>
    <row r="1679" spans="1:7" hidden="1" x14ac:dyDescent="0.75">
      <c r="A1679" s="51">
        <v>44928</v>
      </c>
      <c r="B1679" s="52">
        <v>714</v>
      </c>
      <c r="C1679" s="8" t="s">
        <v>2445</v>
      </c>
      <c r="D1679" s="8" t="s">
        <v>63</v>
      </c>
      <c r="E1679" s="52">
        <v>1362</v>
      </c>
      <c r="F1679" s="13"/>
      <c r="G1679" s="13">
        <v>983.7</v>
      </c>
    </row>
    <row r="1680" spans="1:7" hidden="1" x14ac:dyDescent="0.75">
      <c r="A1680" s="51">
        <v>44928</v>
      </c>
      <c r="B1680" s="52">
        <v>714</v>
      </c>
      <c r="C1680" s="8" t="s">
        <v>2446</v>
      </c>
      <c r="D1680" s="8" t="s">
        <v>63</v>
      </c>
      <c r="E1680" s="52">
        <v>1362</v>
      </c>
      <c r="F1680" s="13"/>
      <c r="G1680" s="13">
        <v>916.4</v>
      </c>
    </row>
    <row r="1681" spans="1:7" hidden="1" x14ac:dyDescent="0.75">
      <c r="A1681" s="51">
        <v>44928</v>
      </c>
      <c r="B1681" s="52">
        <v>714</v>
      </c>
      <c r="C1681" s="8" t="s">
        <v>2447</v>
      </c>
      <c r="D1681" s="8" t="s">
        <v>63</v>
      </c>
      <c r="E1681" s="52">
        <v>1362</v>
      </c>
      <c r="F1681" s="13"/>
      <c r="G1681" s="13">
        <v>1316.3</v>
      </c>
    </row>
    <row r="1682" spans="1:7" hidden="1" x14ac:dyDescent="0.75">
      <c r="A1682" s="51">
        <v>44928</v>
      </c>
      <c r="B1682" s="52">
        <v>714</v>
      </c>
      <c r="C1682" s="8" t="s">
        <v>2448</v>
      </c>
      <c r="D1682" s="8" t="s">
        <v>63</v>
      </c>
      <c r="E1682" s="52">
        <v>1362</v>
      </c>
      <c r="F1682" s="13"/>
      <c r="G1682" s="13">
        <v>763.9</v>
      </c>
    </row>
    <row r="1683" spans="1:7" hidden="1" x14ac:dyDescent="0.75">
      <c r="A1683" s="51">
        <v>44928</v>
      </c>
      <c r="B1683" s="52">
        <v>714</v>
      </c>
      <c r="C1683" s="8" t="s">
        <v>2449</v>
      </c>
      <c r="D1683" s="8" t="s">
        <v>63</v>
      </c>
      <c r="E1683" s="52">
        <v>1362</v>
      </c>
      <c r="F1683" s="13"/>
      <c r="G1683" s="13">
        <v>435.2</v>
      </c>
    </row>
    <row r="1684" spans="1:7" hidden="1" x14ac:dyDescent="0.75">
      <c r="A1684" s="51">
        <v>44929</v>
      </c>
      <c r="B1684" s="52">
        <v>714</v>
      </c>
      <c r="C1684" s="8" t="s">
        <v>2450</v>
      </c>
      <c r="D1684" s="8" t="s">
        <v>63</v>
      </c>
      <c r="E1684" s="52">
        <v>408</v>
      </c>
      <c r="F1684" s="13">
        <v>702.2</v>
      </c>
      <c r="G1684" s="13"/>
    </row>
    <row r="1685" spans="1:7" hidden="1" x14ac:dyDescent="0.75">
      <c r="A1685" s="51">
        <v>44930</v>
      </c>
      <c r="B1685" s="52">
        <v>714</v>
      </c>
      <c r="C1685" s="8" t="s">
        <v>2451</v>
      </c>
      <c r="D1685" s="8" t="s">
        <v>63</v>
      </c>
      <c r="E1685" s="52">
        <v>408</v>
      </c>
      <c r="F1685" s="13">
        <v>631.5</v>
      </c>
      <c r="G1685" s="13"/>
    </row>
    <row r="1686" spans="1:7" hidden="1" x14ac:dyDescent="0.75">
      <c r="A1686" s="51">
        <v>44931</v>
      </c>
      <c r="B1686" s="52">
        <v>714</v>
      </c>
      <c r="C1686" s="8" t="s">
        <v>2452</v>
      </c>
      <c r="D1686" s="8" t="s">
        <v>63</v>
      </c>
      <c r="E1686" s="52">
        <v>408</v>
      </c>
      <c r="F1686" s="13">
        <v>1227.8</v>
      </c>
      <c r="G1686" s="13"/>
    </row>
    <row r="1687" spans="1:7" hidden="1" x14ac:dyDescent="0.75">
      <c r="A1687" s="51">
        <v>44932</v>
      </c>
      <c r="B1687" s="52">
        <v>714</v>
      </c>
      <c r="C1687" s="8" t="s">
        <v>2453</v>
      </c>
      <c r="D1687" s="8" t="s">
        <v>63</v>
      </c>
      <c r="E1687" s="52">
        <v>408</v>
      </c>
      <c r="F1687" s="13">
        <v>1127.9000000000001</v>
      </c>
      <c r="G1687" s="13"/>
    </row>
    <row r="1688" spans="1:7" hidden="1" x14ac:dyDescent="0.75">
      <c r="A1688" s="51">
        <v>44933</v>
      </c>
      <c r="B1688" s="52">
        <v>714</v>
      </c>
      <c r="C1688" s="8" t="s">
        <v>2454</v>
      </c>
      <c r="D1688" s="8" t="s">
        <v>63</v>
      </c>
      <c r="E1688" s="52">
        <v>408</v>
      </c>
      <c r="F1688" s="13">
        <v>564.9</v>
      </c>
      <c r="G1688" s="13"/>
    </row>
    <row r="1689" spans="1:7" hidden="1" x14ac:dyDescent="0.75">
      <c r="A1689" s="51">
        <v>44935</v>
      </c>
      <c r="B1689" s="52">
        <v>714</v>
      </c>
      <c r="C1689" s="8" t="s">
        <v>2455</v>
      </c>
      <c r="D1689" s="8" t="s">
        <v>63</v>
      </c>
      <c r="E1689" s="52">
        <v>408</v>
      </c>
      <c r="F1689" s="13">
        <v>1678.57</v>
      </c>
      <c r="G1689" s="13"/>
    </row>
    <row r="1690" spans="1:7" hidden="1" x14ac:dyDescent="0.75">
      <c r="A1690" s="51">
        <v>44936</v>
      </c>
      <c r="B1690" s="52">
        <v>714</v>
      </c>
      <c r="C1690" s="8" t="s">
        <v>2456</v>
      </c>
      <c r="D1690" s="8" t="s">
        <v>63</v>
      </c>
      <c r="E1690" s="52">
        <v>408</v>
      </c>
      <c r="F1690" s="13">
        <v>652.4</v>
      </c>
      <c r="G1690" s="13"/>
    </row>
    <row r="1691" spans="1:7" hidden="1" x14ac:dyDescent="0.75">
      <c r="A1691" s="51">
        <v>44936</v>
      </c>
      <c r="B1691" s="52">
        <v>714</v>
      </c>
      <c r="C1691" s="8" t="s">
        <v>2457</v>
      </c>
      <c r="D1691" s="8" t="s">
        <v>63</v>
      </c>
      <c r="E1691" s="52">
        <v>1362</v>
      </c>
      <c r="F1691" s="13"/>
      <c r="G1691" s="13">
        <v>553.29999999999995</v>
      </c>
    </row>
    <row r="1692" spans="1:7" hidden="1" x14ac:dyDescent="0.75">
      <c r="A1692" s="51">
        <v>44936</v>
      </c>
      <c r="B1692" s="52">
        <v>714</v>
      </c>
      <c r="C1692" s="8" t="s">
        <v>2458</v>
      </c>
      <c r="D1692" s="8" t="s">
        <v>63</v>
      </c>
      <c r="E1692" s="52">
        <v>1362</v>
      </c>
      <c r="F1692" s="13"/>
      <c r="G1692" s="13">
        <v>615</v>
      </c>
    </row>
    <row r="1693" spans="1:7" hidden="1" x14ac:dyDescent="0.75">
      <c r="A1693" s="51">
        <v>44936</v>
      </c>
      <c r="B1693" s="52">
        <v>714</v>
      </c>
      <c r="C1693" s="8" t="s">
        <v>2459</v>
      </c>
      <c r="D1693" s="8" t="s">
        <v>63</v>
      </c>
      <c r="E1693" s="52">
        <v>1362</v>
      </c>
      <c r="F1693" s="13"/>
      <c r="G1693" s="13">
        <v>1550.17</v>
      </c>
    </row>
    <row r="1694" spans="1:7" hidden="1" x14ac:dyDescent="0.75">
      <c r="A1694" s="51">
        <v>44936</v>
      </c>
      <c r="B1694" s="52">
        <v>714</v>
      </c>
      <c r="C1694" s="8" t="s">
        <v>2460</v>
      </c>
      <c r="D1694" s="8" t="s">
        <v>63</v>
      </c>
      <c r="E1694" s="52">
        <v>1362</v>
      </c>
      <c r="F1694" s="13"/>
      <c r="G1694" s="13">
        <v>990.4</v>
      </c>
    </row>
    <row r="1695" spans="1:7" hidden="1" x14ac:dyDescent="0.75">
      <c r="A1695" s="51">
        <v>44936</v>
      </c>
      <c r="B1695" s="52">
        <v>714</v>
      </c>
      <c r="C1695" s="8" t="s">
        <v>2461</v>
      </c>
      <c r="D1695" s="8" t="s">
        <v>63</v>
      </c>
      <c r="E1695" s="52">
        <v>1362</v>
      </c>
      <c r="F1695" s="13"/>
      <c r="G1695" s="13">
        <v>1049.9000000000001</v>
      </c>
    </row>
    <row r="1696" spans="1:7" hidden="1" x14ac:dyDescent="0.75">
      <c r="A1696" s="51">
        <v>44936</v>
      </c>
      <c r="B1696" s="52">
        <v>714</v>
      </c>
      <c r="C1696" s="8" t="s">
        <v>2462</v>
      </c>
      <c r="D1696" s="8" t="s">
        <v>63</v>
      </c>
      <c r="E1696" s="52">
        <v>1362</v>
      </c>
      <c r="F1696" s="13"/>
      <c r="G1696" s="13">
        <v>624.29999999999995</v>
      </c>
    </row>
    <row r="1697" spans="1:7" hidden="1" x14ac:dyDescent="0.75">
      <c r="A1697" s="51">
        <v>44937</v>
      </c>
      <c r="B1697" s="52">
        <v>714</v>
      </c>
      <c r="C1697" s="8" t="s">
        <v>2463</v>
      </c>
      <c r="D1697" s="8" t="s">
        <v>63</v>
      </c>
      <c r="E1697" s="52">
        <v>408</v>
      </c>
      <c r="F1697" s="13">
        <v>760</v>
      </c>
      <c r="G1697" s="13"/>
    </row>
    <row r="1698" spans="1:7" hidden="1" x14ac:dyDescent="0.75">
      <c r="A1698" s="51">
        <v>44938</v>
      </c>
      <c r="B1698" s="52">
        <v>714</v>
      </c>
      <c r="C1698" s="8" t="s">
        <v>2464</v>
      </c>
      <c r="D1698" s="8" t="s">
        <v>63</v>
      </c>
      <c r="E1698" s="52">
        <v>408</v>
      </c>
      <c r="F1698" s="13">
        <v>1006.6</v>
      </c>
      <c r="G1698" s="13"/>
    </row>
    <row r="1699" spans="1:7" hidden="1" x14ac:dyDescent="0.75">
      <c r="A1699" s="51">
        <v>44939</v>
      </c>
      <c r="B1699" s="52">
        <v>714</v>
      </c>
      <c r="C1699" s="8" t="s">
        <v>2465</v>
      </c>
      <c r="D1699" s="8" t="s">
        <v>63</v>
      </c>
      <c r="E1699" s="52">
        <v>408</v>
      </c>
      <c r="F1699" s="13">
        <v>1197.3399999999999</v>
      </c>
      <c r="G1699" s="13"/>
    </row>
    <row r="1700" spans="1:7" hidden="1" x14ac:dyDescent="0.75">
      <c r="A1700" s="51">
        <v>44940</v>
      </c>
      <c r="B1700" s="52">
        <v>714</v>
      </c>
      <c r="C1700" s="8" t="s">
        <v>2466</v>
      </c>
      <c r="D1700" s="8" t="s">
        <v>63</v>
      </c>
      <c r="E1700" s="52">
        <v>408</v>
      </c>
      <c r="F1700" s="13">
        <v>469</v>
      </c>
      <c r="G1700" s="13"/>
    </row>
    <row r="1701" spans="1:7" hidden="1" x14ac:dyDescent="0.75">
      <c r="A1701" s="51">
        <v>44942</v>
      </c>
      <c r="B1701" s="52">
        <v>714</v>
      </c>
      <c r="C1701" s="8" t="s">
        <v>2467</v>
      </c>
      <c r="D1701" s="8" t="s">
        <v>63</v>
      </c>
      <c r="E1701" s="52">
        <v>408</v>
      </c>
      <c r="F1701" s="13">
        <v>2237.5500000000002</v>
      </c>
      <c r="G1701" s="13"/>
    </row>
    <row r="1702" spans="1:7" hidden="1" x14ac:dyDescent="0.75">
      <c r="A1702" s="51">
        <v>44943</v>
      </c>
      <c r="B1702" s="52">
        <v>714</v>
      </c>
      <c r="C1702" s="8" t="s">
        <v>2468</v>
      </c>
      <c r="D1702" s="8" t="s">
        <v>63</v>
      </c>
      <c r="E1702" s="52">
        <v>408</v>
      </c>
      <c r="F1702" s="13">
        <v>1212</v>
      </c>
      <c r="G1702" s="13"/>
    </row>
    <row r="1703" spans="1:7" hidden="1" x14ac:dyDescent="0.75">
      <c r="A1703" s="51">
        <v>44944</v>
      </c>
      <c r="B1703" s="52">
        <v>714</v>
      </c>
      <c r="C1703" s="8" t="s">
        <v>2469</v>
      </c>
      <c r="D1703" s="8" t="s">
        <v>63</v>
      </c>
      <c r="E1703" s="52">
        <v>408</v>
      </c>
      <c r="F1703" s="13">
        <v>1146.3699999999999</v>
      </c>
      <c r="G1703" s="13"/>
    </row>
    <row r="1704" spans="1:7" hidden="1" x14ac:dyDescent="0.75">
      <c r="A1704" s="51">
        <v>44945</v>
      </c>
      <c r="B1704" s="52">
        <v>714</v>
      </c>
      <c r="C1704" s="8" t="s">
        <v>2470</v>
      </c>
      <c r="D1704" s="8" t="s">
        <v>63</v>
      </c>
      <c r="E1704" s="52">
        <v>408</v>
      </c>
      <c r="F1704" s="13">
        <v>1360.25</v>
      </c>
      <c r="G1704" s="13"/>
    </row>
    <row r="1705" spans="1:7" hidden="1" x14ac:dyDescent="0.75">
      <c r="A1705" s="51">
        <v>44946</v>
      </c>
      <c r="B1705" s="52">
        <v>714</v>
      </c>
      <c r="C1705" s="8" t="s">
        <v>2471</v>
      </c>
      <c r="D1705" s="8" t="s">
        <v>63</v>
      </c>
      <c r="E1705" s="52">
        <v>408</v>
      </c>
      <c r="F1705" s="13">
        <v>1108.2</v>
      </c>
      <c r="G1705" s="13"/>
    </row>
    <row r="1706" spans="1:7" hidden="1" x14ac:dyDescent="0.75">
      <c r="A1706" s="51">
        <v>44946</v>
      </c>
      <c r="B1706" s="52">
        <v>714</v>
      </c>
      <c r="C1706" s="8" t="s">
        <v>2472</v>
      </c>
      <c r="D1706" s="8" t="s">
        <v>63</v>
      </c>
      <c r="E1706" s="52">
        <v>1362</v>
      </c>
      <c r="F1706" s="13"/>
      <c r="G1706" s="13">
        <v>519.4</v>
      </c>
    </row>
    <row r="1707" spans="1:7" hidden="1" x14ac:dyDescent="0.75">
      <c r="A1707" s="51">
        <v>44946</v>
      </c>
      <c r="B1707" s="52">
        <v>714</v>
      </c>
      <c r="C1707" s="8" t="s">
        <v>2473</v>
      </c>
      <c r="D1707" s="8" t="s">
        <v>63</v>
      </c>
      <c r="E1707" s="52">
        <v>1362</v>
      </c>
      <c r="F1707" s="13"/>
      <c r="G1707" s="13">
        <v>921.1</v>
      </c>
    </row>
    <row r="1708" spans="1:7" hidden="1" x14ac:dyDescent="0.75">
      <c r="A1708" s="51">
        <v>44946</v>
      </c>
      <c r="B1708" s="52">
        <v>714</v>
      </c>
      <c r="C1708" s="8" t="s">
        <v>2473</v>
      </c>
      <c r="D1708" s="8" t="s">
        <v>63</v>
      </c>
      <c r="E1708" s="52">
        <v>1362</v>
      </c>
      <c r="F1708" s="13"/>
      <c r="G1708" s="13">
        <v>1616.47</v>
      </c>
    </row>
    <row r="1709" spans="1:7" hidden="1" x14ac:dyDescent="0.75">
      <c r="A1709" s="51">
        <v>44946</v>
      </c>
      <c r="B1709" s="52">
        <v>714</v>
      </c>
      <c r="C1709" s="8" t="s">
        <v>2473</v>
      </c>
      <c r="D1709" s="8" t="s">
        <v>63</v>
      </c>
      <c r="E1709" s="52">
        <v>1362</v>
      </c>
      <c r="F1709" s="13"/>
      <c r="G1709" s="13">
        <v>867.2</v>
      </c>
    </row>
    <row r="1710" spans="1:7" hidden="1" x14ac:dyDescent="0.75">
      <c r="A1710" s="51">
        <v>44946</v>
      </c>
      <c r="B1710" s="52">
        <v>714</v>
      </c>
      <c r="C1710" s="8" t="s">
        <v>2473</v>
      </c>
      <c r="D1710" s="8" t="s">
        <v>63</v>
      </c>
      <c r="E1710" s="52">
        <v>1362</v>
      </c>
      <c r="F1710" s="13"/>
      <c r="G1710" s="13">
        <v>978.9</v>
      </c>
    </row>
    <row r="1711" spans="1:7" hidden="1" x14ac:dyDescent="0.75">
      <c r="A1711" s="51">
        <v>44946</v>
      </c>
      <c r="B1711" s="52">
        <v>714</v>
      </c>
      <c r="C1711" s="8" t="s">
        <v>2473</v>
      </c>
      <c r="D1711" s="8" t="s">
        <v>63</v>
      </c>
      <c r="E1711" s="52">
        <v>1362</v>
      </c>
      <c r="F1711" s="13"/>
      <c r="G1711" s="13">
        <v>746.8</v>
      </c>
    </row>
    <row r="1712" spans="1:7" hidden="1" x14ac:dyDescent="0.75">
      <c r="A1712" s="51">
        <v>44946</v>
      </c>
      <c r="B1712" s="52">
        <v>714</v>
      </c>
      <c r="C1712" s="8" t="s">
        <v>2473</v>
      </c>
      <c r="D1712" s="8" t="s">
        <v>63</v>
      </c>
      <c r="E1712" s="52">
        <v>1362</v>
      </c>
      <c r="F1712" s="13"/>
      <c r="G1712" s="13">
        <v>396.3</v>
      </c>
    </row>
    <row r="1713" spans="1:7" hidden="1" x14ac:dyDescent="0.75">
      <c r="A1713" s="51">
        <v>44946</v>
      </c>
      <c r="B1713" s="52">
        <v>714</v>
      </c>
      <c r="C1713" s="8" t="s">
        <v>2473</v>
      </c>
      <c r="D1713" s="8" t="s">
        <v>63</v>
      </c>
      <c r="E1713" s="52">
        <v>1362</v>
      </c>
      <c r="F1713" s="13"/>
      <c r="G1713" s="13">
        <v>889.2</v>
      </c>
    </row>
    <row r="1714" spans="1:7" hidden="1" x14ac:dyDescent="0.75">
      <c r="A1714" s="51">
        <v>44946</v>
      </c>
      <c r="B1714" s="52">
        <v>714</v>
      </c>
      <c r="C1714" s="8" t="s">
        <v>2473</v>
      </c>
      <c r="D1714" s="8" t="s">
        <v>63</v>
      </c>
      <c r="E1714" s="52">
        <v>1362</v>
      </c>
      <c r="F1714" s="13"/>
      <c r="G1714" s="13">
        <v>1663.57</v>
      </c>
    </row>
    <row r="1715" spans="1:7" hidden="1" x14ac:dyDescent="0.75">
      <c r="A1715" s="51">
        <v>44946</v>
      </c>
      <c r="B1715" s="52">
        <v>714</v>
      </c>
      <c r="C1715" s="8" t="s">
        <v>2473</v>
      </c>
      <c r="D1715" s="8" t="s">
        <v>63</v>
      </c>
      <c r="E1715" s="52">
        <v>1362</v>
      </c>
      <c r="F1715" s="13"/>
      <c r="G1715" s="13">
        <v>621.6</v>
      </c>
    </row>
    <row r="1716" spans="1:7" hidden="1" x14ac:dyDescent="0.75">
      <c r="A1716" s="51">
        <v>44946</v>
      </c>
      <c r="B1716" s="52">
        <v>714</v>
      </c>
      <c r="C1716" s="8" t="s">
        <v>2473</v>
      </c>
      <c r="D1716" s="8" t="s">
        <v>63</v>
      </c>
      <c r="E1716" s="52">
        <v>1362</v>
      </c>
      <c r="F1716" s="13"/>
      <c r="G1716" s="13">
        <v>685.7</v>
      </c>
    </row>
    <row r="1717" spans="1:7" hidden="1" x14ac:dyDescent="0.75">
      <c r="A1717" s="51">
        <v>44946</v>
      </c>
      <c r="B1717" s="52">
        <v>714</v>
      </c>
      <c r="C1717" s="8" t="s">
        <v>2473</v>
      </c>
      <c r="D1717" s="8" t="s">
        <v>63</v>
      </c>
      <c r="E1717" s="52">
        <v>1362</v>
      </c>
      <c r="F1717" s="13"/>
      <c r="G1717" s="13">
        <v>729.6</v>
      </c>
    </row>
    <row r="1718" spans="1:7" hidden="1" x14ac:dyDescent="0.75">
      <c r="A1718" s="51">
        <v>44947</v>
      </c>
      <c r="B1718" s="52">
        <v>714</v>
      </c>
      <c r="C1718" s="8" t="s">
        <v>2474</v>
      </c>
      <c r="D1718" s="8" t="s">
        <v>63</v>
      </c>
      <c r="E1718" s="52">
        <v>408</v>
      </c>
      <c r="F1718" s="13">
        <v>670.2</v>
      </c>
      <c r="G1718" s="13"/>
    </row>
    <row r="1719" spans="1:7" hidden="1" x14ac:dyDescent="0.75">
      <c r="A1719" s="51">
        <v>44949</v>
      </c>
      <c r="B1719" s="52">
        <v>714</v>
      </c>
      <c r="C1719" s="8" t="s">
        <v>2475</v>
      </c>
      <c r="D1719" s="8" t="s">
        <v>63</v>
      </c>
      <c r="E1719" s="52">
        <v>408</v>
      </c>
      <c r="F1719" s="13">
        <v>1685.55</v>
      </c>
      <c r="G1719" s="13"/>
    </row>
    <row r="1720" spans="1:7" hidden="1" x14ac:dyDescent="0.75">
      <c r="A1720" s="51">
        <v>44950</v>
      </c>
      <c r="B1720" s="52">
        <v>714</v>
      </c>
      <c r="C1720" s="8" t="s">
        <v>2476</v>
      </c>
      <c r="D1720" s="8" t="s">
        <v>63</v>
      </c>
      <c r="E1720" s="52">
        <v>408</v>
      </c>
      <c r="F1720" s="13">
        <v>785.5</v>
      </c>
      <c r="G1720" s="13"/>
    </row>
    <row r="1721" spans="1:7" hidden="1" x14ac:dyDescent="0.75">
      <c r="A1721" s="51">
        <v>44951</v>
      </c>
      <c r="B1721" s="52">
        <v>714</v>
      </c>
      <c r="C1721" s="8" t="s">
        <v>2477</v>
      </c>
      <c r="D1721" s="8" t="s">
        <v>63</v>
      </c>
      <c r="E1721" s="52">
        <v>408</v>
      </c>
      <c r="F1721" s="13">
        <v>906.16</v>
      </c>
      <c r="G1721" s="13"/>
    </row>
    <row r="1722" spans="1:7" hidden="1" x14ac:dyDescent="0.75">
      <c r="A1722" s="51">
        <v>44952</v>
      </c>
      <c r="B1722" s="52">
        <v>714</v>
      </c>
      <c r="C1722" s="8" t="s">
        <v>2478</v>
      </c>
      <c r="D1722" s="8" t="s">
        <v>63</v>
      </c>
      <c r="E1722" s="52">
        <v>408</v>
      </c>
      <c r="F1722" s="13">
        <v>764</v>
      </c>
      <c r="G1722" s="13"/>
    </row>
    <row r="1723" spans="1:7" hidden="1" x14ac:dyDescent="0.75">
      <c r="A1723" s="51">
        <v>44953</v>
      </c>
      <c r="B1723" s="52">
        <v>714</v>
      </c>
      <c r="C1723" s="8" t="s">
        <v>2479</v>
      </c>
      <c r="D1723" s="8" t="s">
        <v>63</v>
      </c>
      <c r="E1723" s="52">
        <v>408</v>
      </c>
      <c r="F1723" s="13">
        <v>1436.8</v>
      </c>
      <c r="G1723" s="13"/>
    </row>
    <row r="1724" spans="1:7" hidden="1" x14ac:dyDescent="0.75">
      <c r="A1724" s="51">
        <v>44954</v>
      </c>
      <c r="B1724" s="52">
        <v>714</v>
      </c>
      <c r="C1724" s="8" t="s">
        <v>2480</v>
      </c>
      <c r="D1724" s="8" t="s">
        <v>63</v>
      </c>
      <c r="E1724" s="52">
        <v>408</v>
      </c>
      <c r="F1724" s="13">
        <v>610.5</v>
      </c>
      <c r="G1724" s="13"/>
    </row>
    <row r="1725" spans="1:7" hidden="1" x14ac:dyDescent="0.75">
      <c r="A1725" s="51">
        <v>44956</v>
      </c>
      <c r="B1725" s="52">
        <v>714</v>
      </c>
      <c r="C1725" s="8" t="s">
        <v>2481</v>
      </c>
      <c r="D1725" s="8" t="s">
        <v>63</v>
      </c>
      <c r="E1725" s="52">
        <v>408</v>
      </c>
      <c r="F1725" s="13">
        <v>1158.5</v>
      </c>
      <c r="G1725" s="13"/>
    </row>
    <row r="1726" spans="1:7" hidden="1" x14ac:dyDescent="0.75">
      <c r="A1726" s="51">
        <v>44957</v>
      </c>
      <c r="B1726" s="52">
        <v>714</v>
      </c>
      <c r="C1726" s="8" t="s">
        <v>2482</v>
      </c>
      <c r="D1726" s="8" t="s">
        <v>63</v>
      </c>
      <c r="E1726" s="52">
        <v>408</v>
      </c>
      <c r="F1726" s="13">
        <v>760</v>
      </c>
      <c r="G1726" s="13"/>
    </row>
    <row r="1727" spans="1:7" hidden="1" x14ac:dyDescent="0.75">
      <c r="A1727" s="51">
        <v>44927</v>
      </c>
      <c r="B1727" s="52">
        <v>1024</v>
      </c>
      <c r="C1727" s="8" t="s">
        <v>2483</v>
      </c>
      <c r="D1727" s="8" t="s">
        <v>64</v>
      </c>
      <c r="E1727" s="52">
        <v>408</v>
      </c>
      <c r="F1727" s="13">
        <v>3520</v>
      </c>
      <c r="G1727" s="13"/>
    </row>
    <row r="1728" spans="1:7" hidden="1" x14ac:dyDescent="0.75">
      <c r="A1728" s="51">
        <v>44927</v>
      </c>
      <c r="B1728" s="52">
        <v>1024</v>
      </c>
      <c r="C1728" s="8" t="s">
        <v>2484</v>
      </c>
      <c r="D1728" s="8" t="s">
        <v>64</v>
      </c>
      <c r="E1728" s="52">
        <v>408</v>
      </c>
      <c r="F1728" s="13">
        <v>2410</v>
      </c>
      <c r="G1728" s="13"/>
    </row>
    <row r="1729" spans="1:7" hidden="1" x14ac:dyDescent="0.75">
      <c r="A1729" s="51">
        <v>44928</v>
      </c>
      <c r="B1729" s="52">
        <v>1024</v>
      </c>
      <c r="C1729" s="8" t="s">
        <v>2485</v>
      </c>
      <c r="D1729" s="8" t="s">
        <v>64</v>
      </c>
      <c r="E1729" s="52">
        <v>408</v>
      </c>
      <c r="F1729" s="13">
        <v>19.75</v>
      </c>
      <c r="G1729" s="13"/>
    </row>
    <row r="1730" spans="1:7" hidden="1" x14ac:dyDescent="0.75">
      <c r="A1730" s="51">
        <v>44928</v>
      </c>
      <c r="B1730" s="52">
        <v>1024</v>
      </c>
      <c r="C1730" s="8" t="s">
        <v>2486</v>
      </c>
      <c r="D1730" s="8" t="s">
        <v>64</v>
      </c>
      <c r="E1730" s="52">
        <v>408</v>
      </c>
      <c r="F1730" s="13">
        <v>1057</v>
      </c>
      <c r="G1730" s="13"/>
    </row>
    <row r="1731" spans="1:7" hidden="1" x14ac:dyDescent="0.75">
      <c r="A1731" s="51">
        <v>44928</v>
      </c>
      <c r="B1731" s="52">
        <v>1024</v>
      </c>
      <c r="C1731" s="8" t="s">
        <v>2487</v>
      </c>
      <c r="D1731" s="8" t="s">
        <v>64</v>
      </c>
      <c r="E1731" s="52">
        <v>408</v>
      </c>
      <c r="F1731" s="13">
        <v>322</v>
      </c>
      <c r="G1731" s="13"/>
    </row>
    <row r="1732" spans="1:7" hidden="1" x14ac:dyDescent="0.75">
      <c r="A1732" s="51">
        <v>44928</v>
      </c>
      <c r="B1732" s="52">
        <v>1024</v>
      </c>
      <c r="C1732" s="8" t="s">
        <v>2488</v>
      </c>
      <c r="D1732" s="8" t="s">
        <v>64</v>
      </c>
      <c r="E1732" s="52">
        <v>408</v>
      </c>
      <c r="F1732" s="13">
        <v>340</v>
      </c>
      <c r="G1732" s="13"/>
    </row>
    <row r="1733" spans="1:7" hidden="1" x14ac:dyDescent="0.75">
      <c r="A1733" s="51">
        <v>44928</v>
      </c>
      <c r="B1733" s="52">
        <v>1024</v>
      </c>
      <c r="C1733" s="8" t="s">
        <v>2489</v>
      </c>
      <c r="D1733" s="8" t="s">
        <v>64</v>
      </c>
      <c r="E1733" s="52">
        <v>408</v>
      </c>
      <c r="F1733" s="13">
        <v>1547</v>
      </c>
      <c r="G1733" s="13"/>
    </row>
    <row r="1734" spans="1:7" hidden="1" x14ac:dyDescent="0.75">
      <c r="A1734" s="51">
        <v>44928</v>
      </c>
      <c r="B1734" s="52">
        <v>1024</v>
      </c>
      <c r="C1734" s="8" t="s">
        <v>2490</v>
      </c>
      <c r="D1734" s="8" t="s">
        <v>64</v>
      </c>
      <c r="E1734" s="52">
        <v>408</v>
      </c>
      <c r="F1734" s="13">
        <v>2400</v>
      </c>
      <c r="G1734" s="13"/>
    </row>
    <row r="1735" spans="1:7" hidden="1" x14ac:dyDescent="0.75">
      <c r="A1735" s="51">
        <v>44928</v>
      </c>
      <c r="B1735" s="52">
        <v>1024</v>
      </c>
      <c r="C1735" s="8" t="s">
        <v>2491</v>
      </c>
      <c r="D1735" s="8" t="s">
        <v>64</v>
      </c>
      <c r="E1735" s="52">
        <v>408</v>
      </c>
      <c r="F1735" s="13">
        <v>3453</v>
      </c>
      <c r="G1735" s="13"/>
    </row>
    <row r="1736" spans="1:7" hidden="1" x14ac:dyDescent="0.75">
      <c r="A1736" s="51">
        <v>44928</v>
      </c>
      <c r="B1736" s="52">
        <v>1024</v>
      </c>
      <c r="C1736" s="8" t="s">
        <v>2492</v>
      </c>
      <c r="D1736" s="8" t="s">
        <v>64</v>
      </c>
      <c r="E1736" s="52">
        <v>1362</v>
      </c>
      <c r="F1736" s="13"/>
      <c r="G1736" s="13">
        <v>2564.5</v>
      </c>
    </row>
    <row r="1737" spans="1:7" hidden="1" x14ac:dyDescent="0.75">
      <c r="A1737" s="51">
        <v>44928</v>
      </c>
      <c r="B1737" s="52">
        <v>1024</v>
      </c>
      <c r="C1737" s="8" t="s">
        <v>2493</v>
      </c>
      <c r="D1737" s="8" t="s">
        <v>64</v>
      </c>
      <c r="E1737" s="52">
        <v>1362</v>
      </c>
      <c r="F1737" s="13"/>
      <c r="G1737" s="13">
        <v>2320</v>
      </c>
    </row>
    <row r="1738" spans="1:7" hidden="1" x14ac:dyDescent="0.75">
      <c r="A1738" s="51">
        <v>44928</v>
      </c>
      <c r="B1738" s="52">
        <v>1024</v>
      </c>
      <c r="C1738" s="8" t="s">
        <v>2494</v>
      </c>
      <c r="D1738" s="8" t="s">
        <v>64</v>
      </c>
      <c r="E1738" s="52">
        <v>1362</v>
      </c>
      <c r="F1738" s="13"/>
      <c r="G1738" s="13">
        <v>538.75</v>
      </c>
    </row>
    <row r="1739" spans="1:7" hidden="1" x14ac:dyDescent="0.75">
      <c r="A1739" s="51">
        <v>44928</v>
      </c>
      <c r="B1739" s="52">
        <v>1024</v>
      </c>
      <c r="C1739" s="8" t="s">
        <v>2495</v>
      </c>
      <c r="D1739" s="8" t="s">
        <v>64</v>
      </c>
      <c r="E1739" s="52">
        <v>1362</v>
      </c>
      <c r="F1739" s="13"/>
      <c r="G1739" s="13">
        <v>1754</v>
      </c>
    </row>
    <row r="1740" spans="1:7" hidden="1" x14ac:dyDescent="0.75">
      <c r="A1740" s="51">
        <v>44928</v>
      </c>
      <c r="B1740" s="52">
        <v>1024</v>
      </c>
      <c r="C1740" s="8" t="s">
        <v>2496</v>
      </c>
      <c r="D1740" s="8" t="s">
        <v>64</v>
      </c>
      <c r="E1740" s="52">
        <v>1362</v>
      </c>
      <c r="F1740" s="13"/>
      <c r="G1740" s="13">
        <v>3131</v>
      </c>
    </row>
    <row r="1741" spans="1:7" hidden="1" x14ac:dyDescent="0.75">
      <c r="A1741" s="51">
        <v>44928</v>
      </c>
      <c r="B1741" s="52">
        <v>1024</v>
      </c>
      <c r="C1741" s="8" t="s">
        <v>2497</v>
      </c>
      <c r="D1741" s="8" t="s">
        <v>64</v>
      </c>
      <c r="E1741" s="52">
        <v>1362</v>
      </c>
      <c r="F1741" s="13"/>
      <c r="G1741" s="13">
        <v>26352</v>
      </c>
    </row>
    <row r="1742" spans="1:7" hidden="1" x14ac:dyDescent="0.75">
      <c r="A1742" s="51">
        <v>44928</v>
      </c>
      <c r="B1742" s="52">
        <v>1024</v>
      </c>
      <c r="C1742" s="8" t="s">
        <v>2498</v>
      </c>
      <c r="D1742" s="8" t="s">
        <v>64</v>
      </c>
      <c r="E1742" s="52">
        <v>1362</v>
      </c>
      <c r="F1742" s="13"/>
      <c r="G1742" s="13">
        <v>2285</v>
      </c>
    </row>
    <row r="1743" spans="1:7" hidden="1" x14ac:dyDescent="0.75">
      <c r="A1743" s="51">
        <v>44928</v>
      </c>
      <c r="B1743" s="52">
        <v>1024</v>
      </c>
      <c r="C1743" s="8" t="s">
        <v>2499</v>
      </c>
      <c r="D1743" s="8" t="s">
        <v>64</v>
      </c>
      <c r="E1743" s="52">
        <v>1362</v>
      </c>
      <c r="F1743" s="13"/>
      <c r="G1743" s="13">
        <v>150</v>
      </c>
    </row>
    <row r="1744" spans="1:7" hidden="1" x14ac:dyDescent="0.75">
      <c r="A1744" s="51">
        <v>44928</v>
      </c>
      <c r="B1744" s="52">
        <v>1024</v>
      </c>
      <c r="C1744" s="8" t="s">
        <v>2500</v>
      </c>
      <c r="D1744" s="8" t="s">
        <v>64</v>
      </c>
      <c r="E1744" s="52">
        <v>1362</v>
      </c>
      <c r="F1744" s="13"/>
      <c r="G1744" s="13">
        <v>984</v>
      </c>
    </row>
    <row r="1745" spans="1:7" hidden="1" x14ac:dyDescent="0.75">
      <c r="A1745" s="51">
        <v>44928</v>
      </c>
      <c r="B1745" s="52">
        <v>1024</v>
      </c>
      <c r="C1745" s="8" t="s">
        <v>2501</v>
      </c>
      <c r="D1745" s="8" t="s">
        <v>64</v>
      </c>
      <c r="E1745" s="52">
        <v>1362</v>
      </c>
      <c r="F1745" s="13"/>
      <c r="G1745" s="13">
        <v>736</v>
      </c>
    </row>
    <row r="1746" spans="1:7" hidden="1" x14ac:dyDescent="0.75">
      <c r="A1746" s="51">
        <v>44928</v>
      </c>
      <c r="B1746" s="52">
        <v>1024</v>
      </c>
      <c r="C1746" s="8" t="s">
        <v>2502</v>
      </c>
      <c r="D1746" s="8" t="s">
        <v>64</v>
      </c>
      <c r="E1746" s="52">
        <v>1362</v>
      </c>
      <c r="F1746" s="13"/>
      <c r="G1746" s="13">
        <v>2530</v>
      </c>
    </row>
    <row r="1747" spans="1:7" hidden="1" x14ac:dyDescent="0.75">
      <c r="A1747" s="51">
        <v>44928</v>
      </c>
      <c r="B1747" s="52">
        <v>1024</v>
      </c>
      <c r="C1747" s="8" t="s">
        <v>2503</v>
      </c>
      <c r="D1747" s="8" t="s">
        <v>64</v>
      </c>
      <c r="E1747" s="52">
        <v>1362</v>
      </c>
      <c r="F1747" s="13"/>
      <c r="G1747" s="13">
        <v>14376</v>
      </c>
    </row>
    <row r="1748" spans="1:7" hidden="1" x14ac:dyDescent="0.75">
      <c r="A1748" s="51">
        <v>44928</v>
      </c>
      <c r="B1748" s="52">
        <v>1024</v>
      </c>
      <c r="C1748" s="8" t="s">
        <v>2504</v>
      </c>
      <c r="D1748" s="8" t="s">
        <v>64</v>
      </c>
      <c r="E1748" s="52">
        <v>1362</v>
      </c>
      <c r="F1748" s="13"/>
      <c r="G1748" s="13">
        <v>2318</v>
      </c>
    </row>
    <row r="1749" spans="1:7" hidden="1" x14ac:dyDescent="0.75">
      <c r="A1749" s="51">
        <v>44928</v>
      </c>
      <c r="B1749" s="52">
        <v>1024</v>
      </c>
      <c r="C1749" s="8" t="s">
        <v>2505</v>
      </c>
      <c r="D1749" s="8" t="s">
        <v>64</v>
      </c>
      <c r="E1749" s="52">
        <v>1362</v>
      </c>
      <c r="F1749" s="13"/>
      <c r="G1749" s="13">
        <v>460</v>
      </c>
    </row>
    <row r="1750" spans="1:7" hidden="1" x14ac:dyDescent="0.75">
      <c r="A1750" s="51">
        <v>44928</v>
      </c>
      <c r="B1750" s="52">
        <v>1024</v>
      </c>
      <c r="C1750" s="8" t="s">
        <v>2506</v>
      </c>
      <c r="D1750" s="8" t="s">
        <v>64</v>
      </c>
      <c r="E1750" s="52">
        <v>1362</v>
      </c>
      <c r="F1750" s="13"/>
      <c r="G1750" s="13">
        <v>3616</v>
      </c>
    </row>
    <row r="1751" spans="1:7" hidden="1" x14ac:dyDescent="0.75">
      <c r="A1751" s="51">
        <v>44928</v>
      </c>
      <c r="B1751" s="52">
        <v>1024</v>
      </c>
      <c r="C1751" s="8" t="s">
        <v>2507</v>
      </c>
      <c r="D1751" s="8" t="s">
        <v>64</v>
      </c>
      <c r="E1751" s="52">
        <v>1362</v>
      </c>
      <c r="F1751" s="13"/>
      <c r="G1751" s="13">
        <v>3079</v>
      </c>
    </row>
    <row r="1752" spans="1:7" hidden="1" x14ac:dyDescent="0.75">
      <c r="A1752" s="51">
        <v>44928</v>
      </c>
      <c r="B1752" s="52">
        <v>1024</v>
      </c>
      <c r="C1752" s="8" t="s">
        <v>2508</v>
      </c>
      <c r="D1752" s="8" t="s">
        <v>64</v>
      </c>
      <c r="E1752" s="52">
        <v>1362</v>
      </c>
      <c r="F1752" s="13"/>
      <c r="G1752" s="13">
        <v>2106</v>
      </c>
    </row>
    <row r="1753" spans="1:7" hidden="1" x14ac:dyDescent="0.75">
      <c r="A1753" s="51">
        <v>44928</v>
      </c>
      <c r="B1753" s="52">
        <v>1024</v>
      </c>
      <c r="C1753" s="8" t="s">
        <v>2509</v>
      </c>
      <c r="D1753" s="8" t="s">
        <v>64</v>
      </c>
      <c r="E1753" s="52">
        <v>1362</v>
      </c>
      <c r="F1753" s="13"/>
      <c r="G1753" s="13">
        <v>2549</v>
      </c>
    </row>
    <row r="1754" spans="1:7" hidden="1" x14ac:dyDescent="0.75">
      <c r="A1754" s="51">
        <v>44928</v>
      </c>
      <c r="B1754" s="52">
        <v>1024</v>
      </c>
      <c r="C1754" s="8" t="s">
        <v>2510</v>
      </c>
      <c r="D1754" s="8" t="s">
        <v>64</v>
      </c>
      <c r="E1754" s="52">
        <v>1362</v>
      </c>
      <c r="F1754" s="13"/>
      <c r="G1754" s="13">
        <v>3570</v>
      </c>
    </row>
    <row r="1755" spans="1:7" hidden="1" x14ac:dyDescent="0.75">
      <c r="A1755" s="51">
        <v>44928</v>
      </c>
      <c r="B1755" s="52">
        <v>1024</v>
      </c>
      <c r="C1755" s="8" t="s">
        <v>2511</v>
      </c>
      <c r="D1755" s="8" t="s">
        <v>64</v>
      </c>
      <c r="E1755" s="52">
        <v>1362</v>
      </c>
      <c r="F1755" s="13"/>
      <c r="G1755" s="13">
        <v>2380</v>
      </c>
    </row>
    <row r="1756" spans="1:7" hidden="1" x14ac:dyDescent="0.75">
      <c r="A1756" s="51">
        <v>44928</v>
      </c>
      <c r="B1756" s="52">
        <v>1024</v>
      </c>
      <c r="C1756" s="8" t="s">
        <v>2512</v>
      </c>
      <c r="D1756" s="8" t="s">
        <v>64</v>
      </c>
      <c r="E1756" s="52">
        <v>1362</v>
      </c>
      <c r="F1756" s="13"/>
      <c r="G1756" s="13">
        <v>28752</v>
      </c>
    </row>
    <row r="1757" spans="1:7" hidden="1" x14ac:dyDescent="0.75">
      <c r="A1757" s="51">
        <v>44928</v>
      </c>
      <c r="B1757" s="52">
        <v>1024</v>
      </c>
      <c r="C1757" s="8" t="s">
        <v>2513</v>
      </c>
      <c r="D1757" s="8" t="s">
        <v>64</v>
      </c>
      <c r="E1757" s="52">
        <v>1362</v>
      </c>
      <c r="F1757" s="13"/>
      <c r="G1757" s="13">
        <v>2104</v>
      </c>
    </row>
    <row r="1758" spans="1:7" hidden="1" x14ac:dyDescent="0.75">
      <c r="A1758" s="51">
        <v>44928</v>
      </c>
      <c r="B1758" s="52">
        <v>1024</v>
      </c>
      <c r="C1758" s="8" t="s">
        <v>2514</v>
      </c>
      <c r="D1758" s="8" t="s">
        <v>64</v>
      </c>
      <c r="E1758" s="52">
        <v>1362</v>
      </c>
      <c r="F1758" s="13"/>
      <c r="G1758" s="13">
        <v>2188</v>
      </c>
    </row>
    <row r="1759" spans="1:7" hidden="1" x14ac:dyDescent="0.75">
      <c r="A1759" s="51">
        <v>44928</v>
      </c>
      <c r="B1759" s="52">
        <v>1024</v>
      </c>
      <c r="C1759" s="8" t="s">
        <v>2515</v>
      </c>
      <c r="D1759" s="8" t="s">
        <v>64</v>
      </c>
      <c r="E1759" s="52">
        <v>1362</v>
      </c>
      <c r="F1759" s="13"/>
      <c r="G1759" s="13">
        <v>770.75</v>
      </c>
    </row>
    <row r="1760" spans="1:7" hidden="1" x14ac:dyDescent="0.75">
      <c r="A1760" s="51">
        <v>44928</v>
      </c>
      <c r="B1760" s="52">
        <v>1024</v>
      </c>
      <c r="C1760" s="8" t="s">
        <v>2516</v>
      </c>
      <c r="D1760" s="8" t="s">
        <v>64</v>
      </c>
      <c r="E1760" s="52">
        <v>1362</v>
      </c>
      <c r="F1760" s="13"/>
      <c r="G1760" s="13">
        <v>1519</v>
      </c>
    </row>
    <row r="1761" spans="1:7" hidden="1" x14ac:dyDescent="0.75">
      <c r="A1761" s="51">
        <v>44928</v>
      </c>
      <c r="B1761" s="52">
        <v>1024</v>
      </c>
      <c r="C1761" s="8" t="s">
        <v>2517</v>
      </c>
      <c r="D1761" s="8" t="s">
        <v>64</v>
      </c>
      <c r="E1761" s="52">
        <v>1362</v>
      </c>
      <c r="F1761" s="13"/>
      <c r="G1761" s="13">
        <v>2904</v>
      </c>
    </row>
    <row r="1762" spans="1:7" hidden="1" x14ac:dyDescent="0.75">
      <c r="A1762" s="51">
        <v>44928</v>
      </c>
      <c r="B1762" s="52">
        <v>1024</v>
      </c>
      <c r="C1762" s="8" t="s">
        <v>2518</v>
      </c>
      <c r="D1762" s="8" t="s">
        <v>64</v>
      </c>
      <c r="E1762" s="52">
        <v>1362</v>
      </c>
      <c r="F1762" s="13"/>
      <c r="G1762" s="13">
        <v>1817</v>
      </c>
    </row>
    <row r="1763" spans="1:7" hidden="1" x14ac:dyDescent="0.75">
      <c r="A1763" s="51">
        <v>44928</v>
      </c>
      <c r="B1763" s="52">
        <v>1024</v>
      </c>
      <c r="C1763" s="8" t="s">
        <v>2519</v>
      </c>
      <c r="D1763" s="8" t="s">
        <v>64</v>
      </c>
      <c r="E1763" s="52">
        <v>1362</v>
      </c>
      <c r="F1763" s="13"/>
      <c r="G1763" s="13">
        <v>2659</v>
      </c>
    </row>
    <row r="1764" spans="1:7" hidden="1" x14ac:dyDescent="0.75">
      <c r="A1764" s="51">
        <v>44928</v>
      </c>
      <c r="B1764" s="52">
        <v>1024</v>
      </c>
      <c r="C1764" s="8" t="s">
        <v>2520</v>
      </c>
      <c r="D1764" s="8" t="s">
        <v>64</v>
      </c>
      <c r="E1764" s="52">
        <v>1362</v>
      </c>
      <c r="F1764" s="13"/>
      <c r="G1764" s="13">
        <v>3784</v>
      </c>
    </row>
    <row r="1765" spans="1:7" hidden="1" x14ac:dyDescent="0.75">
      <c r="A1765" s="51">
        <v>44928</v>
      </c>
      <c r="B1765" s="52">
        <v>1024</v>
      </c>
      <c r="C1765" s="8" t="s">
        <v>2521</v>
      </c>
      <c r="D1765" s="8" t="s">
        <v>64</v>
      </c>
      <c r="E1765" s="52">
        <v>1362</v>
      </c>
      <c r="F1765" s="13"/>
      <c r="G1765" s="13">
        <v>4046</v>
      </c>
    </row>
    <row r="1766" spans="1:7" hidden="1" x14ac:dyDescent="0.75">
      <c r="A1766" s="51">
        <v>44929</v>
      </c>
      <c r="B1766" s="52">
        <v>1024</v>
      </c>
      <c r="C1766" s="8" t="s">
        <v>2522</v>
      </c>
      <c r="D1766" s="8" t="s">
        <v>64</v>
      </c>
      <c r="E1766" s="52">
        <v>408</v>
      </c>
      <c r="F1766" s="13">
        <v>1288</v>
      </c>
      <c r="G1766" s="13"/>
    </row>
    <row r="1767" spans="1:7" hidden="1" x14ac:dyDescent="0.75">
      <c r="A1767" s="51">
        <v>44929</v>
      </c>
      <c r="B1767" s="52">
        <v>1024</v>
      </c>
      <c r="C1767" s="8" t="s">
        <v>2523</v>
      </c>
      <c r="D1767" s="8" t="s">
        <v>64</v>
      </c>
      <c r="E1767" s="52">
        <v>408</v>
      </c>
      <c r="F1767" s="13">
        <v>4250</v>
      </c>
      <c r="G1767" s="13"/>
    </row>
    <row r="1768" spans="1:7" hidden="1" x14ac:dyDescent="0.75">
      <c r="A1768" s="51">
        <v>44929</v>
      </c>
      <c r="B1768" s="52">
        <v>1024</v>
      </c>
      <c r="C1768" s="8" t="s">
        <v>2524</v>
      </c>
      <c r="D1768" s="8" t="s">
        <v>64</v>
      </c>
      <c r="E1768" s="52">
        <v>408</v>
      </c>
      <c r="F1768" s="13">
        <v>356.25</v>
      </c>
      <c r="G1768" s="13"/>
    </row>
    <row r="1769" spans="1:7" hidden="1" x14ac:dyDescent="0.75">
      <c r="A1769" s="51">
        <v>44930</v>
      </c>
      <c r="B1769" s="52">
        <v>1024</v>
      </c>
      <c r="C1769" s="8" t="s">
        <v>2525</v>
      </c>
      <c r="D1769" s="8" t="s">
        <v>64</v>
      </c>
      <c r="E1769" s="52">
        <v>408</v>
      </c>
      <c r="F1769" s="13">
        <v>1335</v>
      </c>
      <c r="G1769" s="13"/>
    </row>
    <row r="1770" spans="1:7" hidden="1" x14ac:dyDescent="0.75">
      <c r="A1770" s="51">
        <v>44930</v>
      </c>
      <c r="B1770" s="52">
        <v>1024</v>
      </c>
      <c r="C1770" s="8" t="s">
        <v>2526</v>
      </c>
      <c r="D1770" s="8" t="s">
        <v>64</v>
      </c>
      <c r="E1770" s="52">
        <v>408</v>
      </c>
      <c r="F1770" s="13">
        <v>960</v>
      </c>
      <c r="G1770" s="13"/>
    </row>
    <row r="1771" spans="1:7" hidden="1" x14ac:dyDescent="0.75">
      <c r="A1771" s="51">
        <v>44931</v>
      </c>
      <c r="B1771" s="52">
        <v>1024</v>
      </c>
      <c r="C1771" s="8" t="s">
        <v>2527</v>
      </c>
      <c r="D1771" s="8" t="s">
        <v>64</v>
      </c>
      <c r="E1771" s="52">
        <v>408</v>
      </c>
      <c r="F1771" s="13">
        <v>1863</v>
      </c>
      <c r="G1771" s="13"/>
    </row>
    <row r="1772" spans="1:7" hidden="1" x14ac:dyDescent="0.75">
      <c r="A1772" s="51">
        <v>44931</v>
      </c>
      <c r="B1772" s="52">
        <v>1024</v>
      </c>
      <c r="C1772" s="8" t="s">
        <v>2528</v>
      </c>
      <c r="D1772" s="8" t="s">
        <v>64</v>
      </c>
      <c r="E1772" s="52">
        <v>408</v>
      </c>
      <c r="F1772" s="13">
        <v>184</v>
      </c>
      <c r="G1772" s="13"/>
    </row>
    <row r="1773" spans="1:7" hidden="1" x14ac:dyDescent="0.75">
      <c r="A1773" s="51">
        <v>44931</v>
      </c>
      <c r="B1773" s="52">
        <v>1024</v>
      </c>
      <c r="C1773" s="8" t="s">
        <v>2529</v>
      </c>
      <c r="D1773" s="8" t="s">
        <v>64</v>
      </c>
      <c r="E1773" s="52">
        <v>408</v>
      </c>
      <c r="F1773" s="13">
        <v>4320</v>
      </c>
      <c r="G1773" s="13"/>
    </row>
    <row r="1774" spans="1:7" hidden="1" x14ac:dyDescent="0.75">
      <c r="A1774" s="51">
        <v>44931</v>
      </c>
      <c r="B1774" s="52">
        <v>1024</v>
      </c>
      <c r="C1774" s="8" t="s">
        <v>2530</v>
      </c>
      <c r="D1774" s="8" t="s">
        <v>64</v>
      </c>
      <c r="E1774" s="52">
        <v>408</v>
      </c>
      <c r="F1774" s="13">
        <v>240</v>
      </c>
      <c r="G1774" s="13"/>
    </row>
    <row r="1775" spans="1:7" hidden="1" x14ac:dyDescent="0.75">
      <c r="A1775" s="51">
        <v>44931</v>
      </c>
      <c r="B1775" s="52">
        <v>1024</v>
      </c>
      <c r="C1775" s="8" t="s">
        <v>2531</v>
      </c>
      <c r="D1775" s="8" t="s">
        <v>64</v>
      </c>
      <c r="E1775" s="52">
        <v>408</v>
      </c>
      <c r="F1775" s="13">
        <v>630</v>
      </c>
      <c r="G1775" s="13"/>
    </row>
    <row r="1776" spans="1:7" hidden="1" x14ac:dyDescent="0.75">
      <c r="A1776" s="51">
        <v>44931</v>
      </c>
      <c r="B1776" s="52">
        <v>1024</v>
      </c>
      <c r="C1776" s="8" t="s">
        <v>2532</v>
      </c>
      <c r="D1776" s="8" t="s">
        <v>64</v>
      </c>
      <c r="E1776" s="52">
        <v>408</v>
      </c>
      <c r="F1776" s="13">
        <v>915.75</v>
      </c>
      <c r="G1776" s="13"/>
    </row>
    <row r="1777" spans="1:7" hidden="1" x14ac:dyDescent="0.75">
      <c r="A1777" s="51">
        <v>44931</v>
      </c>
      <c r="B1777" s="52">
        <v>1024</v>
      </c>
      <c r="C1777" s="8" t="s">
        <v>2533</v>
      </c>
      <c r="D1777" s="8" t="s">
        <v>64</v>
      </c>
      <c r="E1777" s="52">
        <v>408</v>
      </c>
      <c r="F1777" s="13">
        <v>1440</v>
      </c>
      <c r="G1777" s="13"/>
    </row>
    <row r="1778" spans="1:7" hidden="1" x14ac:dyDescent="0.75">
      <c r="A1778" s="51">
        <v>44932</v>
      </c>
      <c r="B1778" s="52">
        <v>1024</v>
      </c>
      <c r="C1778" s="8" t="s">
        <v>2534</v>
      </c>
      <c r="D1778" s="8" t="s">
        <v>64</v>
      </c>
      <c r="E1778" s="52">
        <v>408</v>
      </c>
      <c r="F1778" s="13">
        <v>2339.6999999999998</v>
      </c>
      <c r="G1778" s="13"/>
    </row>
    <row r="1779" spans="1:7" hidden="1" x14ac:dyDescent="0.75">
      <c r="A1779" s="51">
        <v>44932</v>
      </c>
      <c r="B1779" s="52">
        <v>1024</v>
      </c>
      <c r="C1779" s="8" t="s">
        <v>2535</v>
      </c>
      <c r="D1779" s="8" t="s">
        <v>64</v>
      </c>
      <c r="E1779" s="52">
        <v>408</v>
      </c>
      <c r="F1779" s="13">
        <v>447.5</v>
      </c>
      <c r="G1779" s="13"/>
    </row>
    <row r="1780" spans="1:7" hidden="1" x14ac:dyDescent="0.75">
      <c r="A1780" s="51">
        <v>44932</v>
      </c>
      <c r="B1780" s="52">
        <v>1024</v>
      </c>
      <c r="C1780" s="8" t="s">
        <v>2536</v>
      </c>
      <c r="D1780" s="8" t="s">
        <v>64</v>
      </c>
      <c r="E1780" s="52">
        <v>408</v>
      </c>
      <c r="F1780" s="13">
        <v>1723</v>
      </c>
      <c r="G1780" s="13"/>
    </row>
    <row r="1781" spans="1:7" hidden="1" x14ac:dyDescent="0.75">
      <c r="A1781" s="51">
        <v>44932</v>
      </c>
      <c r="B1781" s="52">
        <v>1024</v>
      </c>
      <c r="C1781" s="8" t="s">
        <v>2537</v>
      </c>
      <c r="D1781" s="8" t="s">
        <v>64</v>
      </c>
      <c r="E1781" s="52">
        <v>408</v>
      </c>
      <c r="F1781" s="13">
        <v>2930</v>
      </c>
      <c r="G1781" s="13"/>
    </row>
    <row r="1782" spans="1:7" hidden="1" x14ac:dyDescent="0.75">
      <c r="A1782" s="51">
        <v>44933</v>
      </c>
      <c r="B1782" s="52">
        <v>1024</v>
      </c>
      <c r="C1782" s="8" t="s">
        <v>2538</v>
      </c>
      <c r="D1782" s="8" t="s">
        <v>64</v>
      </c>
      <c r="E1782" s="52">
        <v>408</v>
      </c>
      <c r="F1782" s="13">
        <v>2716</v>
      </c>
      <c r="G1782" s="13"/>
    </row>
    <row r="1783" spans="1:7" hidden="1" x14ac:dyDescent="0.75">
      <c r="A1783" s="51">
        <v>44933</v>
      </c>
      <c r="B1783" s="52">
        <v>1024</v>
      </c>
      <c r="C1783" s="8" t="s">
        <v>2539</v>
      </c>
      <c r="D1783" s="8" t="s">
        <v>64</v>
      </c>
      <c r="E1783" s="52">
        <v>408</v>
      </c>
      <c r="F1783" s="13">
        <v>5800</v>
      </c>
      <c r="G1783" s="13"/>
    </row>
    <row r="1784" spans="1:7" hidden="1" x14ac:dyDescent="0.75">
      <c r="A1784" s="51">
        <v>44935</v>
      </c>
      <c r="B1784" s="52">
        <v>1024</v>
      </c>
      <c r="C1784" s="8" t="s">
        <v>2540</v>
      </c>
      <c r="D1784" s="8" t="s">
        <v>64</v>
      </c>
      <c r="E1784" s="52">
        <v>408</v>
      </c>
      <c r="F1784" s="13">
        <v>1280</v>
      </c>
      <c r="G1784" s="13"/>
    </row>
    <row r="1785" spans="1:7" hidden="1" x14ac:dyDescent="0.75">
      <c r="A1785" s="51">
        <v>44935</v>
      </c>
      <c r="B1785" s="52">
        <v>1024</v>
      </c>
      <c r="C1785" s="8" t="s">
        <v>2541</v>
      </c>
      <c r="D1785" s="8" t="s">
        <v>64</v>
      </c>
      <c r="E1785" s="52">
        <v>408</v>
      </c>
      <c r="F1785" s="13">
        <v>2291</v>
      </c>
      <c r="G1785" s="13"/>
    </row>
    <row r="1786" spans="1:7" hidden="1" x14ac:dyDescent="0.75">
      <c r="A1786" s="51">
        <v>44935</v>
      </c>
      <c r="B1786" s="52">
        <v>1024</v>
      </c>
      <c r="C1786" s="8" t="s">
        <v>2542</v>
      </c>
      <c r="D1786" s="8" t="s">
        <v>64</v>
      </c>
      <c r="E1786" s="52">
        <v>408</v>
      </c>
      <c r="F1786" s="13">
        <v>322</v>
      </c>
      <c r="G1786" s="13"/>
    </row>
    <row r="1787" spans="1:7" hidden="1" x14ac:dyDescent="0.75">
      <c r="A1787" s="51">
        <v>44935</v>
      </c>
      <c r="B1787" s="52">
        <v>1024</v>
      </c>
      <c r="C1787" s="8" t="s">
        <v>2543</v>
      </c>
      <c r="D1787" s="8" t="s">
        <v>64</v>
      </c>
      <c r="E1787" s="52">
        <v>408</v>
      </c>
      <c r="F1787" s="13">
        <v>340</v>
      </c>
      <c r="G1787" s="13"/>
    </row>
    <row r="1788" spans="1:7" hidden="1" x14ac:dyDescent="0.75">
      <c r="A1788" s="51">
        <v>44935</v>
      </c>
      <c r="B1788" s="52">
        <v>1024</v>
      </c>
      <c r="C1788" s="8" t="s">
        <v>2544</v>
      </c>
      <c r="D1788" s="8" t="s">
        <v>64</v>
      </c>
      <c r="E1788" s="52">
        <v>408</v>
      </c>
      <c r="F1788" s="13">
        <v>2283</v>
      </c>
      <c r="G1788" s="13"/>
    </row>
    <row r="1789" spans="1:7" hidden="1" x14ac:dyDescent="0.75">
      <c r="A1789" s="51">
        <v>44936</v>
      </c>
      <c r="B1789" s="52">
        <v>1024</v>
      </c>
      <c r="C1789" s="8" t="s">
        <v>2545</v>
      </c>
      <c r="D1789" s="8" t="s">
        <v>64</v>
      </c>
      <c r="E1789" s="52">
        <v>408</v>
      </c>
      <c r="F1789" s="13">
        <v>89.5</v>
      </c>
      <c r="G1789" s="13"/>
    </row>
    <row r="1790" spans="1:7" hidden="1" x14ac:dyDescent="0.75">
      <c r="A1790" s="51">
        <v>44936</v>
      </c>
      <c r="B1790" s="52">
        <v>1024</v>
      </c>
      <c r="C1790" s="8" t="s">
        <v>2546</v>
      </c>
      <c r="D1790" s="8" t="s">
        <v>64</v>
      </c>
      <c r="E1790" s="52">
        <v>408</v>
      </c>
      <c r="F1790" s="13">
        <v>1736.6</v>
      </c>
      <c r="G1790" s="13"/>
    </row>
    <row r="1791" spans="1:7" hidden="1" x14ac:dyDescent="0.75">
      <c r="A1791" s="51">
        <v>44936</v>
      </c>
      <c r="B1791" s="52">
        <v>1024</v>
      </c>
      <c r="C1791" s="8" t="s">
        <v>2547</v>
      </c>
      <c r="D1791" s="8" t="s">
        <v>64</v>
      </c>
      <c r="E1791" s="52">
        <v>408</v>
      </c>
      <c r="F1791" s="13">
        <v>4811</v>
      </c>
      <c r="G1791" s="13"/>
    </row>
    <row r="1792" spans="1:7" hidden="1" x14ac:dyDescent="0.75">
      <c r="A1792" s="51">
        <v>44936</v>
      </c>
      <c r="B1792" s="52">
        <v>1024</v>
      </c>
      <c r="C1792" s="8" t="s">
        <v>2548</v>
      </c>
      <c r="D1792" s="8" t="s">
        <v>64</v>
      </c>
      <c r="E1792" s="52">
        <v>408</v>
      </c>
      <c r="F1792" s="13">
        <v>2178</v>
      </c>
      <c r="G1792" s="13"/>
    </row>
    <row r="1793" spans="1:7" hidden="1" x14ac:dyDescent="0.75">
      <c r="A1793" s="51">
        <v>44936</v>
      </c>
      <c r="B1793" s="52">
        <v>1024</v>
      </c>
      <c r="C1793" s="8" t="s">
        <v>2549</v>
      </c>
      <c r="D1793" s="8" t="s">
        <v>64</v>
      </c>
      <c r="E1793" s="52">
        <v>408</v>
      </c>
      <c r="F1793" s="13">
        <v>1184.25</v>
      </c>
      <c r="G1793" s="13"/>
    </row>
    <row r="1794" spans="1:7" hidden="1" x14ac:dyDescent="0.75">
      <c r="A1794" s="51">
        <v>44936</v>
      </c>
      <c r="B1794" s="52">
        <v>1024</v>
      </c>
      <c r="C1794" s="8" t="s">
        <v>2550</v>
      </c>
      <c r="D1794" s="8" t="s">
        <v>64</v>
      </c>
      <c r="E1794" s="52">
        <v>1362</v>
      </c>
      <c r="F1794" s="13"/>
      <c r="G1794" s="13">
        <v>2216</v>
      </c>
    </row>
    <row r="1795" spans="1:7" hidden="1" x14ac:dyDescent="0.75">
      <c r="A1795" s="51">
        <v>44936</v>
      </c>
      <c r="B1795" s="52">
        <v>1024</v>
      </c>
      <c r="C1795" s="8" t="s">
        <v>2551</v>
      </c>
      <c r="D1795" s="8" t="s">
        <v>64</v>
      </c>
      <c r="E1795" s="52">
        <v>1362</v>
      </c>
      <c r="F1795" s="13"/>
      <c r="G1795" s="13">
        <v>2195</v>
      </c>
    </row>
    <row r="1796" spans="1:7" hidden="1" x14ac:dyDescent="0.75">
      <c r="A1796" s="51">
        <v>44936</v>
      </c>
      <c r="B1796" s="52">
        <v>1024</v>
      </c>
      <c r="C1796" s="8" t="s">
        <v>2552</v>
      </c>
      <c r="D1796" s="8" t="s">
        <v>64</v>
      </c>
      <c r="E1796" s="52">
        <v>1362</v>
      </c>
      <c r="F1796" s="13"/>
      <c r="G1796" s="13">
        <v>3227</v>
      </c>
    </row>
    <row r="1797" spans="1:7" hidden="1" x14ac:dyDescent="0.75">
      <c r="A1797" s="51">
        <v>44936</v>
      </c>
      <c r="B1797" s="52">
        <v>1024</v>
      </c>
      <c r="C1797" s="8" t="s">
        <v>2553</v>
      </c>
      <c r="D1797" s="8" t="s">
        <v>64</v>
      </c>
      <c r="E1797" s="52">
        <v>1362</v>
      </c>
      <c r="F1797" s="13"/>
      <c r="G1797" s="13">
        <v>2102</v>
      </c>
    </row>
    <row r="1798" spans="1:7" hidden="1" x14ac:dyDescent="0.75">
      <c r="A1798" s="51">
        <v>44936</v>
      </c>
      <c r="B1798" s="52">
        <v>1024</v>
      </c>
      <c r="C1798" s="8" t="s">
        <v>2554</v>
      </c>
      <c r="D1798" s="8" t="s">
        <v>64</v>
      </c>
      <c r="E1798" s="52">
        <v>1362</v>
      </c>
      <c r="F1798" s="13"/>
      <c r="G1798" s="13">
        <v>16740</v>
      </c>
    </row>
    <row r="1799" spans="1:7" hidden="1" x14ac:dyDescent="0.75">
      <c r="A1799" s="51">
        <v>44936</v>
      </c>
      <c r="B1799" s="52">
        <v>1024</v>
      </c>
      <c r="C1799" s="8" t="s">
        <v>2555</v>
      </c>
      <c r="D1799" s="8" t="s">
        <v>64</v>
      </c>
      <c r="E1799" s="52">
        <v>1362</v>
      </c>
      <c r="F1799" s="13"/>
      <c r="G1799" s="13">
        <v>8370</v>
      </c>
    </row>
    <row r="1800" spans="1:7" hidden="1" x14ac:dyDescent="0.75">
      <c r="A1800" s="51">
        <v>44936</v>
      </c>
      <c r="B1800" s="52">
        <v>1024</v>
      </c>
      <c r="C1800" s="8" t="s">
        <v>2556</v>
      </c>
      <c r="D1800" s="8" t="s">
        <v>64</v>
      </c>
      <c r="E1800" s="52">
        <v>1362</v>
      </c>
      <c r="F1800" s="13"/>
      <c r="G1800" s="13">
        <v>1844</v>
      </c>
    </row>
    <row r="1801" spans="1:7" hidden="1" x14ac:dyDescent="0.75">
      <c r="A1801" s="51">
        <v>44936</v>
      </c>
      <c r="B1801" s="52">
        <v>1024</v>
      </c>
      <c r="C1801" s="8" t="s">
        <v>2557</v>
      </c>
      <c r="D1801" s="8" t="s">
        <v>64</v>
      </c>
      <c r="E1801" s="52">
        <v>1362</v>
      </c>
      <c r="F1801" s="13"/>
      <c r="G1801" s="13">
        <v>3110</v>
      </c>
    </row>
    <row r="1802" spans="1:7" hidden="1" x14ac:dyDescent="0.75">
      <c r="A1802" s="51">
        <v>44936</v>
      </c>
      <c r="B1802" s="52">
        <v>1024</v>
      </c>
      <c r="C1802" s="8" t="s">
        <v>2558</v>
      </c>
      <c r="D1802" s="8" t="s">
        <v>64</v>
      </c>
      <c r="E1802" s="52">
        <v>1362</v>
      </c>
      <c r="F1802" s="13"/>
      <c r="G1802" s="13">
        <v>272</v>
      </c>
    </row>
    <row r="1803" spans="1:7" hidden="1" x14ac:dyDescent="0.75">
      <c r="A1803" s="51">
        <v>44936</v>
      </c>
      <c r="B1803" s="52">
        <v>1024</v>
      </c>
      <c r="C1803" s="8" t="s">
        <v>2559</v>
      </c>
      <c r="D1803" s="8" t="s">
        <v>64</v>
      </c>
      <c r="E1803" s="52">
        <v>1362</v>
      </c>
      <c r="F1803" s="13"/>
      <c r="G1803" s="13">
        <v>252</v>
      </c>
    </row>
    <row r="1804" spans="1:7" hidden="1" x14ac:dyDescent="0.75">
      <c r="A1804" s="51">
        <v>44936</v>
      </c>
      <c r="B1804" s="52">
        <v>1024</v>
      </c>
      <c r="C1804" s="8" t="s">
        <v>2560</v>
      </c>
      <c r="D1804" s="8" t="s">
        <v>64</v>
      </c>
      <c r="E1804" s="52">
        <v>1362</v>
      </c>
      <c r="F1804" s="13"/>
      <c r="G1804" s="13">
        <v>1946</v>
      </c>
    </row>
    <row r="1805" spans="1:7" hidden="1" x14ac:dyDescent="0.75">
      <c r="A1805" s="51">
        <v>44936</v>
      </c>
      <c r="B1805" s="52">
        <v>1024</v>
      </c>
      <c r="C1805" s="8" t="s">
        <v>2561</v>
      </c>
      <c r="D1805" s="8" t="s">
        <v>64</v>
      </c>
      <c r="E1805" s="52">
        <v>1362</v>
      </c>
      <c r="F1805" s="13"/>
      <c r="G1805" s="13">
        <v>969</v>
      </c>
    </row>
    <row r="1806" spans="1:7" hidden="1" x14ac:dyDescent="0.75">
      <c r="A1806" s="51">
        <v>44936</v>
      </c>
      <c r="B1806" s="52">
        <v>1024</v>
      </c>
      <c r="C1806" s="8" t="s">
        <v>2562</v>
      </c>
      <c r="D1806" s="8" t="s">
        <v>64</v>
      </c>
      <c r="E1806" s="52">
        <v>1362</v>
      </c>
      <c r="F1806" s="13"/>
      <c r="G1806" s="13">
        <v>3494</v>
      </c>
    </row>
    <row r="1807" spans="1:7" hidden="1" x14ac:dyDescent="0.75">
      <c r="A1807" s="51">
        <v>44936</v>
      </c>
      <c r="B1807" s="52">
        <v>1024</v>
      </c>
      <c r="C1807" s="8" t="s">
        <v>2563</v>
      </c>
      <c r="D1807" s="8" t="s">
        <v>64</v>
      </c>
      <c r="E1807" s="52">
        <v>1362</v>
      </c>
      <c r="F1807" s="13"/>
      <c r="G1807" s="13">
        <v>2539</v>
      </c>
    </row>
    <row r="1808" spans="1:7" hidden="1" x14ac:dyDescent="0.75">
      <c r="A1808" s="51">
        <v>44936</v>
      </c>
      <c r="B1808" s="52">
        <v>1024</v>
      </c>
      <c r="C1808" s="8" t="s">
        <v>2564</v>
      </c>
      <c r="D1808" s="8" t="s">
        <v>64</v>
      </c>
      <c r="E1808" s="52">
        <v>1362</v>
      </c>
      <c r="F1808" s="13"/>
      <c r="G1808" s="13">
        <v>4468</v>
      </c>
    </row>
    <row r="1809" spans="1:7" hidden="1" x14ac:dyDescent="0.75">
      <c r="A1809" s="51">
        <v>44936</v>
      </c>
      <c r="B1809" s="52">
        <v>1024</v>
      </c>
      <c r="C1809" s="8" t="s">
        <v>2565</v>
      </c>
      <c r="D1809" s="8" t="s">
        <v>64</v>
      </c>
      <c r="E1809" s="52">
        <v>1362</v>
      </c>
      <c r="F1809" s="13"/>
      <c r="G1809" s="13">
        <v>3674</v>
      </c>
    </row>
    <row r="1810" spans="1:7" hidden="1" x14ac:dyDescent="0.75">
      <c r="A1810" s="51">
        <v>44937</v>
      </c>
      <c r="B1810" s="52">
        <v>1024</v>
      </c>
      <c r="C1810" s="8" t="s">
        <v>2566</v>
      </c>
      <c r="D1810" s="8" t="s">
        <v>64</v>
      </c>
      <c r="E1810" s="52">
        <v>408</v>
      </c>
      <c r="F1810" s="13">
        <v>1156</v>
      </c>
      <c r="G1810" s="13"/>
    </row>
    <row r="1811" spans="1:7" hidden="1" x14ac:dyDescent="0.75">
      <c r="A1811" s="51">
        <v>44937</v>
      </c>
      <c r="B1811" s="52">
        <v>1024</v>
      </c>
      <c r="C1811" s="8" t="s">
        <v>2567</v>
      </c>
      <c r="D1811" s="8" t="s">
        <v>64</v>
      </c>
      <c r="E1811" s="52">
        <v>408</v>
      </c>
      <c r="F1811" s="13">
        <v>268.5</v>
      </c>
      <c r="G1811" s="13"/>
    </row>
    <row r="1812" spans="1:7" hidden="1" x14ac:dyDescent="0.75">
      <c r="A1812" s="51">
        <v>44937</v>
      </c>
      <c r="B1812" s="52">
        <v>1024</v>
      </c>
      <c r="C1812" s="8" t="s">
        <v>2568</v>
      </c>
      <c r="D1812" s="8" t="s">
        <v>64</v>
      </c>
      <c r="E1812" s="52">
        <v>408</v>
      </c>
      <c r="F1812" s="13">
        <v>1852.1</v>
      </c>
      <c r="G1812" s="13"/>
    </row>
    <row r="1813" spans="1:7" hidden="1" x14ac:dyDescent="0.75">
      <c r="A1813" s="51">
        <v>44937</v>
      </c>
      <c r="B1813" s="52">
        <v>1024</v>
      </c>
      <c r="C1813" s="8" t="s">
        <v>2569</v>
      </c>
      <c r="D1813" s="8" t="s">
        <v>64</v>
      </c>
      <c r="E1813" s="52">
        <v>408</v>
      </c>
      <c r="F1813" s="13">
        <v>2306</v>
      </c>
      <c r="G1813" s="13"/>
    </row>
    <row r="1814" spans="1:7" hidden="1" x14ac:dyDescent="0.75">
      <c r="A1814" s="51">
        <v>44937</v>
      </c>
      <c r="B1814" s="52">
        <v>1024</v>
      </c>
      <c r="C1814" s="8" t="s">
        <v>2570</v>
      </c>
      <c r="D1814" s="8" t="s">
        <v>64</v>
      </c>
      <c r="E1814" s="52">
        <v>408</v>
      </c>
      <c r="F1814" s="13">
        <v>2126</v>
      </c>
      <c r="G1814" s="13"/>
    </row>
    <row r="1815" spans="1:7" hidden="1" x14ac:dyDescent="0.75">
      <c r="A1815" s="51">
        <v>44938</v>
      </c>
      <c r="B1815" s="52">
        <v>1024</v>
      </c>
      <c r="C1815" s="8" t="s">
        <v>2571</v>
      </c>
      <c r="D1815" s="8" t="s">
        <v>64</v>
      </c>
      <c r="E1815" s="52">
        <v>408</v>
      </c>
      <c r="F1815" s="13">
        <v>7140</v>
      </c>
      <c r="G1815" s="13"/>
    </row>
    <row r="1816" spans="1:7" hidden="1" x14ac:dyDescent="0.75">
      <c r="A1816" s="51">
        <v>44938</v>
      </c>
      <c r="B1816" s="52">
        <v>1024</v>
      </c>
      <c r="C1816" s="8" t="s">
        <v>2572</v>
      </c>
      <c r="D1816" s="8" t="s">
        <v>64</v>
      </c>
      <c r="E1816" s="52">
        <v>408</v>
      </c>
      <c r="F1816" s="13">
        <v>1783.9</v>
      </c>
      <c r="G1816" s="13"/>
    </row>
    <row r="1817" spans="1:7" hidden="1" x14ac:dyDescent="0.75">
      <c r="A1817" s="51">
        <v>44939</v>
      </c>
      <c r="B1817" s="52">
        <v>1024</v>
      </c>
      <c r="C1817" s="8" t="s">
        <v>2573</v>
      </c>
      <c r="D1817" s="8" t="s">
        <v>64</v>
      </c>
      <c r="E1817" s="52">
        <v>408</v>
      </c>
      <c r="F1817" s="13">
        <v>181.25</v>
      </c>
      <c r="G1817" s="13"/>
    </row>
    <row r="1818" spans="1:7" hidden="1" x14ac:dyDescent="0.75">
      <c r="A1818" s="51">
        <v>44939</v>
      </c>
      <c r="B1818" s="52">
        <v>1024</v>
      </c>
      <c r="C1818" s="8" t="s">
        <v>2574</v>
      </c>
      <c r="D1818" s="8" t="s">
        <v>64</v>
      </c>
      <c r="E1818" s="52">
        <v>408</v>
      </c>
      <c r="F1818" s="13">
        <v>720</v>
      </c>
      <c r="G1818" s="13"/>
    </row>
    <row r="1819" spans="1:7" hidden="1" x14ac:dyDescent="0.75">
      <c r="A1819" s="51">
        <v>44939</v>
      </c>
      <c r="B1819" s="52">
        <v>1024</v>
      </c>
      <c r="C1819" s="8" t="s">
        <v>2575</v>
      </c>
      <c r="D1819" s="8" t="s">
        <v>64</v>
      </c>
      <c r="E1819" s="52">
        <v>408</v>
      </c>
      <c r="F1819" s="13">
        <v>408</v>
      </c>
      <c r="G1819" s="13"/>
    </row>
    <row r="1820" spans="1:7" hidden="1" x14ac:dyDescent="0.75">
      <c r="A1820" s="51">
        <v>44939</v>
      </c>
      <c r="B1820" s="52">
        <v>1024</v>
      </c>
      <c r="C1820" s="8" t="s">
        <v>2576</v>
      </c>
      <c r="D1820" s="8" t="s">
        <v>64</v>
      </c>
      <c r="E1820" s="52">
        <v>408</v>
      </c>
      <c r="F1820" s="13">
        <v>184</v>
      </c>
      <c r="G1820" s="13"/>
    </row>
    <row r="1821" spans="1:7" hidden="1" x14ac:dyDescent="0.75">
      <c r="A1821" s="51">
        <v>44939</v>
      </c>
      <c r="B1821" s="52">
        <v>1024</v>
      </c>
      <c r="C1821" s="8" t="s">
        <v>2577</v>
      </c>
      <c r="D1821" s="8" t="s">
        <v>64</v>
      </c>
      <c r="E1821" s="52">
        <v>408</v>
      </c>
      <c r="F1821" s="13">
        <v>912</v>
      </c>
      <c r="G1821" s="13"/>
    </row>
    <row r="1822" spans="1:7" hidden="1" x14ac:dyDescent="0.75">
      <c r="A1822" s="51">
        <v>44939</v>
      </c>
      <c r="B1822" s="52">
        <v>1024</v>
      </c>
      <c r="C1822" s="8" t="s">
        <v>2578</v>
      </c>
      <c r="D1822" s="8" t="s">
        <v>64</v>
      </c>
      <c r="E1822" s="52">
        <v>408</v>
      </c>
      <c r="F1822" s="13">
        <v>2172</v>
      </c>
      <c r="G1822" s="13"/>
    </row>
    <row r="1823" spans="1:7" hidden="1" x14ac:dyDescent="0.75">
      <c r="A1823" s="51">
        <v>44939</v>
      </c>
      <c r="B1823" s="52">
        <v>1024</v>
      </c>
      <c r="C1823" s="8" t="s">
        <v>2579</v>
      </c>
      <c r="D1823" s="8" t="s">
        <v>64</v>
      </c>
      <c r="E1823" s="52">
        <v>408</v>
      </c>
      <c r="F1823" s="13">
        <v>4980</v>
      </c>
      <c r="G1823" s="13"/>
    </row>
    <row r="1824" spans="1:7" hidden="1" x14ac:dyDescent="0.75">
      <c r="A1824" s="51">
        <v>44939</v>
      </c>
      <c r="B1824" s="52">
        <v>1024</v>
      </c>
      <c r="C1824" s="8" t="s">
        <v>2580</v>
      </c>
      <c r="D1824" s="8" t="s">
        <v>64</v>
      </c>
      <c r="E1824" s="52">
        <v>408</v>
      </c>
      <c r="F1824" s="13">
        <v>179</v>
      </c>
      <c r="G1824" s="13"/>
    </row>
    <row r="1825" spans="1:7" hidden="1" x14ac:dyDescent="0.75">
      <c r="A1825" s="51">
        <v>44939</v>
      </c>
      <c r="B1825" s="52">
        <v>1024</v>
      </c>
      <c r="C1825" s="8" t="s">
        <v>2581</v>
      </c>
      <c r="D1825" s="8" t="s">
        <v>64</v>
      </c>
      <c r="E1825" s="52">
        <v>408</v>
      </c>
      <c r="F1825" s="13">
        <v>526</v>
      </c>
      <c r="G1825" s="13"/>
    </row>
    <row r="1826" spans="1:7" hidden="1" x14ac:dyDescent="0.75">
      <c r="A1826" s="51">
        <v>44940</v>
      </c>
      <c r="B1826" s="52">
        <v>1024</v>
      </c>
      <c r="C1826" s="8" t="s">
        <v>2582</v>
      </c>
      <c r="D1826" s="8" t="s">
        <v>64</v>
      </c>
      <c r="E1826" s="52">
        <v>408</v>
      </c>
      <c r="F1826" s="13">
        <v>2100</v>
      </c>
      <c r="G1826" s="13"/>
    </row>
    <row r="1827" spans="1:7" hidden="1" x14ac:dyDescent="0.75">
      <c r="A1827" s="51">
        <v>44940</v>
      </c>
      <c r="B1827" s="52">
        <v>1024</v>
      </c>
      <c r="C1827" s="8" t="s">
        <v>2583</v>
      </c>
      <c r="D1827" s="8" t="s">
        <v>64</v>
      </c>
      <c r="E1827" s="52">
        <v>408</v>
      </c>
      <c r="F1827" s="13">
        <v>2747</v>
      </c>
      <c r="G1827" s="13"/>
    </row>
    <row r="1828" spans="1:7" hidden="1" x14ac:dyDescent="0.75">
      <c r="A1828" s="51">
        <v>44940</v>
      </c>
      <c r="B1828" s="52">
        <v>1024</v>
      </c>
      <c r="C1828" s="8" t="s">
        <v>2584</v>
      </c>
      <c r="D1828" s="8" t="s">
        <v>64</v>
      </c>
      <c r="E1828" s="52">
        <v>408</v>
      </c>
      <c r="F1828" s="13">
        <v>260.5</v>
      </c>
      <c r="G1828" s="13"/>
    </row>
    <row r="1829" spans="1:7" hidden="1" x14ac:dyDescent="0.75">
      <c r="A1829" s="51">
        <v>44942</v>
      </c>
      <c r="B1829" s="52">
        <v>1024</v>
      </c>
      <c r="C1829" s="8" t="s">
        <v>2585</v>
      </c>
      <c r="D1829" s="8" t="s">
        <v>64</v>
      </c>
      <c r="E1829" s="52">
        <v>408</v>
      </c>
      <c r="F1829" s="13">
        <v>4044</v>
      </c>
      <c r="G1829" s="13"/>
    </row>
    <row r="1830" spans="1:7" hidden="1" x14ac:dyDescent="0.75">
      <c r="A1830" s="51">
        <v>44942</v>
      </c>
      <c r="B1830" s="52">
        <v>1024</v>
      </c>
      <c r="C1830" s="8" t="s">
        <v>2586</v>
      </c>
      <c r="D1830" s="8" t="s">
        <v>64</v>
      </c>
      <c r="E1830" s="52">
        <v>408</v>
      </c>
      <c r="F1830" s="13">
        <v>6340</v>
      </c>
      <c r="G1830" s="13"/>
    </row>
    <row r="1831" spans="1:7" hidden="1" x14ac:dyDescent="0.75">
      <c r="A1831" s="51">
        <v>44943</v>
      </c>
      <c r="B1831" s="52">
        <v>1024</v>
      </c>
      <c r="C1831" s="8" t="s">
        <v>2587</v>
      </c>
      <c r="D1831" s="8" t="s">
        <v>64</v>
      </c>
      <c r="E1831" s="52">
        <v>408</v>
      </c>
      <c r="F1831" s="13">
        <v>58</v>
      </c>
      <c r="G1831" s="13"/>
    </row>
    <row r="1832" spans="1:7" hidden="1" x14ac:dyDescent="0.75">
      <c r="A1832" s="51">
        <v>44943</v>
      </c>
      <c r="B1832" s="52">
        <v>1024</v>
      </c>
      <c r="C1832" s="8" t="s">
        <v>2588</v>
      </c>
      <c r="D1832" s="8" t="s">
        <v>64</v>
      </c>
      <c r="E1832" s="52">
        <v>408</v>
      </c>
      <c r="F1832" s="13">
        <v>2730</v>
      </c>
      <c r="G1832" s="13"/>
    </row>
    <row r="1833" spans="1:7" hidden="1" x14ac:dyDescent="0.75">
      <c r="A1833" s="51">
        <v>44943</v>
      </c>
      <c r="B1833" s="52">
        <v>1024</v>
      </c>
      <c r="C1833" s="8" t="s">
        <v>2589</v>
      </c>
      <c r="D1833" s="8" t="s">
        <v>64</v>
      </c>
      <c r="E1833" s="52">
        <v>408</v>
      </c>
      <c r="F1833" s="13">
        <v>2249</v>
      </c>
      <c r="G1833" s="13"/>
    </row>
    <row r="1834" spans="1:7" hidden="1" x14ac:dyDescent="0.75">
      <c r="A1834" s="51">
        <v>44943</v>
      </c>
      <c r="B1834" s="52">
        <v>1024</v>
      </c>
      <c r="C1834" s="8" t="s">
        <v>2590</v>
      </c>
      <c r="D1834" s="8" t="s">
        <v>64</v>
      </c>
      <c r="E1834" s="52">
        <v>408</v>
      </c>
      <c r="F1834" s="13">
        <v>595</v>
      </c>
      <c r="G1834" s="13"/>
    </row>
    <row r="1835" spans="1:7" hidden="1" x14ac:dyDescent="0.75">
      <c r="A1835" s="51">
        <v>44943</v>
      </c>
      <c r="B1835" s="52">
        <v>1024</v>
      </c>
      <c r="C1835" s="8" t="s">
        <v>2591</v>
      </c>
      <c r="D1835" s="8" t="s">
        <v>64</v>
      </c>
      <c r="E1835" s="52">
        <v>408</v>
      </c>
      <c r="F1835" s="13">
        <v>2422</v>
      </c>
      <c r="G1835" s="13"/>
    </row>
    <row r="1836" spans="1:7" hidden="1" x14ac:dyDescent="0.75">
      <c r="A1836" s="51">
        <v>44943</v>
      </c>
      <c r="B1836" s="52">
        <v>1024</v>
      </c>
      <c r="C1836" s="8" t="s">
        <v>2592</v>
      </c>
      <c r="D1836" s="8" t="s">
        <v>64</v>
      </c>
      <c r="E1836" s="52">
        <v>408</v>
      </c>
      <c r="F1836" s="13">
        <v>427.5</v>
      </c>
      <c r="G1836" s="13"/>
    </row>
    <row r="1837" spans="1:7" hidden="1" x14ac:dyDescent="0.75">
      <c r="A1837" s="51">
        <v>44943</v>
      </c>
      <c r="B1837" s="52">
        <v>1024</v>
      </c>
      <c r="C1837" s="8" t="s">
        <v>2593</v>
      </c>
      <c r="D1837" s="8" t="s">
        <v>64</v>
      </c>
      <c r="E1837" s="52">
        <v>408</v>
      </c>
      <c r="F1837" s="13">
        <v>1331.5</v>
      </c>
      <c r="G1837" s="13"/>
    </row>
    <row r="1838" spans="1:7" hidden="1" x14ac:dyDescent="0.75">
      <c r="A1838" s="51">
        <v>44944</v>
      </c>
      <c r="B1838" s="52">
        <v>1024</v>
      </c>
      <c r="C1838" s="8" t="s">
        <v>2594</v>
      </c>
      <c r="D1838" s="8" t="s">
        <v>64</v>
      </c>
      <c r="E1838" s="52">
        <v>408</v>
      </c>
      <c r="F1838" s="13">
        <v>1357</v>
      </c>
      <c r="G1838" s="13"/>
    </row>
    <row r="1839" spans="1:7" hidden="1" x14ac:dyDescent="0.75">
      <c r="A1839" s="51">
        <v>44944</v>
      </c>
      <c r="B1839" s="52">
        <v>1024</v>
      </c>
      <c r="C1839" s="8" t="s">
        <v>2595</v>
      </c>
      <c r="D1839" s="8" t="s">
        <v>64</v>
      </c>
      <c r="E1839" s="52">
        <v>408</v>
      </c>
      <c r="F1839" s="13">
        <v>3980</v>
      </c>
      <c r="G1839" s="13"/>
    </row>
    <row r="1840" spans="1:7" hidden="1" x14ac:dyDescent="0.75">
      <c r="A1840" s="51">
        <v>44944</v>
      </c>
      <c r="B1840" s="52">
        <v>1024</v>
      </c>
      <c r="C1840" s="8" t="s">
        <v>2596</v>
      </c>
      <c r="D1840" s="8" t="s">
        <v>64</v>
      </c>
      <c r="E1840" s="52">
        <v>408</v>
      </c>
      <c r="F1840" s="13">
        <v>522</v>
      </c>
      <c r="G1840" s="13"/>
    </row>
    <row r="1841" spans="1:7" hidden="1" x14ac:dyDescent="0.75">
      <c r="A1841" s="51">
        <v>44944</v>
      </c>
      <c r="B1841" s="52">
        <v>1024</v>
      </c>
      <c r="C1841" s="8" t="s">
        <v>2597</v>
      </c>
      <c r="D1841" s="8" t="s">
        <v>64</v>
      </c>
      <c r="E1841" s="52">
        <v>408</v>
      </c>
      <c r="F1841" s="13">
        <v>2189.6</v>
      </c>
      <c r="G1841" s="13"/>
    </row>
    <row r="1842" spans="1:7" hidden="1" x14ac:dyDescent="0.75">
      <c r="A1842" s="51">
        <v>44945</v>
      </c>
      <c r="B1842" s="52">
        <v>1024</v>
      </c>
      <c r="C1842" s="8" t="s">
        <v>2598</v>
      </c>
      <c r="D1842" s="8" t="s">
        <v>64</v>
      </c>
      <c r="E1842" s="52">
        <v>408</v>
      </c>
      <c r="F1842" s="13">
        <v>5700</v>
      </c>
      <c r="G1842" s="13"/>
    </row>
    <row r="1843" spans="1:7" hidden="1" x14ac:dyDescent="0.75">
      <c r="A1843" s="51">
        <v>44945</v>
      </c>
      <c r="B1843" s="52">
        <v>1024</v>
      </c>
      <c r="C1843" s="8" t="s">
        <v>2599</v>
      </c>
      <c r="D1843" s="8" t="s">
        <v>64</v>
      </c>
      <c r="E1843" s="52">
        <v>408</v>
      </c>
      <c r="F1843" s="13">
        <v>2802</v>
      </c>
      <c r="G1843" s="13"/>
    </row>
    <row r="1844" spans="1:7" hidden="1" x14ac:dyDescent="0.75">
      <c r="A1844" s="51">
        <v>44945</v>
      </c>
      <c r="B1844" s="52">
        <v>1024</v>
      </c>
      <c r="C1844" s="8" t="s">
        <v>2600</v>
      </c>
      <c r="D1844" s="8" t="s">
        <v>64</v>
      </c>
      <c r="E1844" s="52">
        <v>408</v>
      </c>
      <c r="F1844" s="13">
        <v>2780</v>
      </c>
      <c r="G1844" s="13"/>
    </row>
    <row r="1845" spans="1:7" hidden="1" x14ac:dyDescent="0.75">
      <c r="A1845" s="51">
        <v>44945</v>
      </c>
      <c r="B1845" s="52">
        <v>1024</v>
      </c>
      <c r="C1845" s="8" t="s">
        <v>2601</v>
      </c>
      <c r="D1845" s="8" t="s">
        <v>64</v>
      </c>
      <c r="E1845" s="52">
        <v>408</v>
      </c>
      <c r="F1845" s="13">
        <v>1152</v>
      </c>
      <c r="G1845" s="13"/>
    </row>
    <row r="1846" spans="1:7" hidden="1" x14ac:dyDescent="0.75">
      <c r="A1846" s="51">
        <v>44945</v>
      </c>
      <c r="B1846" s="52">
        <v>1024</v>
      </c>
      <c r="C1846" s="8" t="s">
        <v>2602</v>
      </c>
      <c r="D1846" s="8" t="s">
        <v>64</v>
      </c>
      <c r="E1846" s="52">
        <v>408</v>
      </c>
      <c r="F1846" s="13">
        <v>953.5</v>
      </c>
      <c r="G1846" s="13"/>
    </row>
    <row r="1847" spans="1:7" hidden="1" x14ac:dyDescent="0.75">
      <c r="A1847" s="51">
        <v>44945</v>
      </c>
      <c r="B1847" s="52">
        <v>1024</v>
      </c>
      <c r="C1847" s="8" t="s">
        <v>2603</v>
      </c>
      <c r="D1847" s="8" t="s">
        <v>64</v>
      </c>
      <c r="E1847" s="52">
        <v>408</v>
      </c>
      <c r="F1847" s="13">
        <v>79</v>
      </c>
      <c r="G1847" s="13"/>
    </row>
    <row r="1848" spans="1:7" hidden="1" x14ac:dyDescent="0.75">
      <c r="A1848" s="51">
        <v>44945</v>
      </c>
      <c r="B1848" s="52">
        <v>1024</v>
      </c>
      <c r="C1848" s="8" t="s">
        <v>2604</v>
      </c>
      <c r="D1848" s="8" t="s">
        <v>64</v>
      </c>
      <c r="E1848" s="52">
        <v>408</v>
      </c>
      <c r="F1848" s="13">
        <v>1114.5999999999999</v>
      </c>
      <c r="G1848" s="13"/>
    </row>
    <row r="1849" spans="1:7" hidden="1" x14ac:dyDescent="0.75">
      <c r="A1849" s="51">
        <v>44945</v>
      </c>
      <c r="B1849" s="52">
        <v>1024</v>
      </c>
      <c r="C1849" s="8" t="s">
        <v>2605</v>
      </c>
      <c r="D1849" s="8" t="s">
        <v>64</v>
      </c>
      <c r="E1849" s="52">
        <v>408</v>
      </c>
      <c r="F1849" s="13">
        <v>338</v>
      </c>
      <c r="G1849" s="13"/>
    </row>
    <row r="1850" spans="1:7" hidden="1" x14ac:dyDescent="0.75">
      <c r="A1850" s="51">
        <v>44946</v>
      </c>
      <c r="B1850" s="52">
        <v>1024</v>
      </c>
      <c r="C1850" s="8" t="s">
        <v>2606</v>
      </c>
      <c r="D1850" s="8" t="s">
        <v>64</v>
      </c>
      <c r="E1850" s="52">
        <v>408</v>
      </c>
      <c r="F1850" s="13">
        <v>4650</v>
      </c>
      <c r="G1850" s="13"/>
    </row>
    <row r="1851" spans="1:7" hidden="1" x14ac:dyDescent="0.75">
      <c r="A1851" s="51">
        <v>44946</v>
      </c>
      <c r="B1851" s="52">
        <v>1024</v>
      </c>
      <c r="C1851" s="8" t="s">
        <v>2607</v>
      </c>
      <c r="D1851" s="8" t="s">
        <v>64</v>
      </c>
      <c r="E1851" s="52">
        <v>408</v>
      </c>
      <c r="F1851" s="13">
        <v>3816</v>
      </c>
      <c r="G1851" s="13"/>
    </row>
    <row r="1852" spans="1:7" hidden="1" x14ac:dyDescent="0.75">
      <c r="A1852" s="51">
        <v>44946</v>
      </c>
      <c r="B1852" s="52">
        <v>1024</v>
      </c>
      <c r="C1852" s="8" t="s">
        <v>2608</v>
      </c>
      <c r="D1852" s="8" t="s">
        <v>64</v>
      </c>
      <c r="E1852" s="52">
        <v>408</v>
      </c>
      <c r="F1852" s="13">
        <v>3520</v>
      </c>
      <c r="G1852" s="13"/>
    </row>
    <row r="1853" spans="1:7" hidden="1" x14ac:dyDescent="0.75">
      <c r="A1853" s="51">
        <v>44946</v>
      </c>
      <c r="B1853" s="52">
        <v>1024</v>
      </c>
      <c r="C1853" s="8" t="s">
        <v>2609</v>
      </c>
      <c r="D1853" s="8" t="s">
        <v>64</v>
      </c>
      <c r="E1853" s="52">
        <v>408</v>
      </c>
      <c r="F1853" s="13">
        <v>546.5</v>
      </c>
      <c r="G1853" s="13"/>
    </row>
    <row r="1854" spans="1:7" hidden="1" x14ac:dyDescent="0.75">
      <c r="A1854" s="51">
        <v>44946</v>
      </c>
      <c r="B1854" s="52">
        <v>1024</v>
      </c>
      <c r="C1854" s="8" t="s">
        <v>2610</v>
      </c>
      <c r="D1854" s="8" t="s">
        <v>64</v>
      </c>
      <c r="E1854" s="52">
        <v>408</v>
      </c>
      <c r="F1854" s="13">
        <v>549</v>
      </c>
      <c r="G1854" s="13"/>
    </row>
    <row r="1855" spans="1:7" hidden="1" x14ac:dyDescent="0.75">
      <c r="A1855" s="51">
        <v>44946</v>
      </c>
      <c r="B1855" s="52">
        <v>1024</v>
      </c>
      <c r="C1855" s="8" t="s">
        <v>2611</v>
      </c>
      <c r="D1855" s="8" t="s">
        <v>64</v>
      </c>
      <c r="E1855" s="52">
        <v>408</v>
      </c>
      <c r="F1855" s="13">
        <v>255</v>
      </c>
      <c r="G1855" s="13"/>
    </row>
    <row r="1856" spans="1:7" hidden="1" x14ac:dyDescent="0.75">
      <c r="A1856" s="51">
        <v>44946</v>
      </c>
      <c r="B1856" s="52">
        <v>1024</v>
      </c>
      <c r="C1856" s="8" t="s">
        <v>2612</v>
      </c>
      <c r="D1856" s="8" t="s">
        <v>64</v>
      </c>
      <c r="E1856" s="52">
        <v>408</v>
      </c>
      <c r="F1856" s="13">
        <v>136</v>
      </c>
      <c r="G1856" s="13"/>
    </row>
    <row r="1857" spans="1:7" hidden="1" x14ac:dyDescent="0.75">
      <c r="A1857" s="51">
        <v>44946</v>
      </c>
      <c r="B1857" s="52">
        <v>1024</v>
      </c>
      <c r="C1857" s="8" t="s">
        <v>2613</v>
      </c>
      <c r="D1857" s="8" t="s">
        <v>64</v>
      </c>
      <c r="E1857" s="52">
        <v>408</v>
      </c>
      <c r="F1857" s="13">
        <v>762.6</v>
      </c>
      <c r="G1857" s="13"/>
    </row>
    <row r="1858" spans="1:7" hidden="1" x14ac:dyDescent="0.75">
      <c r="A1858" s="51">
        <v>44946</v>
      </c>
      <c r="B1858" s="52">
        <v>1024</v>
      </c>
      <c r="C1858" s="8" t="s">
        <v>2614</v>
      </c>
      <c r="D1858" s="8" t="s">
        <v>64</v>
      </c>
      <c r="E1858" s="52">
        <v>408</v>
      </c>
      <c r="F1858" s="13">
        <v>427.5</v>
      </c>
      <c r="G1858" s="13"/>
    </row>
    <row r="1859" spans="1:7" hidden="1" x14ac:dyDescent="0.75">
      <c r="A1859" s="51">
        <v>44946</v>
      </c>
      <c r="B1859" s="52">
        <v>1024</v>
      </c>
      <c r="C1859" s="8" t="s">
        <v>2615</v>
      </c>
      <c r="D1859" s="8" t="s">
        <v>64</v>
      </c>
      <c r="E1859" s="52">
        <v>1362</v>
      </c>
      <c r="F1859" s="13"/>
      <c r="G1859" s="13">
        <v>3866</v>
      </c>
    </row>
    <row r="1860" spans="1:7" hidden="1" x14ac:dyDescent="0.75">
      <c r="A1860" s="51">
        <v>44946</v>
      </c>
      <c r="B1860" s="52">
        <v>1024</v>
      </c>
      <c r="C1860" s="8" t="s">
        <v>2615</v>
      </c>
      <c r="D1860" s="8" t="s">
        <v>64</v>
      </c>
      <c r="E1860" s="52">
        <v>1362</v>
      </c>
      <c r="F1860" s="13"/>
      <c r="G1860" s="13">
        <v>3417</v>
      </c>
    </row>
    <row r="1861" spans="1:7" hidden="1" x14ac:dyDescent="0.75">
      <c r="A1861" s="51">
        <v>44946</v>
      </c>
      <c r="B1861" s="52">
        <v>1024</v>
      </c>
      <c r="C1861" s="8" t="s">
        <v>2615</v>
      </c>
      <c r="D1861" s="8" t="s">
        <v>64</v>
      </c>
      <c r="E1861" s="52">
        <v>1362</v>
      </c>
      <c r="F1861" s="13"/>
      <c r="G1861" s="13">
        <v>2083</v>
      </c>
    </row>
    <row r="1862" spans="1:7" hidden="1" x14ac:dyDescent="0.75">
      <c r="A1862" s="51">
        <v>44946</v>
      </c>
      <c r="B1862" s="52">
        <v>1024</v>
      </c>
      <c r="C1862" s="8" t="s">
        <v>2615</v>
      </c>
      <c r="D1862" s="8" t="s">
        <v>64</v>
      </c>
      <c r="E1862" s="52">
        <v>1362</v>
      </c>
      <c r="F1862" s="13"/>
      <c r="G1862" s="13">
        <v>5458</v>
      </c>
    </row>
    <row r="1863" spans="1:7" hidden="1" x14ac:dyDescent="0.75">
      <c r="A1863" s="51">
        <v>44946</v>
      </c>
      <c r="B1863" s="52">
        <v>1024</v>
      </c>
      <c r="C1863" s="8" t="s">
        <v>2615</v>
      </c>
      <c r="D1863" s="8" t="s">
        <v>64</v>
      </c>
      <c r="E1863" s="52">
        <v>1362</v>
      </c>
      <c r="F1863" s="13"/>
      <c r="G1863" s="13">
        <v>23310</v>
      </c>
    </row>
    <row r="1864" spans="1:7" hidden="1" x14ac:dyDescent="0.75">
      <c r="A1864" s="51">
        <v>44946</v>
      </c>
      <c r="B1864" s="52">
        <v>1024</v>
      </c>
      <c r="C1864" s="8" t="s">
        <v>2615</v>
      </c>
      <c r="D1864" s="8" t="s">
        <v>64</v>
      </c>
      <c r="E1864" s="52">
        <v>1362</v>
      </c>
      <c r="F1864" s="13"/>
      <c r="G1864" s="13">
        <v>732.75</v>
      </c>
    </row>
    <row r="1865" spans="1:7" hidden="1" x14ac:dyDescent="0.75">
      <c r="A1865" s="51">
        <v>44946</v>
      </c>
      <c r="B1865" s="52">
        <v>1024</v>
      </c>
      <c r="C1865" s="8" t="s">
        <v>2615</v>
      </c>
      <c r="D1865" s="8" t="s">
        <v>64</v>
      </c>
      <c r="E1865" s="52">
        <v>1362</v>
      </c>
      <c r="F1865" s="13"/>
      <c r="G1865" s="13">
        <v>1408</v>
      </c>
    </row>
    <row r="1866" spans="1:7" hidden="1" x14ac:dyDescent="0.75">
      <c r="A1866" s="51">
        <v>44946</v>
      </c>
      <c r="B1866" s="52">
        <v>1024</v>
      </c>
      <c r="C1866" s="8" t="s">
        <v>2615</v>
      </c>
      <c r="D1866" s="8" t="s">
        <v>64</v>
      </c>
      <c r="E1866" s="52">
        <v>1362</v>
      </c>
      <c r="F1866" s="13"/>
      <c r="G1866" s="13">
        <v>2111</v>
      </c>
    </row>
    <row r="1867" spans="1:7" hidden="1" x14ac:dyDescent="0.75">
      <c r="A1867" s="51">
        <v>44946</v>
      </c>
      <c r="B1867" s="52">
        <v>1024</v>
      </c>
      <c r="C1867" s="8" t="s">
        <v>2615</v>
      </c>
      <c r="D1867" s="8" t="s">
        <v>64</v>
      </c>
      <c r="E1867" s="52">
        <v>1362</v>
      </c>
      <c r="F1867" s="13"/>
      <c r="G1867" s="13">
        <v>252</v>
      </c>
    </row>
    <row r="1868" spans="1:7" hidden="1" x14ac:dyDescent="0.75">
      <c r="A1868" s="51">
        <v>44946</v>
      </c>
      <c r="B1868" s="52">
        <v>1024</v>
      </c>
      <c r="C1868" s="8" t="s">
        <v>2615</v>
      </c>
      <c r="D1868" s="8" t="s">
        <v>64</v>
      </c>
      <c r="E1868" s="52">
        <v>1362</v>
      </c>
      <c r="F1868" s="13"/>
      <c r="G1868" s="13">
        <v>1788</v>
      </c>
    </row>
    <row r="1869" spans="1:7" hidden="1" x14ac:dyDescent="0.75">
      <c r="A1869" s="51">
        <v>44946</v>
      </c>
      <c r="B1869" s="52">
        <v>1024</v>
      </c>
      <c r="C1869" s="8" t="s">
        <v>2615</v>
      </c>
      <c r="D1869" s="8" t="s">
        <v>64</v>
      </c>
      <c r="E1869" s="52">
        <v>1362</v>
      </c>
      <c r="F1869" s="13"/>
      <c r="G1869" s="13">
        <v>408</v>
      </c>
    </row>
    <row r="1870" spans="1:7" hidden="1" x14ac:dyDescent="0.75">
      <c r="A1870" s="51">
        <v>44946</v>
      </c>
      <c r="B1870" s="52">
        <v>1024</v>
      </c>
      <c r="C1870" s="8" t="s">
        <v>2615</v>
      </c>
      <c r="D1870" s="8" t="s">
        <v>64</v>
      </c>
      <c r="E1870" s="52">
        <v>1362</v>
      </c>
      <c r="F1870" s="13"/>
      <c r="G1870" s="13">
        <v>2030</v>
      </c>
    </row>
    <row r="1871" spans="1:7" hidden="1" x14ac:dyDescent="0.75">
      <c r="A1871" s="51">
        <v>44946</v>
      </c>
      <c r="B1871" s="52">
        <v>1024</v>
      </c>
      <c r="C1871" s="8" t="s">
        <v>2615</v>
      </c>
      <c r="D1871" s="8" t="s">
        <v>64</v>
      </c>
      <c r="E1871" s="52">
        <v>1362</v>
      </c>
      <c r="F1871" s="13"/>
      <c r="G1871" s="13">
        <v>2948</v>
      </c>
    </row>
    <row r="1872" spans="1:7" hidden="1" x14ac:dyDescent="0.75">
      <c r="A1872" s="51">
        <v>44946</v>
      </c>
      <c r="B1872" s="52">
        <v>1024</v>
      </c>
      <c r="C1872" s="8" t="s">
        <v>2615</v>
      </c>
      <c r="D1872" s="8" t="s">
        <v>64</v>
      </c>
      <c r="E1872" s="52">
        <v>1362</v>
      </c>
      <c r="F1872" s="13"/>
      <c r="G1872" s="13">
        <v>4116</v>
      </c>
    </row>
    <row r="1873" spans="1:7" hidden="1" x14ac:dyDescent="0.75">
      <c r="A1873" s="51">
        <v>44946</v>
      </c>
      <c r="B1873" s="52">
        <v>1024</v>
      </c>
      <c r="C1873" s="8" t="s">
        <v>2615</v>
      </c>
      <c r="D1873" s="8" t="s">
        <v>64</v>
      </c>
      <c r="E1873" s="52">
        <v>1362</v>
      </c>
      <c r="F1873" s="13"/>
      <c r="G1873" s="13">
        <v>2642</v>
      </c>
    </row>
    <row r="1874" spans="1:7" hidden="1" x14ac:dyDescent="0.75">
      <c r="A1874" s="51">
        <v>44946</v>
      </c>
      <c r="B1874" s="52">
        <v>1024</v>
      </c>
      <c r="C1874" s="8" t="s">
        <v>2615</v>
      </c>
      <c r="D1874" s="8" t="s">
        <v>64</v>
      </c>
      <c r="E1874" s="52">
        <v>1362</v>
      </c>
      <c r="F1874" s="13"/>
      <c r="G1874" s="13">
        <v>4740</v>
      </c>
    </row>
    <row r="1875" spans="1:7" hidden="1" x14ac:dyDescent="0.75">
      <c r="A1875" s="51">
        <v>44946</v>
      </c>
      <c r="B1875" s="52">
        <v>1024</v>
      </c>
      <c r="C1875" s="8" t="s">
        <v>2615</v>
      </c>
      <c r="D1875" s="8" t="s">
        <v>64</v>
      </c>
      <c r="E1875" s="52">
        <v>1362</v>
      </c>
      <c r="F1875" s="13"/>
      <c r="G1875" s="13">
        <v>1218</v>
      </c>
    </row>
    <row r="1876" spans="1:7" hidden="1" x14ac:dyDescent="0.75">
      <c r="A1876" s="51">
        <v>44946</v>
      </c>
      <c r="B1876" s="52">
        <v>1024</v>
      </c>
      <c r="C1876" s="8" t="s">
        <v>2615</v>
      </c>
      <c r="D1876" s="8" t="s">
        <v>64</v>
      </c>
      <c r="E1876" s="52">
        <v>1362</v>
      </c>
      <c r="F1876" s="13"/>
      <c r="G1876" s="13">
        <v>4736</v>
      </c>
    </row>
    <row r="1877" spans="1:7" hidden="1" x14ac:dyDescent="0.75">
      <c r="A1877" s="51">
        <v>44946</v>
      </c>
      <c r="B1877" s="52">
        <v>1024</v>
      </c>
      <c r="C1877" s="8" t="s">
        <v>2615</v>
      </c>
      <c r="D1877" s="8" t="s">
        <v>64</v>
      </c>
      <c r="E1877" s="52">
        <v>1362</v>
      </c>
      <c r="F1877" s="13"/>
      <c r="G1877" s="13">
        <v>2360</v>
      </c>
    </row>
    <row r="1878" spans="1:7" hidden="1" x14ac:dyDescent="0.75">
      <c r="A1878" s="51">
        <v>44946</v>
      </c>
      <c r="B1878" s="52">
        <v>1024</v>
      </c>
      <c r="C1878" s="8" t="s">
        <v>2615</v>
      </c>
      <c r="D1878" s="8" t="s">
        <v>64</v>
      </c>
      <c r="E1878" s="52">
        <v>1362</v>
      </c>
      <c r="F1878" s="13"/>
      <c r="G1878" s="13">
        <v>2860</v>
      </c>
    </row>
    <row r="1879" spans="1:7" hidden="1" x14ac:dyDescent="0.75">
      <c r="A1879" s="51">
        <v>44946</v>
      </c>
      <c r="B1879" s="52">
        <v>1024</v>
      </c>
      <c r="C1879" s="8" t="s">
        <v>2615</v>
      </c>
      <c r="D1879" s="8" t="s">
        <v>64</v>
      </c>
      <c r="E1879" s="52">
        <v>1362</v>
      </c>
      <c r="F1879" s="13"/>
      <c r="G1879" s="13">
        <v>3449.5</v>
      </c>
    </row>
    <row r="1880" spans="1:7" hidden="1" x14ac:dyDescent="0.75">
      <c r="A1880" s="51">
        <v>44946</v>
      </c>
      <c r="B1880" s="52">
        <v>1024</v>
      </c>
      <c r="C1880" s="8" t="s">
        <v>2615</v>
      </c>
      <c r="D1880" s="8" t="s">
        <v>64</v>
      </c>
      <c r="E1880" s="52">
        <v>1362</v>
      </c>
      <c r="F1880" s="13"/>
      <c r="G1880" s="13">
        <v>434.5</v>
      </c>
    </row>
    <row r="1881" spans="1:7" hidden="1" x14ac:dyDescent="0.75">
      <c r="A1881" s="51">
        <v>44946</v>
      </c>
      <c r="B1881" s="52">
        <v>1024</v>
      </c>
      <c r="C1881" s="8" t="s">
        <v>2615</v>
      </c>
      <c r="D1881" s="8" t="s">
        <v>64</v>
      </c>
      <c r="E1881" s="52">
        <v>1362</v>
      </c>
      <c r="F1881" s="13"/>
      <c r="G1881" s="13">
        <v>2932</v>
      </c>
    </row>
    <row r="1882" spans="1:7" hidden="1" x14ac:dyDescent="0.75">
      <c r="A1882" s="51">
        <v>44946</v>
      </c>
      <c r="B1882" s="52">
        <v>1024</v>
      </c>
      <c r="C1882" s="8" t="s">
        <v>2615</v>
      </c>
      <c r="D1882" s="8" t="s">
        <v>64</v>
      </c>
      <c r="E1882" s="52">
        <v>1362</v>
      </c>
      <c r="F1882" s="13"/>
      <c r="G1882" s="13">
        <v>4360</v>
      </c>
    </row>
    <row r="1883" spans="1:7" hidden="1" x14ac:dyDescent="0.75">
      <c r="A1883" s="51">
        <v>44946</v>
      </c>
      <c r="B1883" s="52">
        <v>1024</v>
      </c>
      <c r="C1883" s="8" t="s">
        <v>2615</v>
      </c>
      <c r="D1883" s="8" t="s">
        <v>64</v>
      </c>
      <c r="E1883" s="52">
        <v>1362</v>
      </c>
      <c r="F1883" s="13"/>
      <c r="G1883" s="13">
        <v>19425</v>
      </c>
    </row>
    <row r="1884" spans="1:7" hidden="1" x14ac:dyDescent="0.75">
      <c r="A1884" s="51">
        <v>44946</v>
      </c>
      <c r="B1884" s="52">
        <v>1024</v>
      </c>
      <c r="C1884" s="8" t="s">
        <v>2615</v>
      </c>
      <c r="D1884" s="8" t="s">
        <v>64</v>
      </c>
      <c r="E1884" s="52">
        <v>1362</v>
      </c>
      <c r="F1884" s="13"/>
      <c r="G1884" s="13">
        <v>1881</v>
      </c>
    </row>
    <row r="1885" spans="1:7" hidden="1" x14ac:dyDescent="0.75">
      <c r="A1885" s="51">
        <v>44946</v>
      </c>
      <c r="B1885" s="52">
        <v>1024</v>
      </c>
      <c r="C1885" s="8" t="s">
        <v>2615</v>
      </c>
      <c r="D1885" s="8" t="s">
        <v>64</v>
      </c>
      <c r="E1885" s="52">
        <v>1362</v>
      </c>
      <c r="F1885" s="13"/>
      <c r="G1885" s="13">
        <v>980</v>
      </c>
    </row>
    <row r="1886" spans="1:7" hidden="1" x14ac:dyDescent="0.75">
      <c r="A1886" s="51">
        <v>44946</v>
      </c>
      <c r="B1886" s="52">
        <v>1024</v>
      </c>
      <c r="C1886" s="8" t="s">
        <v>2615</v>
      </c>
      <c r="D1886" s="8" t="s">
        <v>64</v>
      </c>
      <c r="E1886" s="52">
        <v>1362</v>
      </c>
      <c r="F1886" s="13"/>
      <c r="G1886" s="13">
        <v>408</v>
      </c>
    </row>
    <row r="1887" spans="1:7" hidden="1" x14ac:dyDescent="0.75">
      <c r="A1887" s="51">
        <v>44946</v>
      </c>
      <c r="B1887" s="52">
        <v>1024</v>
      </c>
      <c r="C1887" s="8" t="s">
        <v>2615</v>
      </c>
      <c r="D1887" s="8" t="s">
        <v>64</v>
      </c>
      <c r="E1887" s="52">
        <v>1362</v>
      </c>
      <c r="F1887" s="13"/>
      <c r="G1887" s="13">
        <v>1711.5</v>
      </c>
    </row>
    <row r="1888" spans="1:7" hidden="1" x14ac:dyDescent="0.75">
      <c r="A1888" s="51">
        <v>44946</v>
      </c>
      <c r="B1888" s="52">
        <v>1024</v>
      </c>
      <c r="C1888" s="8" t="s">
        <v>2615</v>
      </c>
      <c r="D1888" s="8" t="s">
        <v>64</v>
      </c>
      <c r="E1888" s="52">
        <v>1362</v>
      </c>
      <c r="F1888" s="13"/>
      <c r="G1888" s="13">
        <v>344.5</v>
      </c>
    </row>
    <row r="1889" spans="1:7" hidden="1" x14ac:dyDescent="0.75">
      <c r="A1889" s="51">
        <v>44946</v>
      </c>
      <c r="B1889" s="52">
        <v>1024</v>
      </c>
      <c r="C1889" s="8" t="s">
        <v>2615</v>
      </c>
      <c r="D1889" s="8" t="s">
        <v>64</v>
      </c>
      <c r="E1889" s="52">
        <v>1362</v>
      </c>
      <c r="F1889" s="13"/>
      <c r="G1889" s="13">
        <v>2412</v>
      </c>
    </row>
    <row r="1890" spans="1:7" hidden="1" x14ac:dyDescent="0.75">
      <c r="A1890" s="51">
        <v>44946</v>
      </c>
      <c r="B1890" s="52">
        <v>1024</v>
      </c>
      <c r="C1890" s="8" t="s">
        <v>2615</v>
      </c>
      <c r="D1890" s="8" t="s">
        <v>64</v>
      </c>
      <c r="E1890" s="52">
        <v>1362</v>
      </c>
      <c r="F1890" s="13"/>
      <c r="G1890" s="13">
        <v>3130</v>
      </c>
    </row>
    <row r="1891" spans="1:7" hidden="1" x14ac:dyDescent="0.75">
      <c r="A1891" s="51">
        <v>44946</v>
      </c>
      <c r="B1891" s="52">
        <v>1024</v>
      </c>
      <c r="C1891" s="8" t="s">
        <v>2615</v>
      </c>
      <c r="D1891" s="8" t="s">
        <v>64</v>
      </c>
      <c r="E1891" s="52">
        <v>1362</v>
      </c>
      <c r="F1891" s="13"/>
      <c r="G1891" s="13">
        <v>1890</v>
      </c>
    </row>
    <row r="1892" spans="1:7" hidden="1" x14ac:dyDescent="0.75">
      <c r="A1892" s="51">
        <v>44946</v>
      </c>
      <c r="B1892" s="52">
        <v>1024</v>
      </c>
      <c r="C1892" s="8" t="s">
        <v>2615</v>
      </c>
      <c r="D1892" s="8" t="s">
        <v>64</v>
      </c>
      <c r="E1892" s="52">
        <v>1362</v>
      </c>
      <c r="F1892" s="13"/>
      <c r="G1892" s="13">
        <v>3229</v>
      </c>
    </row>
    <row r="1893" spans="1:7" hidden="1" x14ac:dyDescent="0.75">
      <c r="A1893" s="51">
        <v>44946</v>
      </c>
      <c r="B1893" s="52">
        <v>1024</v>
      </c>
      <c r="C1893" s="8" t="s">
        <v>2615</v>
      </c>
      <c r="D1893" s="8" t="s">
        <v>64</v>
      </c>
      <c r="E1893" s="52">
        <v>1362</v>
      </c>
      <c r="F1893" s="13"/>
      <c r="G1893" s="13">
        <v>5130</v>
      </c>
    </row>
    <row r="1894" spans="1:7" hidden="1" x14ac:dyDescent="0.75">
      <c r="A1894" s="51">
        <v>44946</v>
      </c>
      <c r="B1894" s="52">
        <v>1024</v>
      </c>
      <c r="C1894" s="8" t="s">
        <v>2615</v>
      </c>
      <c r="D1894" s="8" t="s">
        <v>64</v>
      </c>
      <c r="E1894" s="52">
        <v>1362</v>
      </c>
      <c r="F1894" s="13"/>
      <c r="G1894" s="13">
        <v>3536</v>
      </c>
    </row>
    <row r="1895" spans="1:7" hidden="1" x14ac:dyDescent="0.75">
      <c r="A1895" s="51">
        <v>44947</v>
      </c>
      <c r="B1895" s="52">
        <v>1024</v>
      </c>
      <c r="C1895" s="8" t="s">
        <v>2616</v>
      </c>
      <c r="D1895" s="8" t="s">
        <v>64</v>
      </c>
      <c r="E1895" s="52">
        <v>408</v>
      </c>
      <c r="F1895" s="13">
        <v>2964</v>
      </c>
      <c r="G1895" s="13"/>
    </row>
    <row r="1896" spans="1:7" hidden="1" x14ac:dyDescent="0.75">
      <c r="A1896" s="51">
        <v>44947</v>
      </c>
      <c r="B1896" s="52">
        <v>1024</v>
      </c>
      <c r="C1896" s="8" t="s">
        <v>2617</v>
      </c>
      <c r="D1896" s="8" t="s">
        <v>64</v>
      </c>
      <c r="E1896" s="52">
        <v>408</v>
      </c>
      <c r="F1896" s="13">
        <v>2350</v>
      </c>
      <c r="G1896" s="13"/>
    </row>
    <row r="1897" spans="1:7" hidden="1" x14ac:dyDescent="0.75">
      <c r="A1897" s="51">
        <v>44947</v>
      </c>
      <c r="B1897" s="52">
        <v>1024</v>
      </c>
      <c r="C1897" s="8" t="s">
        <v>2618</v>
      </c>
      <c r="D1897" s="8" t="s">
        <v>64</v>
      </c>
      <c r="E1897" s="52">
        <v>408</v>
      </c>
      <c r="F1897" s="13">
        <v>89.5</v>
      </c>
      <c r="G1897" s="13"/>
    </row>
    <row r="1898" spans="1:7" hidden="1" x14ac:dyDescent="0.75">
      <c r="A1898" s="51">
        <v>44947</v>
      </c>
      <c r="B1898" s="52">
        <v>1024</v>
      </c>
      <c r="C1898" s="8" t="s">
        <v>2619</v>
      </c>
      <c r="D1898" s="8" t="s">
        <v>64</v>
      </c>
      <c r="E1898" s="52">
        <v>408</v>
      </c>
      <c r="F1898" s="13">
        <v>88</v>
      </c>
      <c r="G1898" s="13"/>
    </row>
    <row r="1899" spans="1:7" hidden="1" x14ac:dyDescent="0.75">
      <c r="A1899" s="51">
        <v>44949</v>
      </c>
      <c r="B1899" s="52">
        <v>1024</v>
      </c>
      <c r="C1899" s="8" t="s">
        <v>2620</v>
      </c>
      <c r="D1899" s="8" t="s">
        <v>64</v>
      </c>
      <c r="E1899" s="52">
        <v>408</v>
      </c>
      <c r="F1899" s="13">
        <v>5640</v>
      </c>
      <c r="G1899" s="13"/>
    </row>
    <row r="1900" spans="1:7" hidden="1" x14ac:dyDescent="0.75">
      <c r="A1900" s="51">
        <v>44949</v>
      </c>
      <c r="B1900" s="52">
        <v>1024</v>
      </c>
      <c r="C1900" s="8" t="s">
        <v>2621</v>
      </c>
      <c r="D1900" s="8" t="s">
        <v>64</v>
      </c>
      <c r="E1900" s="52">
        <v>408</v>
      </c>
      <c r="F1900" s="13">
        <v>2510</v>
      </c>
      <c r="G1900" s="13"/>
    </row>
    <row r="1901" spans="1:7" hidden="1" x14ac:dyDescent="0.75">
      <c r="A1901" s="51">
        <v>44950</v>
      </c>
      <c r="B1901" s="52">
        <v>1024</v>
      </c>
      <c r="C1901" s="8" t="s">
        <v>2622</v>
      </c>
      <c r="D1901" s="8" t="s">
        <v>64</v>
      </c>
      <c r="E1901" s="52">
        <v>408</v>
      </c>
      <c r="F1901" s="13">
        <v>2628</v>
      </c>
      <c r="G1901" s="13"/>
    </row>
    <row r="1902" spans="1:7" hidden="1" x14ac:dyDescent="0.75">
      <c r="A1902" s="51">
        <v>44950</v>
      </c>
      <c r="B1902" s="52">
        <v>1024</v>
      </c>
      <c r="C1902" s="8" t="s">
        <v>2623</v>
      </c>
      <c r="D1902" s="8" t="s">
        <v>64</v>
      </c>
      <c r="E1902" s="52">
        <v>408</v>
      </c>
      <c r="F1902" s="13">
        <v>595</v>
      </c>
      <c r="G1902" s="13"/>
    </row>
    <row r="1903" spans="1:7" hidden="1" x14ac:dyDescent="0.75">
      <c r="A1903" s="51">
        <v>44950</v>
      </c>
      <c r="B1903" s="52">
        <v>1024</v>
      </c>
      <c r="C1903" s="8" t="s">
        <v>2624</v>
      </c>
      <c r="D1903" s="8" t="s">
        <v>64</v>
      </c>
      <c r="E1903" s="52">
        <v>408</v>
      </c>
      <c r="F1903" s="13">
        <v>2349</v>
      </c>
      <c r="G1903" s="13"/>
    </row>
    <row r="1904" spans="1:7" hidden="1" x14ac:dyDescent="0.75">
      <c r="A1904" s="51">
        <v>44950</v>
      </c>
      <c r="B1904" s="52">
        <v>1024</v>
      </c>
      <c r="C1904" s="8" t="s">
        <v>2625</v>
      </c>
      <c r="D1904" s="8" t="s">
        <v>64</v>
      </c>
      <c r="E1904" s="52">
        <v>408</v>
      </c>
      <c r="F1904" s="13">
        <v>4040</v>
      </c>
      <c r="G1904" s="13"/>
    </row>
    <row r="1905" spans="1:7" hidden="1" x14ac:dyDescent="0.75">
      <c r="A1905" s="51">
        <v>44950</v>
      </c>
      <c r="B1905" s="52">
        <v>1024</v>
      </c>
      <c r="C1905" s="8" t="s">
        <v>2626</v>
      </c>
      <c r="D1905" s="8" t="s">
        <v>64</v>
      </c>
      <c r="E1905" s="52">
        <v>408</v>
      </c>
      <c r="F1905" s="13">
        <v>442.5</v>
      </c>
      <c r="G1905" s="13"/>
    </row>
    <row r="1906" spans="1:7" hidden="1" x14ac:dyDescent="0.75">
      <c r="A1906" s="51">
        <v>44950</v>
      </c>
      <c r="B1906" s="52">
        <v>1024</v>
      </c>
      <c r="C1906" s="8" t="s">
        <v>2627</v>
      </c>
      <c r="D1906" s="8" t="s">
        <v>64</v>
      </c>
      <c r="E1906" s="52">
        <v>408</v>
      </c>
      <c r="F1906" s="13">
        <v>1963.5</v>
      </c>
      <c r="G1906" s="13"/>
    </row>
    <row r="1907" spans="1:7" hidden="1" x14ac:dyDescent="0.75">
      <c r="A1907" s="51">
        <v>44951</v>
      </c>
      <c r="B1907" s="52">
        <v>1024</v>
      </c>
      <c r="C1907" s="8" t="s">
        <v>2628</v>
      </c>
      <c r="D1907" s="8" t="s">
        <v>64</v>
      </c>
      <c r="E1907" s="52">
        <v>408</v>
      </c>
      <c r="F1907" s="13">
        <v>98.75</v>
      </c>
      <c r="G1907" s="13"/>
    </row>
    <row r="1908" spans="1:7" hidden="1" x14ac:dyDescent="0.75">
      <c r="A1908" s="51">
        <v>44951</v>
      </c>
      <c r="B1908" s="52">
        <v>1024</v>
      </c>
      <c r="C1908" s="8" t="s">
        <v>2629</v>
      </c>
      <c r="D1908" s="8" t="s">
        <v>64</v>
      </c>
      <c r="E1908" s="52">
        <v>408</v>
      </c>
      <c r="F1908" s="13">
        <v>1227.25</v>
      </c>
      <c r="G1908" s="13"/>
    </row>
    <row r="1909" spans="1:7" hidden="1" x14ac:dyDescent="0.75">
      <c r="A1909" s="51">
        <v>44951</v>
      </c>
      <c r="B1909" s="52">
        <v>1024</v>
      </c>
      <c r="C1909" s="8" t="s">
        <v>2630</v>
      </c>
      <c r="D1909" s="8" t="s">
        <v>64</v>
      </c>
      <c r="E1909" s="52">
        <v>408</v>
      </c>
      <c r="F1909" s="13">
        <v>3233</v>
      </c>
      <c r="G1909" s="13"/>
    </row>
    <row r="1910" spans="1:7" hidden="1" x14ac:dyDescent="0.75">
      <c r="A1910" s="51">
        <v>44951</v>
      </c>
      <c r="B1910" s="52">
        <v>1024</v>
      </c>
      <c r="C1910" s="8" t="s">
        <v>2631</v>
      </c>
      <c r="D1910" s="8" t="s">
        <v>64</v>
      </c>
      <c r="E1910" s="52">
        <v>408</v>
      </c>
      <c r="F1910" s="13">
        <v>4980</v>
      </c>
      <c r="G1910" s="13"/>
    </row>
    <row r="1911" spans="1:7" hidden="1" x14ac:dyDescent="0.75">
      <c r="A1911" s="51">
        <v>44951</v>
      </c>
      <c r="B1911" s="52">
        <v>1024</v>
      </c>
      <c r="C1911" s="8" t="s">
        <v>2632</v>
      </c>
      <c r="D1911" s="8" t="s">
        <v>64</v>
      </c>
      <c r="E1911" s="52">
        <v>408</v>
      </c>
      <c r="F1911" s="13">
        <v>179</v>
      </c>
      <c r="G1911" s="13"/>
    </row>
    <row r="1912" spans="1:7" hidden="1" x14ac:dyDescent="0.75">
      <c r="A1912" s="51">
        <v>44951</v>
      </c>
      <c r="B1912" s="52">
        <v>1024</v>
      </c>
      <c r="C1912" s="8" t="s">
        <v>2633</v>
      </c>
      <c r="D1912" s="8" t="s">
        <v>64</v>
      </c>
      <c r="E1912" s="52">
        <v>408</v>
      </c>
      <c r="F1912" s="13">
        <v>1715</v>
      </c>
      <c r="G1912" s="13"/>
    </row>
    <row r="1913" spans="1:7" hidden="1" x14ac:dyDescent="0.75">
      <c r="A1913" s="51">
        <v>44952</v>
      </c>
      <c r="B1913" s="52">
        <v>1024</v>
      </c>
      <c r="C1913" s="8" t="s">
        <v>2634</v>
      </c>
      <c r="D1913" s="8" t="s">
        <v>64</v>
      </c>
      <c r="E1913" s="52">
        <v>408</v>
      </c>
      <c r="F1913" s="13">
        <v>5700</v>
      </c>
      <c r="G1913" s="13"/>
    </row>
    <row r="1914" spans="1:7" hidden="1" x14ac:dyDescent="0.75">
      <c r="A1914" s="51">
        <v>44952</v>
      </c>
      <c r="B1914" s="52">
        <v>1024</v>
      </c>
      <c r="C1914" s="8" t="s">
        <v>2635</v>
      </c>
      <c r="D1914" s="8" t="s">
        <v>64</v>
      </c>
      <c r="E1914" s="52">
        <v>408</v>
      </c>
      <c r="F1914" s="13">
        <v>2120</v>
      </c>
      <c r="G1914" s="13"/>
    </row>
    <row r="1915" spans="1:7" hidden="1" x14ac:dyDescent="0.75">
      <c r="A1915" s="51">
        <v>44952</v>
      </c>
      <c r="B1915" s="52">
        <v>1024</v>
      </c>
      <c r="C1915" s="8" t="s">
        <v>2636</v>
      </c>
      <c r="D1915" s="8" t="s">
        <v>64</v>
      </c>
      <c r="E1915" s="52">
        <v>408</v>
      </c>
      <c r="F1915" s="13">
        <v>3500</v>
      </c>
      <c r="G1915" s="13"/>
    </row>
    <row r="1916" spans="1:7" hidden="1" x14ac:dyDescent="0.75">
      <c r="A1916" s="51">
        <v>44952</v>
      </c>
      <c r="B1916" s="52">
        <v>1024</v>
      </c>
      <c r="C1916" s="8" t="s">
        <v>2637</v>
      </c>
      <c r="D1916" s="8" t="s">
        <v>64</v>
      </c>
      <c r="E1916" s="52">
        <v>408</v>
      </c>
      <c r="F1916" s="13">
        <v>258.5</v>
      </c>
      <c r="G1916" s="13"/>
    </row>
    <row r="1917" spans="1:7" hidden="1" x14ac:dyDescent="0.75">
      <c r="A1917" s="51">
        <v>44952</v>
      </c>
      <c r="B1917" s="52">
        <v>1024</v>
      </c>
      <c r="C1917" s="8" t="s">
        <v>2638</v>
      </c>
      <c r="D1917" s="8" t="s">
        <v>64</v>
      </c>
      <c r="E1917" s="52">
        <v>408</v>
      </c>
      <c r="F1917" s="13">
        <v>871</v>
      </c>
      <c r="G1917" s="13"/>
    </row>
    <row r="1918" spans="1:7" hidden="1" x14ac:dyDescent="0.75">
      <c r="A1918" s="51">
        <v>44952</v>
      </c>
      <c r="B1918" s="52">
        <v>1024</v>
      </c>
      <c r="C1918" s="8" t="s">
        <v>2639</v>
      </c>
      <c r="D1918" s="8" t="s">
        <v>64</v>
      </c>
      <c r="E1918" s="52">
        <v>408</v>
      </c>
      <c r="F1918" s="13">
        <v>231</v>
      </c>
      <c r="G1918" s="13"/>
    </row>
    <row r="1919" spans="1:7" hidden="1" x14ac:dyDescent="0.75">
      <c r="A1919" s="51">
        <v>44952</v>
      </c>
      <c r="B1919" s="52">
        <v>1024</v>
      </c>
      <c r="C1919" s="8" t="s">
        <v>2640</v>
      </c>
      <c r="D1919" s="8" t="s">
        <v>64</v>
      </c>
      <c r="E1919" s="52">
        <v>408</v>
      </c>
      <c r="F1919" s="13">
        <v>679</v>
      </c>
      <c r="G1919" s="13"/>
    </row>
    <row r="1920" spans="1:7" hidden="1" x14ac:dyDescent="0.75">
      <c r="A1920" s="51">
        <v>44952</v>
      </c>
      <c r="B1920" s="52">
        <v>1024</v>
      </c>
      <c r="C1920" s="8" t="s">
        <v>2641</v>
      </c>
      <c r="D1920" s="8" t="s">
        <v>64</v>
      </c>
      <c r="E1920" s="52">
        <v>408</v>
      </c>
      <c r="F1920" s="13">
        <v>1108.3900000000001</v>
      </c>
      <c r="G1920" s="13"/>
    </row>
    <row r="1921" spans="1:7" hidden="1" x14ac:dyDescent="0.75">
      <c r="A1921" s="51">
        <v>44953</v>
      </c>
      <c r="B1921" s="52">
        <v>1024</v>
      </c>
      <c r="C1921" s="8" t="s">
        <v>2642</v>
      </c>
      <c r="D1921" s="8" t="s">
        <v>64</v>
      </c>
      <c r="E1921" s="52">
        <v>408</v>
      </c>
      <c r="F1921" s="13">
        <v>795</v>
      </c>
      <c r="G1921" s="13"/>
    </row>
    <row r="1922" spans="1:7" hidden="1" x14ac:dyDescent="0.75">
      <c r="A1922" s="51">
        <v>44953</v>
      </c>
      <c r="B1922" s="52">
        <v>1024</v>
      </c>
      <c r="C1922" s="8" t="s">
        <v>2643</v>
      </c>
      <c r="D1922" s="8" t="s">
        <v>64</v>
      </c>
      <c r="E1922" s="52">
        <v>408</v>
      </c>
      <c r="F1922" s="13">
        <v>255</v>
      </c>
      <c r="G1922" s="13"/>
    </row>
    <row r="1923" spans="1:7" hidden="1" x14ac:dyDescent="0.75">
      <c r="A1923" s="51">
        <v>44953</v>
      </c>
      <c r="B1923" s="52">
        <v>1024</v>
      </c>
      <c r="C1923" s="8" t="s">
        <v>2644</v>
      </c>
      <c r="D1923" s="8" t="s">
        <v>64</v>
      </c>
      <c r="E1923" s="52">
        <v>408</v>
      </c>
      <c r="F1923" s="13">
        <v>272</v>
      </c>
      <c r="G1923" s="13"/>
    </row>
    <row r="1924" spans="1:7" hidden="1" x14ac:dyDescent="0.75">
      <c r="A1924" s="51">
        <v>44953</v>
      </c>
      <c r="B1924" s="52">
        <v>1024</v>
      </c>
      <c r="C1924" s="8" t="s">
        <v>2645</v>
      </c>
      <c r="D1924" s="8" t="s">
        <v>64</v>
      </c>
      <c r="E1924" s="52">
        <v>408</v>
      </c>
      <c r="F1924" s="13">
        <v>4360</v>
      </c>
      <c r="G1924" s="13"/>
    </row>
    <row r="1925" spans="1:7" hidden="1" x14ac:dyDescent="0.75">
      <c r="A1925" s="51">
        <v>44953</v>
      </c>
      <c r="B1925" s="52">
        <v>1024</v>
      </c>
      <c r="C1925" s="8" t="s">
        <v>2646</v>
      </c>
      <c r="D1925" s="8" t="s">
        <v>64</v>
      </c>
      <c r="E1925" s="52">
        <v>408</v>
      </c>
      <c r="F1925" s="13">
        <v>2210</v>
      </c>
      <c r="G1925" s="13"/>
    </row>
    <row r="1926" spans="1:7" hidden="1" x14ac:dyDescent="0.75">
      <c r="A1926" s="51">
        <v>44953</v>
      </c>
      <c r="B1926" s="52">
        <v>1024</v>
      </c>
      <c r="C1926" s="8" t="s">
        <v>2647</v>
      </c>
      <c r="D1926" s="8" t="s">
        <v>64</v>
      </c>
      <c r="E1926" s="52">
        <v>408</v>
      </c>
      <c r="F1926" s="13">
        <v>414</v>
      </c>
      <c r="G1926" s="13"/>
    </row>
    <row r="1927" spans="1:7" hidden="1" x14ac:dyDescent="0.75">
      <c r="A1927" s="51">
        <v>44953</v>
      </c>
      <c r="B1927" s="52">
        <v>1024</v>
      </c>
      <c r="C1927" s="8" t="s">
        <v>2648</v>
      </c>
      <c r="D1927" s="8" t="s">
        <v>64</v>
      </c>
      <c r="E1927" s="52">
        <v>408</v>
      </c>
      <c r="F1927" s="13">
        <v>89.5</v>
      </c>
      <c r="G1927" s="13"/>
    </row>
    <row r="1928" spans="1:7" hidden="1" x14ac:dyDescent="0.75">
      <c r="A1928" s="51">
        <v>44953</v>
      </c>
      <c r="B1928" s="52">
        <v>1024</v>
      </c>
      <c r="C1928" s="8" t="s">
        <v>2649</v>
      </c>
      <c r="D1928" s="8" t="s">
        <v>64</v>
      </c>
      <c r="E1928" s="52">
        <v>408</v>
      </c>
      <c r="F1928" s="13">
        <v>401.6</v>
      </c>
      <c r="G1928" s="13"/>
    </row>
    <row r="1929" spans="1:7" hidden="1" x14ac:dyDescent="0.75">
      <c r="A1929" s="51">
        <v>44954</v>
      </c>
      <c r="B1929" s="52">
        <v>1024</v>
      </c>
      <c r="C1929" s="8" t="s">
        <v>2650</v>
      </c>
      <c r="D1929" s="8" t="s">
        <v>64</v>
      </c>
      <c r="E1929" s="52">
        <v>408</v>
      </c>
      <c r="F1929" s="13">
        <v>6090</v>
      </c>
      <c r="G1929" s="13"/>
    </row>
    <row r="1930" spans="1:7" hidden="1" x14ac:dyDescent="0.75">
      <c r="A1930" s="51">
        <v>44954</v>
      </c>
      <c r="B1930" s="52">
        <v>1024</v>
      </c>
      <c r="C1930" s="8" t="s">
        <v>2651</v>
      </c>
      <c r="D1930" s="8" t="s">
        <v>64</v>
      </c>
      <c r="E1930" s="52">
        <v>408</v>
      </c>
      <c r="F1930" s="13">
        <v>3438</v>
      </c>
      <c r="G1930" s="13"/>
    </row>
    <row r="1931" spans="1:7" hidden="1" x14ac:dyDescent="0.75">
      <c r="A1931" s="51">
        <v>44954</v>
      </c>
      <c r="B1931" s="52">
        <v>1024</v>
      </c>
      <c r="C1931" s="8" t="s">
        <v>2652</v>
      </c>
      <c r="D1931" s="8" t="s">
        <v>64</v>
      </c>
      <c r="E1931" s="52">
        <v>408</v>
      </c>
      <c r="F1931" s="13">
        <v>179</v>
      </c>
      <c r="G1931" s="13"/>
    </row>
    <row r="1932" spans="1:7" hidden="1" x14ac:dyDescent="0.75">
      <c r="A1932" s="51">
        <v>44956</v>
      </c>
      <c r="B1932" s="52">
        <v>1024</v>
      </c>
      <c r="C1932" s="8" t="s">
        <v>2653</v>
      </c>
      <c r="D1932" s="8" t="s">
        <v>64</v>
      </c>
      <c r="E1932" s="52">
        <v>408</v>
      </c>
      <c r="F1932" s="13">
        <v>7290</v>
      </c>
      <c r="G1932" s="13"/>
    </row>
    <row r="1933" spans="1:7" hidden="1" x14ac:dyDescent="0.75">
      <c r="A1933" s="51">
        <v>44956</v>
      </c>
      <c r="B1933" s="52">
        <v>1024</v>
      </c>
      <c r="C1933" s="8" t="s">
        <v>2654</v>
      </c>
      <c r="D1933" s="8" t="s">
        <v>64</v>
      </c>
      <c r="E1933" s="52">
        <v>408</v>
      </c>
      <c r="F1933" s="13">
        <v>1943</v>
      </c>
      <c r="G1933" s="13"/>
    </row>
    <row r="1934" spans="1:7" hidden="1" x14ac:dyDescent="0.75">
      <c r="A1934" s="51">
        <v>44957</v>
      </c>
      <c r="B1934" s="52">
        <v>1024</v>
      </c>
      <c r="C1934" s="8" t="s">
        <v>2655</v>
      </c>
      <c r="D1934" s="8" t="s">
        <v>64</v>
      </c>
      <c r="E1934" s="52">
        <v>408</v>
      </c>
      <c r="F1934" s="13">
        <v>1903</v>
      </c>
      <c r="G1934" s="13"/>
    </row>
    <row r="1935" spans="1:7" hidden="1" x14ac:dyDescent="0.75">
      <c r="A1935" s="51">
        <v>44957</v>
      </c>
      <c r="B1935" s="52">
        <v>1024</v>
      </c>
      <c r="C1935" s="8" t="s">
        <v>2656</v>
      </c>
      <c r="D1935" s="8" t="s">
        <v>64</v>
      </c>
      <c r="E1935" s="52">
        <v>408</v>
      </c>
      <c r="F1935" s="13">
        <v>80</v>
      </c>
      <c r="G1935" s="13"/>
    </row>
    <row r="1936" spans="1:7" hidden="1" x14ac:dyDescent="0.75">
      <c r="A1936" s="51">
        <v>44957</v>
      </c>
      <c r="B1936" s="52">
        <v>1024</v>
      </c>
      <c r="C1936" s="8" t="s">
        <v>2657</v>
      </c>
      <c r="D1936" s="8" t="s">
        <v>64</v>
      </c>
      <c r="E1936" s="52">
        <v>408</v>
      </c>
      <c r="F1936" s="13">
        <v>595</v>
      </c>
      <c r="G1936" s="13"/>
    </row>
    <row r="1937" spans="1:7" hidden="1" x14ac:dyDescent="0.75">
      <c r="A1937" s="51">
        <v>44957</v>
      </c>
      <c r="B1937" s="52">
        <v>1024</v>
      </c>
      <c r="C1937" s="8" t="s">
        <v>2658</v>
      </c>
      <c r="D1937" s="8" t="s">
        <v>64</v>
      </c>
      <c r="E1937" s="52">
        <v>408</v>
      </c>
      <c r="F1937" s="13">
        <v>340</v>
      </c>
      <c r="G1937" s="13"/>
    </row>
    <row r="1938" spans="1:7" hidden="1" x14ac:dyDescent="0.75">
      <c r="A1938" s="51">
        <v>44957</v>
      </c>
      <c r="B1938" s="52">
        <v>1024</v>
      </c>
      <c r="C1938" s="8" t="s">
        <v>2659</v>
      </c>
      <c r="D1938" s="8" t="s">
        <v>64</v>
      </c>
      <c r="E1938" s="52">
        <v>408</v>
      </c>
      <c r="F1938" s="13">
        <v>2658</v>
      </c>
      <c r="G1938" s="13"/>
    </row>
    <row r="1939" spans="1:7" hidden="1" x14ac:dyDescent="0.75">
      <c r="A1939" s="51">
        <v>44957</v>
      </c>
      <c r="B1939" s="52">
        <v>1024</v>
      </c>
      <c r="C1939" s="8" t="s">
        <v>2660</v>
      </c>
      <c r="D1939" s="8" t="s">
        <v>64</v>
      </c>
      <c r="E1939" s="52">
        <v>408</v>
      </c>
      <c r="F1939" s="13">
        <v>263.5</v>
      </c>
      <c r="G1939" s="13"/>
    </row>
    <row r="1940" spans="1:7" hidden="1" x14ac:dyDescent="0.75">
      <c r="A1940" s="51">
        <v>44957</v>
      </c>
      <c r="B1940" s="52">
        <v>1024</v>
      </c>
      <c r="C1940" s="8" t="s">
        <v>2661</v>
      </c>
      <c r="D1940" s="8" t="s">
        <v>64</v>
      </c>
      <c r="E1940" s="52">
        <v>408</v>
      </c>
      <c r="F1940" s="13">
        <v>1894.1</v>
      </c>
      <c r="G1940" s="13"/>
    </row>
    <row r="1941" spans="1:7" hidden="1" x14ac:dyDescent="0.75">
      <c r="A1941" s="51">
        <v>44957</v>
      </c>
      <c r="B1941" s="52">
        <v>1024</v>
      </c>
      <c r="C1941" s="8" t="s">
        <v>2662</v>
      </c>
      <c r="D1941" s="8" t="s">
        <v>64</v>
      </c>
      <c r="E1941" s="52">
        <v>408</v>
      </c>
      <c r="F1941" s="13">
        <v>704</v>
      </c>
      <c r="G1941" s="13"/>
    </row>
    <row r="1942" spans="1:7" hidden="1" x14ac:dyDescent="0.75">
      <c r="A1942" s="51">
        <v>44957</v>
      </c>
      <c r="B1942" s="52">
        <v>1024</v>
      </c>
      <c r="C1942" s="8" t="s">
        <v>2663</v>
      </c>
      <c r="D1942" s="8" t="s">
        <v>64</v>
      </c>
      <c r="E1942" s="52">
        <v>408</v>
      </c>
      <c r="F1942" s="13">
        <v>85</v>
      </c>
      <c r="G1942" s="13"/>
    </row>
    <row r="1943" spans="1:7" hidden="1" x14ac:dyDescent="0.75">
      <c r="A1943" s="51">
        <v>44957</v>
      </c>
      <c r="B1943" s="52">
        <v>1024</v>
      </c>
      <c r="C1943" s="8" t="s">
        <v>2664</v>
      </c>
      <c r="D1943" s="8" t="s">
        <v>64</v>
      </c>
      <c r="E1943" s="52">
        <v>408</v>
      </c>
      <c r="F1943" s="13">
        <v>2000.75</v>
      </c>
      <c r="G1943" s="13"/>
    </row>
    <row r="1944" spans="1:7" hidden="1" x14ac:dyDescent="0.75">
      <c r="A1944" s="51">
        <v>44928</v>
      </c>
      <c r="B1944" s="52">
        <v>883</v>
      </c>
      <c r="C1944" s="8" t="s">
        <v>2665</v>
      </c>
      <c r="D1944" s="8" t="s">
        <v>66</v>
      </c>
      <c r="E1944" s="52">
        <v>408</v>
      </c>
      <c r="F1944" s="13">
        <v>3038.3</v>
      </c>
      <c r="G1944" s="13"/>
    </row>
    <row r="1945" spans="1:7" hidden="1" x14ac:dyDescent="0.75">
      <c r="A1945" s="51">
        <v>44928</v>
      </c>
      <c r="B1945" s="52">
        <v>883</v>
      </c>
      <c r="C1945" s="8" t="s">
        <v>2666</v>
      </c>
      <c r="D1945" s="8" t="s">
        <v>66</v>
      </c>
      <c r="E1945" s="52">
        <v>408</v>
      </c>
      <c r="F1945" s="13">
        <v>432.5</v>
      </c>
      <c r="G1945" s="13"/>
    </row>
    <row r="1946" spans="1:7" hidden="1" x14ac:dyDescent="0.75">
      <c r="A1946" s="51">
        <v>44928</v>
      </c>
      <c r="B1946" s="52">
        <v>883</v>
      </c>
      <c r="C1946" s="8" t="s">
        <v>2667</v>
      </c>
      <c r="D1946" s="8" t="s">
        <v>66</v>
      </c>
      <c r="E1946" s="52">
        <v>408</v>
      </c>
      <c r="F1946" s="13">
        <v>124</v>
      </c>
      <c r="G1946" s="13"/>
    </row>
    <row r="1947" spans="1:7" hidden="1" x14ac:dyDescent="0.75">
      <c r="A1947" s="51">
        <v>44930</v>
      </c>
      <c r="B1947" s="52">
        <v>883</v>
      </c>
      <c r="C1947" s="8" t="s">
        <v>2668</v>
      </c>
      <c r="D1947" s="8" t="s">
        <v>66</v>
      </c>
      <c r="E1947" s="52">
        <v>408</v>
      </c>
      <c r="F1947" s="13">
        <v>1147.5</v>
      </c>
      <c r="G1947" s="13"/>
    </row>
    <row r="1948" spans="1:7" hidden="1" x14ac:dyDescent="0.75">
      <c r="A1948" s="51">
        <v>44930</v>
      </c>
      <c r="B1948" s="52">
        <v>883</v>
      </c>
      <c r="C1948" s="8" t="s">
        <v>2669</v>
      </c>
      <c r="D1948" s="8" t="s">
        <v>66</v>
      </c>
      <c r="E1948" s="52">
        <v>408</v>
      </c>
      <c r="F1948" s="13">
        <v>3857.2</v>
      </c>
      <c r="G1948" s="13"/>
    </row>
    <row r="1949" spans="1:7" hidden="1" x14ac:dyDescent="0.75">
      <c r="A1949" s="51">
        <v>44931</v>
      </c>
      <c r="B1949" s="52">
        <v>883</v>
      </c>
      <c r="C1949" s="8" t="s">
        <v>2670</v>
      </c>
      <c r="D1949" s="8" t="s">
        <v>66</v>
      </c>
      <c r="E1949" s="52">
        <v>1362</v>
      </c>
      <c r="F1949" s="13"/>
      <c r="G1949" s="13">
        <v>4424.17</v>
      </c>
    </row>
    <row r="1950" spans="1:7" hidden="1" x14ac:dyDescent="0.75">
      <c r="A1950" s="51">
        <v>44931</v>
      </c>
      <c r="B1950" s="52">
        <v>883</v>
      </c>
      <c r="C1950" s="8" t="s">
        <v>2671</v>
      </c>
      <c r="D1950" s="8" t="s">
        <v>66</v>
      </c>
      <c r="E1950" s="52">
        <v>1362</v>
      </c>
      <c r="F1950" s="13"/>
      <c r="G1950" s="13">
        <v>835.13</v>
      </c>
    </row>
    <row r="1951" spans="1:7" hidden="1" x14ac:dyDescent="0.75">
      <c r="A1951" s="51">
        <v>44931</v>
      </c>
      <c r="B1951" s="52">
        <v>883</v>
      </c>
      <c r="C1951" s="8" t="s">
        <v>2672</v>
      </c>
      <c r="D1951" s="8" t="s">
        <v>66</v>
      </c>
      <c r="E1951" s="52">
        <v>1362</v>
      </c>
      <c r="F1951" s="13"/>
      <c r="G1951" s="13">
        <v>4338.1400000000003</v>
      </c>
    </row>
    <row r="1952" spans="1:7" hidden="1" x14ac:dyDescent="0.75">
      <c r="A1952" s="51">
        <v>44931</v>
      </c>
      <c r="B1952" s="52">
        <v>883</v>
      </c>
      <c r="C1952" s="8" t="s">
        <v>2673</v>
      </c>
      <c r="D1952" s="8" t="s">
        <v>66</v>
      </c>
      <c r="E1952" s="52">
        <v>1362</v>
      </c>
      <c r="F1952" s="13"/>
      <c r="G1952" s="13">
        <v>761.6</v>
      </c>
    </row>
    <row r="1953" spans="1:7" hidden="1" x14ac:dyDescent="0.75">
      <c r="A1953" s="51">
        <v>44931</v>
      </c>
      <c r="B1953" s="52">
        <v>883</v>
      </c>
      <c r="C1953" s="8" t="s">
        <v>2674</v>
      </c>
      <c r="D1953" s="8" t="s">
        <v>66</v>
      </c>
      <c r="E1953" s="52">
        <v>1362</v>
      </c>
      <c r="F1953" s="13"/>
      <c r="G1953" s="13">
        <v>2863.4</v>
      </c>
    </row>
    <row r="1954" spans="1:7" hidden="1" x14ac:dyDescent="0.75">
      <c r="A1954" s="51">
        <v>44931</v>
      </c>
      <c r="B1954" s="52">
        <v>883</v>
      </c>
      <c r="C1954" s="8" t="s">
        <v>2675</v>
      </c>
      <c r="D1954" s="8" t="s">
        <v>66</v>
      </c>
      <c r="E1954" s="52">
        <v>1362</v>
      </c>
      <c r="F1954" s="13"/>
      <c r="G1954" s="13">
        <v>668.1</v>
      </c>
    </row>
    <row r="1955" spans="1:7" hidden="1" x14ac:dyDescent="0.75">
      <c r="A1955" s="51">
        <v>44931</v>
      </c>
      <c r="B1955" s="52">
        <v>883</v>
      </c>
      <c r="C1955" s="8" t="s">
        <v>2676</v>
      </c>
      <c r="D1955" s="8" t="s">
        <v>66</v>
      </c>
      <c r="E1955" s="52">
        <v>1362</v>
      </c>
      <c r="F1955" s="13"/>
      <c r="G1955" s="13">
        <v>3182.15</v>
      </c>
    </row>
    <row r="1956" spans="1:7" hidden="1" x14ac:dyDescent="0.75">
      <c r="A1956" s="51">
        <v>44931</v>
      </c>
      <c r="B1956" s="52">
        <v>883</v>
      </c>
      <c r="C1956" s="8" t="s">
        <v>2677</v>
      </c>
      <c r="D1956" s="8" t="s">
        <v>66</v>
      </c>
      <c r="E1956" s="52">
        <v>1362</v>
      </c>
      <c r="F1956" s="13"/>
      <c r="G1956" s="13">
        <v>294.10000000000002</v>
      </c>
    </row>
    <row r="1957" spans="1:7" hidden="1" x14ac:dyDescent="0.75">
      <c r="A1957" s="51">
        <v>44932</v>
      </c>
      <c r="B1957" s="52">
        <v>883</v>
      </c>
      <c r="C1957" s="8" t="s">
        <v>2678</v>
      </c>
      <c r="D1957" s="8" t="s">
        <v>66</v>
      </c>
      <c r="E1957" s="52">
        <v>408</v>
      </c>
      <c r="F1957" s="13">
        <v>1006</v>
      </c>
      <c r="G1957" s="13"/>
    </row>
    <row r="1958" spans="1:7" hidden="1" x14ac:dyDescent="0.75">
      <c r="A1958" s="51">
        <v>44932</v>
      </c>
      <c r="B1958" s="52">
        <v>883</v>
      </c>
      <c r="C1958" s="8" t="s">
        <v>2679</v>
      </c>
      <c r="D1958" s="8" t="s">
        <v>66</v>
      </c>
      <c r="E1958" s="52">
        <v>408</v>
      </c>
      <c r="F1958" s="13">
        <v>4438.8</v>
      </c>
      <c r="G1958" s="13"/>
    </row>
    <row r="1959" spans="1:7" hidden="1" x14ac:dyDescent="0.75">
      <c r="A1959" s="51">
        <v>44935</v>
      </c>
      <c r="B1959" s="52">
        <v>883</v>
      </c>
      <c r="C1959" s="8" t="s">
        <v>2680</v>
      </c>
      <c r="D1959" s="8" t="s">
        <v>66</v>
      </c>
      <c r="E1959" s="52">
        <v>408</v>
      </c>
      <c r="F1959" s="13">
        <v>3407.1</v>
      </c>
      <c r="G1959" s="13"/>
    </row>
    <row r="1960" spans="1:7" hidden="1" x14ac:dyDescent="0.75">
      <c r="A1960" s="51">
        <v>44935</v>
      </c>
      <c r="B1960" s="52">
        <v>883</v>
      </c>
      <c r="C1960" s="8" t="s">
        <v>2681</v>
      </c>
      <c r="D1960" s="8" t="s">
        <v>66</v>
      </c>
      <c r="E1960" s="52">
        <v>408</v>
      </c>
      <c r="F1960" s="13">
        <v>1006</v>
      </c>
      <c r="G1960" s="13"/>
    </row>
    <row r="1961" spans="1:7" hidden="1" x14ac:dyDescent="0.75">
      <c r="A1961" s="51">
        <v>44937</v>
      </c>
      <c r="B1961" s="52">
        <v>883</v>
      </c>
      <c r="C1961" s="8" t="s">
        <v>2682</v>
      </c>
      <c r="D1961" s="8" t="s">
        <v>66</v>
      </c>
      <c r="E1961" s="52">
        <v>408</v>
      </c>
      <c r="F1961" s="13">
        <v>4363.8999999999996</v>
      </c>
      <c r="G1961" s="13"/>
    </row>
    <row r="1962" spans="1:7" hidden="1" x14ac:dyDescent="0.75">
      <c r="A1962" s="51">
        <v>44937</v>
      </c>
      <c r="B1962" s="52">
        <v>883</v>
      </c>
      <c r="C1962" s="8" t="s">
        <v>2683</v>
      </c>
      <c r="D1962" s="8" t="s">
        <v>66</v>
      </c>
      <c r="E1962" s="52">
        <v>408</v>
      </c>
      <c r="F1962" s="13">
        <v>786</v>
      </c>
      <c r="G1962" s="13"/>
    </row>
    <row r="1963" spans="1:7" hidden="1" x14ac:dyDescent="0.75">
      <c r="A1963" s="51">
        <v>44940</v>
      </c>
      <c r="B1963" s="52">
        <v>883</v>
      </c>
      <c r="C1963" s="8" t="s">
        <v>2684</v>
      </c>
      <c r="D1963" s="8" t="s">
        <v>66</v>
      </c>
      <c r="E1963" s="52">
        <v>408</v>
      </c>
      <c r="F1963" s="13">
        <v>1061</v>
      </c>
      <c r="G1963" s="13"/>
    </row>
    <row r="1964" spans="1:7" hidden="1" x14ac:dyDescent="0.75">
      <c r="A1964" s="51">
        <v>44940</v>
      </c>
      <c r="B1964" s="52">
        <v>883</v>
      </c>
      <c r="C1964" s="8" t="s">
        <v>2685</v>
      </c>
      <c r="D1964" s="8" t="s">
        <v>66</v>
      </c>
      <c r="E1964" s="52">
        <v>408</v>
      </c>
      <c r="F1964" s="13">
        <v>5151.5</v>
      </c>
      <c r="G1964" s="13"/>
    </row>
    <row r="1965" spans="1:7" hidden="1" x14ac:dyDescent="0.75">
      <c r="A1965" s="51">
        <v>44942</v>
      </c>
      <c r="B1965" s="52">
        <v>883</v>
      </c>
      <c r="C1965" s="8" t="s">
        <v>2686</v>
      </c>
      <c r="D1965" s="8" t="s">
        <v>66</v>
      </c>
      <c r="E1965" s="52">
        <v>1362</v>
      </c>
      <c r="F1965" s="13"/>
      <c r="G1965" s="13">
        <v>3394.4</v>
      </c>
    </row>
    <row r="1966" spans="1:7" hidden="1" x14ac:dyDescent="0.75">
      <c r="A1966" s="51">
        <v>44942</v>
      </c>
      <c r="B1966" s="52">
        <v>883</v>
      </c>
      <c r="C1966" s="8" t="s">
        <v>2686</v>
      </c>
      <c r="D1966" s="8" t="s">
        <v>66</v>
      </c>
      <c r="E1966" s="52">
        <v>1362</v>
      </c>
      <c r="F1966" s="13"/>
      <c r="G1966" s="13">
        <v>786</v>
      </c>
    </row>
    <row r="1967" spans="1:7" hidden="1" x14ac:dyDescent="0.75">
      <c r="A1967" s="51">
        <v>44942</v>
      </c>
      <c r="B1967" s="52">
        <v>883</v>
      </c>
      <c r="C1967" s="8" t="s">
        <v>2686</v>
      </c>
      <c r="D1967" s="8" t="s">
        <v>66</v>
      </c>
      <c r="E1967" s="52">
        <v>1362</v>
      </c>
      <c r="F1967" s="13"/>
      <c r="G1967" s="13">
        <v>3456.1</v>
      </c>
    </row>
    <row r="1968" spans="1:7" hidden="1" x14ac:dyDescent="0.75">
      <c r="A1968" s="51">
        <v>44942</v>
      </c>
      <c r="B1968" s="52">
        <v>883</v>
      </c>
      <c r="C1968" s="8" t="s">
        <v>2686</v>
      </c>
      <c r="D1968" s="8" t="s">
        <v>66</v>
      </c>
      <c r="E1968" s="52">
        <v>1362</v>
      </c>
      <c r="F1968" s="13"/>
      <c r="G1968" s="13">
        <v>786</v>
      </c>
    </row>
    <row r="1969" spans="1:7" hidden="1" x14ac:dyDescent="0.75">
      <c r="A1969" s="51">
        <v>44942</v>
      </c>
      <c r="B1969" s="52">
        <v>883</v>
      </c>
      <c r="C1969" s="8" t="s">
        <v>2686</v>
      </c>
      <c r="D1969" s="8" t="s">
        <v>66</v>
      </c>
      <c r="E1969" s="52">
        <v>1362</v>
      </c>
      <c r="F1969" s="13"/>
      <c r="G1969" s="13">
        <v>5223</v>
      </c>
    </row>
    <row r="1970" spans="1:7" hidden="1" x14ac:dyDescent="0.75">
      <c r="A1970" s="51">
        <v>44942</v>
      </c>
      <c r="B1970" s="52">
        <v>883</v>
      </c>
      <c r="C1970" s="8" t="s">
        <v>2686</v>
      </c>
      <c r="D1970" s="8" t="s">
        <v>66</v>
      </c>
      <c r="E1970" s="52">
        <v>1362</v>
      </c>
      <c r="F1970" s="13"/>
      <c r="G1970" s="13">
        <v>833</v>
      </c>
    </row>
    <row r="1971" spans="1:7" hidden="1" x14ac:dyDescent="0.75">
      <c r="A1971" s="51">
        <v>44942</v>
      </c>
      <c r="B1971" s="52">
        <v>883</v>
      </c>
      <c r="C1971" s="8" t="s">
        <v>2686</v>
      </c>
      <c r="D1971" s="8" t="s">
        <v>66</v>
      </c>
      <c r="E1971" s="52">
        <v>1362</v>
      </c>
      <c r="F1971" s="13"/>
      <c r="G1971" s="13">
        <v>4786.8</v>
      </c>
    </row>
    <row r="1972" spans="1:7" hidden="1" x14ac:dyDescent="0.75">
      <c r="A1972" s="51">
        <v>44942</v>
      </c>
      <c r="B1972" s="52">
        <v>883</v>
      </c>
      <c r="C1972" s="8" t="s">
        <v>2686</v>
      </c>
      <c r="D1972" s="8" t="s">
        <v>66</v>
      </c>
      <c r="E1972" s="52">
        <v>1362</v>
      </c>
      <c r="F1972" s="13"/>
      <c r="G1972" s="13">
        <v>896</v>
      </c>
    </row>
    <row r="1973" spans="1:7" hidden="1" x14ac:dyDescent="0.75">
      <c r="A1973" s="51">
        <v>44942</v>
      </c>
      <c r="B1973" s="52">
        <v>883</v>
      </c>
      <c r="C1973" s="8" t="s">
        <v>2686</v>
      </c>
      <c r="D1973" s="8" t="s">
        <v>66</v>
      </c>
      <c r="E1973" s="52">
        <v>1362</v>
      </c>
      <c r="F1973" s="13"/>
      <c r="G1973" s="13">
        <v>4166.8</v>
      </c>
    </row>
    <row r="1974" spans="1:7" hidden="1" x14ac:dyDescent="0.75">
      <c r="A1974" s="51">
        <v>44942</v>
      </c>
      <c r="B1974" s="52">
        <v>883</v>
      </c>
      <c r="C1974" s="8" t="s">
        <v>2686</v>
      </c>
      <c r="D1974" s="8" t="s">
        <v>66</v>
      </c>
      <c r="E1974" s="52">
        <v>1362</v>
      </c>
      <c r="F1974" s="13"/>
      <c r="G1974" s="13">
        <v>589.5</v>
      </c>
    </row>
    <row r="1975" spans="1:7" hidden="1" x14ac:dyDescent="0.75">
      <c r="A1975" s="51">
        <v>44943</v>
      </c>
      <c r="B1975" s="52">
        <v>883</v>
      </c>
      <c r="C1975" s="8" t="s">
        <v>2687</v>
      </c>
      <c r="D1975" s="8" t="s">
        <v>66</v>
      </c>
      <c r="E1975" s="52">
        <v>408</v>
      </c>
      <c r="F1975" s="13">
        <v>4438</v>
      </c>
      <c r="G1975" s="13"/>
    </row>
    <row r="1976" spans="1:7" hidden="1" x14ac:dyDescent="0.75">
      <c r="A1976" s="51">
        <v>44943</v>
      </c>
      <c r="B1976" s="52">
        <v>883</v>
      </c>
      <c r="C1976" s="8" t="s">
        <v>2688</v>
      </c>
      <c r="D1976" s="8" t="s">
        <v>66</v>
      </c>
      <c r="E1976" s="52">
        <v>408</v>
      </c>
      <c r="F1976" s="13">
        <v>766.25</v>
      </c>
      <c r="G1976" s="13"/>
    </row>
    <row r="1977" spans="1:7" hidden="1" x14ac:dyDescent="0.75">
      <c r="A1977" s="51">
        <v>44945</v>
      </c>
      <c r="B1977" s="52">
        <v>883</v>
      </c>
      <c r="C1977" s="8" t="s">
        <v>2689</v>
      </c>
      <c r="D1977" s="8" t="s">
        <v>66</v>
      </c>
      <c r="E1977" s="52">
        <v>408</v>
      </c>
      <c r="F1977" s="13">
        <v>4976</v>
      </c>
      <c r="G1977" s="13"/>
    </row>
    <row r="1978" spans="1:7" hidden="1" x14ac:dyDescent="0.75">
      <c r="A1978" s="51">
        <v>44945</v>
      </c>
      <c r="B1978" s="52">
        <v>883</v>
      </c>
      <c r="C1978" s="8" t="s">
        <v>2690</v>
      </c>
      <c r="D1978" s="8" t="s">
        <v>66</v>
      </c>
      <c r="E1978" s="52">
        <v>408</v>
      </c>
      <c r="F1978" s="13">
        <v>982.5</v>
      </c>
      <c r="G1978" s="13"/>
    </row>
    <row r="1979" spans="1:7" hidden="1" x14ac:dyDescent="0.75">
      <c r="A1979" s="51">
        <v>44947</v>
      </c>
      <c r="B1979" s="52">
        <v>883</v>
      </c>
      <c r="C1979" s="8" t="s">
        <v>2691</v>
      </c>
      <c r="D1979" s="8" t="s">
        <v>66</v>
      </c>
      <c r="E1979" s="52">
        <v>408</v>
      </c>
      <c r="F1979" s="13">
        <v>4412.8</v>
      </c>
      <c r="G1979" s="13"/>
    </row>
    <row r="1980" spans="1:7" hidden="1" x14ac:dyDescent="0.75">
      <c r="A1980" s="51">
        <v>44947</v>
      </c>
      <c r="B1980" s="52">
        <v>883</v>
      </c>
      <c r="C1980" s="8" t="s">
        <v>2692</v>
      </c>
      <c r="D1980" s="8" t="s">
        <v>66</v>
      </c>
      <c r="E1980" s="52">
        <v>408</v>
      </c>
      <c r="F1980" s="13">
        <v>1006</v>
      </c>
      <c r="G1980" s="13"/>
    </row>
    <row r="1981" spans="1:7" hidden="1" x14ac:dyDescent="0.75">
      <c r="A1981" s="51">
        <v>44950</v>
      </c>
      <c r="B1981" s="52">
        <v>883</v>
      </c>
      <c r="C1981" s="8" t="s">
        <v>2693</v>
      </c>
      <c r="D1981" s="8" t="s">
        <v>66</v>
      </c>
      <c r="E1981" s="52">
        <v>408</v>
      </c>
      <c r="F1981" s="13">
        <v>4416.8999999999996</v>
      </c>
      <c r="G1981" s="13"/>
    </row>
    <row r="1982" spans="1:7" hidden="1" x14ac:dyDescent="0.75">
      <c r="A1982" s="51">
        <v>44951</v>
      </c>
      <c r="B1982" s="52">
        <v>883</v>
      </c>
      <c r="C1982" s="8" t="s">
        <v>2694</v>
      </c>
      <c r="D1982" s="8" t="s">
        <v>66</v>
      </c>
      <c r="E1982" s="52">
        <v>408</v>
      </c>
      <c r="F1982" s="13">
        <v>4321.8999999999996</v>
      </c>
      <c r="G1982" s="13"/>
    </row>
    <row r="1983" spans="1:7" hidden="1" x14ac:dyDescent="0.75">
      <c r="A1983" s="51">
        <v>44951</v>
      </c>
      <c r="B1983" s="52">
        <v>883</v>
      </c>
      <c r="C1983" s="8" t="s">
        <v>2686</v>
      </c>
      <c r="D1983" s="8" t="s">
        <v>66</v>
      </c>
      <c r="E1983" s="52">
        <v>1362</v>
      </c>
      <c r="F1983" s="13"/>
      <c r="G1983" s="13">
        <v>4281.3</v>
      </c>
    </row>
    <row r="1984" spans="1:7" hidden="1" x14ac:dyDescent="0.75">
      <c r="A1984" s="51">
        <v>44951</v>
      </c>
      <c r="B1984" s="52">
        <v>883</v>
      </c>
      <c r="C1984" s="8" t="s">
        <v>2686</v>
      </c>
      <c r="D1984" s="8" t="s">
        <v>66</v>
      </c>
      <c r="E1984" s="52">
        <v>1362</v>
      </c>
      <c r="F1984" s="13"/>
      <c r="G1984" s="13">
        <v>786</v>
      </c>
    </row>
    <row r="1985" spans="1:7" hidden="1" x14ac:dyDescent="0.75">
      <c r="A1985" s="51">
        <v>44951</v>
      </c>
      <c r="B1985" s="52">
        <v>883</v>
      </c>
      <c r="C1985" s="8" t="s">
        <v>2686</v>
      </c>
      <c r="D1985" s="8" t="s">
        <v>66</v>
      </c>
      <c r="E1985" s="52">
        <v>1362</v>
      </c>
      <c r="F1985" s="13"/>
      <c r="G1985" s="13">
        <v>4452.1000000000004</v>
      </c>
    </row>
    <row r="1986" spans="1:7" hidden="1" x14ac:dyDescent="0.75">
      <c r="A1986" s="51">
        <v>44951</v>
      </c>
      <c r="B1986" s="52">
        <v>883</v>
      </c>
      <c r="C1986" s="8" t="s">
        <v>2686</v>
      </c>
      <c r="D1986" s="8" t="s">
        <v>66</v>
      </c>
      <c r="E1986" s="52">
        <v>1362</v>
      </c>
      <c r="F1986" s="13"/>
      <c r="G1986" s="13">
        <v>731</v>
      </c>
    </row>
    <row r="1987" spans="1:7" hidden="1" x14ac:dyDescent="0.75">
      <c r="A1987" s="51">
        <v>44951</v>
      </c>
      <c r="B1987" s="52">
        <v>883</v>
      </c>
      <c r="C1987" s="8" t="s">
        <v>2686</v>
      </c>
      <c r="D1987" s="8" t="s">
        <v>66</v>
      </c>
      <c r="E1987" s="52">
        <v>1362</v>
      </c>
      <c r="F1987" s="13"/>
      <c r="G1987" s="13">
        <v>4764.6000000000004</v>
      </c>
    </row>
    <row r="1988" spans="1:7" hidden="1" x14ac:dyDescent="0.75">
      <c r="A1988" s="51">
        <v>44951</v>
      </c>
      <c r="B1988" s="52">
        <v>883</v>
      </c>
      <c r="C1988" s="8" t="s">
        <v>2686</v>
      </c>
      <c r="D1988" s="8" t="s">
        <v>66</v>
      </c>
      <c r="E1988" s="52">
        <v>1362</v>
      </c>
      <c r="F1988" s="13"/>
      <c r="G1988" s="13">
        <v>731</v>
      </c>
    </row>
    <row r="1989" spans="1:7" hidden="1" x14ac:dyDescent="0.75">
      <c r="A1989" s="51">
        <v>44951</v>
      </c>
      <c r="B1989" s="52">
        <v>883</v>
      </c>
      <c r="C1989" s="8" t="s">
        <v>2686</v>
      </c>
      <c r="D1989" s="8" t="s">
        <v>66</v>
      </c>
      <c r="E1989" s="52">
        <v>1362</v>
      </c>
      <c r="F1989" s="13"/>
      <c r="G1989" s="13">
        <v>896</v>
      </c>
    </row>
    <row r="1990" spans="1:7" hidden="1" x14ac:dyDescent="0.75">
      <c r="A1990" s="51">
        <v>44951</v>
      </c>
      <c r="B1990" s="52">
        <v>883</v>
      </c>
      <c r="C1990" s="8" t="s">
        <v>2686</v>
      </c>
      <c r="D1990" s="8" t="s">
        <v>66</v>
      </c>
      <c r="E1990" s="52">
        <v>1362</v>
      </c>
      <c r="F1990" s="13"/>
      <c r="G1990" s="13">
        <v>4696.8999999999996</v>
      </c>
    </row>
    <row r="1991" spans="1:7" hidden="1" x14ac:dyDescent="0.75">
      <c r="A1991" s="51">
        <v>44952</v>
      </c>
      <c r="B1991" s="52">
        <v>883</v>
      </c>
      <c r="C1991" s="8" t="s">
        <v>2695</v>
      </c>
      <c r="D1991" s="8" t="s">
        <v>66</v>
      </c>
      <c r="E1991" s="52">
        <v>408</v>
      </c>
      <c r="F1991" s="13">
        <v>4499.8999999999996</v>
      </c>
      <c r="G1991" s="13"/>
    </row>
    <row r="1992" spans="1:7" hidden="1" x14ac:dyDescent="0.75">
      <c r="A1992" s="51">
        <v>44952</v>
      </c>
      <c r="B1992" s="52">
        <v>883</v>
      </c>
      <c r="C1992" s="8" t="s">
        <v>2696</v>
      </c>
      <c r="D1992" s="8" t="s">
        <v>66</v>
      </c>
      <c r="E1992" s="52">
        <v>408</v>
      </c>
      <c r="F1992" s="13">
        <v>660</v>
      </c>
      <c r="G1992" s="13"/>
    </row>
    <row r="1993" spans="1:7" hidden="1" x14ac:dyDescent="0.75">
      <c r="A1993" s="51">
        <v>44954</v>
      </c>
      <c r="B1993" s="52">
        <v>883</v>
      </c>
      <c r="C1993" s="8" t="s">
        <v>2697</v>
      </c>
      <c r="D1993" s="8" t="s">
        <v>66</v>
      </c>
      <c r="E1993" s="52">
        <v>408</v>
      </c>
      <c r="F1993" s="13">
        <v>4634.8999999999996</v>
      </c>
      <c r="G1993" s="13"/>
    </row>
    <row r="1994" spans="1:7" hidden="1" x14ac:dyDescent="0.75">
      <c r="A1994" s="51">
        <v>44954</v>
      </c>
      <c r="B1994" s="52">
        <v>883</v>
      </c>
      <c r="C1994" s="8" t="s">
        <v>2698</v>
      </c>
      <c r="D1994" s="8" t="s">
        <v>66</v>
      </c>
      <c r="E1994" s="52">
        <v>408</v>
      </c>
      <c r="F1994" s="13">
        <v>660</v>
      </c>
      <c r="G1994" s="13"/>
    </row>
    <row r="1995" spans="1:7" hidden="1" x14ac:dyDescent="0.75">
      <c r="A1995" s="51">
        <v>44957</v>
      </c>
      <c r="B1995" s="52">
        <v>883</v>
      </c>
      <c r="C1995" s="8" t="s">
        <v>2699</v>
      </c>
      <c r="D1995" s="8" t="s">
        <v>66</v>
      </c>
      <c r="E1995" s="52">
        <v>408</v>
      </c>
      <c r="F1995" s="13">
        <v>1379</v>
      </c>
      <c r="G1995" s="13"/>
    </row>
    <row r="1996" spans="1:7" hidden="1" x14ac:dyDescent="0.75">
      <c r="A1996" s="51">
        <v>44957</v>
      </c>
      <c r="B1996" s="52">
        <v>883</v>
      </c>
      <c r="C1996" s="8" t="s">
        <v>2700</v>
      </c>
      <c r="D1996" s="8" t="s">
        <v>66</v>
      </c>
      <c r="E1996" s="52">
        <v>408</v>
      </c>
      <c r="F1996" s="13">
        <v>4324.3</v>
      </c>
      <c r="G1996" s="13"/>
    </row>
    <row r="1997" spans="1:7" hidden="1" x14ac:dyDescent="0.75">
      <c r="A1997" s="51">
        <v>44928</v>
      </c>
      <c r="B1997" s="52">
        <v>885</v>
      </c>
      <c r="C1997" s="8" t="s">
        <v>2701</v>
      </c>
      <c r="D1997" s="8" t="s">
        <v>67</v>
      </c>
      <c r="E1997" s="52">
        <v>408</v>
      </c>
      <c r="F1997" s="13">
        <v>1295.5</v>
      </c>
      <c r="G1997" s="13"/>
    </row>
    <row r="1998" spans="1:7" hidden="1" x14ac:dyDescent="0.75">
      <c r="A1998" s="51">
        <v>44930</v>
      </c>
      <c r="B1998" s="52">
        <v>885</v>
      </c>
      <c r="C1998" s="8" t="s">
        <v>2702</v>
      </c>
      <c r="D1998" s="8" t="s">
        <v>67</v>
      </c>
      <c r="E1998" s="52">
        <v>408</v>
      </c>
      <c r="F1998" s="13">
        <v>1009.5</v>
      </c>
      <c r="G1998" s="13"/>
    </row>
    <row r="1999" spans="1:7" hidden="1" x14ac:dyDescent="0.75">
      <c r="A1999" s="51">
        <v>44931</v>
      </c>
      <c r="B1999" s="52">
        <v>885</v>
      </c>
      <c r="C1999" s="8" t="s">
        <v>2703</v>
      </c>
      <c r="D1999" s="8" t="s">
        <v>67</v>
      </c>
      <c r="E1999" s="52">
        <v>1362</v>
      </c>
      <c r="F1999" s="13"/>
      <c r="G1999" s="13">
        <v>1139.3399999999999</v>
      </c>
    </row>
    <row r="2000" spans="1:7" hidden="1" x14ac:dyDescent="0.75">
      <c r="A2000" s="51">
        <v>44931</v>
      </c>
      <c r="B2000" s="52">
        <v>885</v>
      </c>
      <c r="C2000" s="8" t="s">
        <v>2704</v>
      </c>
      <c r="D2000" s="8" t="s">
        <v>67</v>
      </c>
      <c r="E2000" s="52">
        <v>1362</v>
      </c>
      <c r="F2000" s="13"/>
      <c r="G2000" s="13">
        <v>158.1</v>
      </c>
    </row>
    <row r="2001" spans="1:7" hidden="1" x14ac:dyDescent="0.75">
      <c r="A2001" s="51">
        <v>44931</v>
      </c>
      <c r="B2001" s="52">
        <v>885</v>
      </c>
      <c r="C2001" s="8" t="s">
        <v>2705</v>
      </c>
      <c r="D2001" s="8" t="s">
        <v>67</v>
      </c>
      <c r="E2001" s="52">
        <v>1362</v>
      </c>
      <c r="F2001" s="13"/>
      <c r="G2001" s="13">
        <v>1177.3399999999999</v>
      </c>
    </row>
    <row r="2002" spans="1:7" hidden="1" x14ac:dyDescent="0.75">
      <c r="A2002" s="51">
        <v>44931</v>
      </c>
      <c r="B2002" s="52">
        <v>885</v>
      </c>
      <c r="C2002" s="8" t="s">
        <v>2706</v>
      </c>
      <c r="D2002" s="8" t="s">
        <v>67</v>
      </c>
      <c r="E2002" s="52">
        <v>1362</v>
      </c>
      <c r="F2002" s="13"/>
      <c r="G2002" s="13">
        <v>1034.45</v>
      </c>
    </row>
    <row r="2003" spans="1:7" hidden="1" x14ac:dyDescent="0.75">
      <c r="A2003" s="51">
        <v>44932</v>
      </c>
      <c r="B2003" s="52">
        <v>885</v>
      </c>
      <c r="C2003" s="8" t="s">
        <v>2707</v>
      </c>
      <c r="D2003" s="8" t="s">
        <v>67</v>
      </c>
      <c r="E2003" s="52">
        <v>408</v>
      </c>
      <c r="F2003" s="13">
        <v>1461.1</v>
      </c>
      <c r="G2003" s="13"/>
    </row>
    <row r="2004" spans="1:7" hidden="1" x14ac:dyDescent="0.75">
      <c r="A2004" s="51">
        <v>44935</v>
      </c>
      <c r="B2004" s="52">
        <v>885</v>
      </c>
      <c r="C2004" s="8" t="s">
        <v>2708</v>
      </c>
      <c r="D2004" s="8" t="s">
        <v>67</v>
      </c>
      <c r="E2004" s="52">
        <v>408</v>
      </c>
      <c r="F2004" s="13">
        <v>585.4</v>
      </c>
      <c r="G2004" s="13"/>
    </row>
    <row r="2005" spans="1:7" hidden="1" x14ac:dyDescent="0.75">
      <c r="A2005" s="51">
        <v>44937</v>
      </c>
      <c r="B2005" s="52">
        <v>885</v>
      </c>
      <c r="C2005" s="8" t="s">
        <v>2709</v>
      </c>
      <c r="D2005" s="8" t="s">
        <v>67</v>
      </c>
      <c r="E2005" s="52">
        <v>408</v>
      </c>
      <c r="F2005" s="13">
        <v>1280.5</v>
      </c>
      <c r="G2005" s="13"/>
    </row>
    <row r="2006" spans="1:7" hidden="1" x14ac:dyDescent="0.75">
      <c r="A2006" s="51">
        <v>44940</v>
      </c>
      <c r="B2006" s="52">
        <v>885</v>
      </c>
      <c r="C2006" s="8" t="s">
        <v>2710</v>
      </c>
      <c r="D2006" s="8" t="s">
        <v>67</v>
      </c>
      <c r="E2006" s="52">
        <v>408</v>
      </c>
      <c r="F2006" s="13">
        <v>1278</v>
      </c>
      <c r="G2006" s="13"/>
    </row>
    <row r="2007" spans="1:7" hidden="1" x14ac:dyDescent="0.75">
      <c r="A2007" s="51">
        <v>44942</v>
      </c>
      <c r="B2007" s="52">
        <v>885</v>
      </c>
      <c r="C2007" s="8" t="s">
        <v>2711</v>
      </c>
      <c r="D2007" s="8" t="s">
        <v>67</v>
      </c>
      <c r="E2007" s="52">
        <v>1362</v>
      </c>
      <c r="F2007" s="13"/>
      <c r="G2007" s="13">
        <v>1003.4</v>
      </c>
    </row>
    <row r="2008" spans="1:7" hidden="1" x14ac:dyDescent="0.75">
      <c r="A2008" s="51">
        <v>44942</v>
      </c>
      <c r="B2008" s="52">
        <v>885</v>
      </c>
      <c r="C2008" s="8" t="s">
        <v>2711</v>
      </c>
      <c r="D2008" s="8" t="s">
        <v>67</v>
      </c>
      <c r="E2008" s="52">
        <v>1362</v>
      </c>
      <c r="F2008" s="13"/>
      <c r="G2008" s="13">
        <v>725.2</v>
      </c>
    </row>
    <row r="2009" spans="1:7" hidden="1" x14ac:dyDescent="0.75">
      <c r="A2009" s="51">
        <v>44942</v>
      </c>
      <c r="B2009" s="52">
        <v>885</v>
      </c>
      <c r="C2009" s="8" t="s">
        <v>2711</v>
      </c>
      <c r="D2009" s="8" t="s">
        <v>67</v>
      </c>
      <c r="E2009" s="52">
        <v>1362</v>
      </c>
      <c r="F2009" s="13"/>
      <c r="G2009" s="13">
        <v>1171</v>
      </c>
    </row>
    <row r="2010" spans="1:7" hidden="1" x14ac:dyDescent="0.75">
      <c r="A2010" s="51">
        <v>44942</v>
      </c>
      <c r="B2010" s="52">
        <v>885</v>
      </c>
      <c r="C2010" s="8" t="s">
        <v>2711</v>
      </c>
      <c r="D2010" s="8" t="s">
        <v>67</v>
      </c>
      <c r="E2010" s="52">
        <v>1362</v>
      </c>
      <c r="F2010" s="13"/>
      <c r="G2010" s="13">
        <v>826</v>
      </c>
    </row>
    <row r="2011" spans="1:7" hidden="1" x14ac:dyDescent="0.75">
      <c r="A2011" s="51">
        <v>44942</v>
      </c>
      <c r="B2011" s="52">
        <v>885</v>
      </c>
      <c r="C2011" s="8" t="s">
        <v>2711</v>
      </c>
      <c r="D2011" s="8" t="s">
        <v>67</v>
      </c>
      <c r="E2011" s="52">
        <v>1362</v>
      </c>
      <c r="F2011" s="13"/>
      <c r="G2011" s="13">
        <v>1251.0999999999999</v>
      </c>
    </row>
    <row r="2012" spans="1:7" hidden="1" x14ac:dyDescent="0.75">
      <c r="A2012" s="51">
        <v>44943</v>
      </c>
      <c r="B2012" s="52">
        <v>885</v>
      </c>
      <c r="C2012" s="8" t="s">
        <v>2712</v>
      </c>
      <c r="D2012" s="8" t="s">
        <v>67</v>
      </c>
      <c r="E2012" s="52">
        <v>408</v>
      </c>
      <c r="F2012" s="13">
        <v>1267.3</v>
      </c>
      <c r="G2012" s="13"/>
    </row>
    <row r="2013" spans="1:7" hidden="1" x14ac:dyDescent="0.75">
      <c r="A2013" s="51">
        <v>44945</v>
      </c>
      <c r="B2013" s="52">
        <v>885</v>
      </c>
      <c r="C2013" s="8" t="s">
        <v>2713</v>
      </c>
      <c r="D2013" s="8" t="s">
        <v>67</v>
      </c>
      <c r="E2013" s="52">
        <v>408</v>
      </c>
      <c r="F2013" s="13">
        <v>1355.3</v>
      </c>
      <c r="G2013" s="13"/>
    </row>
    <row r="2014" spans="1:7" hidden="1" x14ac:dyDescent="0.75">
      <c r="A2014" s="51">
        <v>44947</v>
      </c>
      <c r="B2014" s="52">
        <v>885</v>
      </c>
      <c r="C2014" s="8" t="s">
        <v>2714</v>
      </c>
      <c r="D2014" s="8" t="s">
        <v>67</v>
      </c>
      <c r="E2014" s="52">
        <v>408</v>
      </c>
      <c r="F2014" s="13">
        <v>1007.5</v>
      </c>
      <c r="G2014" s="13"/>
    </row>
    <row r="2015" spans="1:7" hidden="1" x14ac:dyDescent="0.75">
      <c r="A2015" s="51">
        <v>44950</v>
      </c>
      <c r="B2015" s="52">
        <v>885</v>
      </c>
      <c r="C2015" s="8" t="s">
        <v>2715</v>
      </c>
      <c r="D2015" s="8" t="s">
        <v>67</v>
      </c>
      <c r="E2015" s="52">
        <v>408</v>
      </c>
      <c r="F2015" s="13">
        <v>1116.4000000000001</v>
      </c>
      <c r="G2015" s="13"/>
    </row>
    <row r="2016" spans="1:7" hidden="1" x14ac:dyDescent="0.75">
      <c r="A2016" s="51">
        <v>44951</v>
      </c>
      <c r="B2016" s="52">
        <v>885</v>
      </c>
      <c r="C2016" s="8" t="s">
        <v>2711</v>
      </c>
      <c r="D2016" s="8" t="s">
        <v>67</v>
      </c>
      <c r="E2016" s="52">
        <v>1362</v>
      </c>
      <c r="F2016" s="13"/>
      <c r="G2016" s="13">
        <v>1165.0999999999999</v>
      </c>
    </row>
    <row r="2017" spans="1:7" hidden="1" x14ac:dyDescent="0.75">
      <c r="A2017" s="51">
        <v>44951</v>
      </c>
      <c r="B2017" s="52">
        <v>885</v>
      </c>
      <c r="C2017" s="8" t="s">
        <v>2711</v>
      </c>
      <c r="D2017" s="8" t="s">
        <v>67</v>
      </c>
      <c r="E2017" s="52">
        <v>1362</v>
      </c>
      <c r="F2017" s="13"/>
      <c r="G2017" s="13">
        <v>1153.4000000000001</v>
      </c>
    </row>
    <row r="2018" spans="1:7" hidden="1" x14ac:dyDescent="0.75">
      <c r="A2018" s="51">
        <v>44951</v>
      </c>
      <c r="B2018" s="52">
        <v>885</v>
      </c>
      <c r="C2018" s="8" t="s">
        <v>2711</v>
      </c>
      <c r="D2018" s="8" t="s">
        <v>67</v>
      </c>
      <c r="E2018" s="52">
        <v>1362</v>
      </c>
      <c r="F2018" s="13"/>
      <c r="G2018" s="13">
        <v>989.2</v>
      </c>
    </row>
    <row r="2019" spans="1:7" hidden="1" x14ac:dyDescent="0.75">
      <c r="A2019" s="51">
        <v>44952</v>
      </c>
      <c r="B2019" s="52">
        <v>885</v>
      </c>
      <c r="C2019" s="8" t="s">
        <v>2716</v>
      </c>
      <c r="D2019" s="8" t="s">
        <v>67</v>
      </c>
      <c r="E2019" s="52">
        <v>408</v>
      </c>
      <c r="F2019" s="13">
        <v>928.1</v>
      </c>
      <c r="G2019" s="13"/>
    </row>
    <row r="2020" spans="1:7" hidden="1" x14ac:dyDescent="0.75">
      <c r="A2020" s="51">
        <v>44954</v>
      </c>
      <c r="B2020" s="52">
        <v>885</v>
      </c>
      <c r="C2020" s="8" t="s">
        <v>2717</v>
      </c>
      <c r="D2020" s="8" t="s">
        <v>67</v>
      </c>
      <c r="E2020" s="52">
        <v>408</v>
      </c>
      <c r="F2020" s="13">
        <v>1206.5</v>
      </c>
      <c r="G2020" s="13"/>
    </row>
    <row r="2021" spans="1:7" hidden="1" x14ac:dyDescent="0.75">
      <c r="A2021" s="51">
        <v>44957</v>
      </c>
      <c r="B2021" s="52">
        <v>885</v>
      </c>
      <c r="C2021" s="8" t="s">
        <v>2718</v>
      </c>
      <c r="D2021" s="8" t="s">
        <v>67</v>
      </c>
      <c r="E2021" s="52">
        <v>408</v>
      </c>
      <c r="F2021" s="13">
        <v>1191.5999999999999</v>
      </c>
      <c r="G2021" s="13"/>
    </row>
    <row r="2022" spans="1:7" hidden="1" x14ac:dyDescent="0.75">
      <c r="A2022" s="51">
        <v>44928</v>
      </c>
      <c r="B2022" s="52">
        <v>882</v>
      </c>
      <c r="C2022" s="8" t="s">
        <v>2719</v>
      </c>
      <c r="D2022" s="8" t="s">
        <v>68</v>
      </c>
      <c r="E2022" s="52">
        <v>408</v>
      </c>
      <c r="F2022" s="13">
        <v>309.5</v>
      </c>
      <c r="G2022" s="13"/>
    </row>
    <row r="2023" spans="1:7" hidden="1" x14ac:dyDescent="0.75">
      <c r="A2023" s="51">
        <v>44930</v>
      </c>
      <c r="B2023" s="52">
        <v>882</v>
      </c>
      <c r="C2023" s="8" t="s">
        <v>2720</v>
      </c>
      <c r="D2023" s="8" t="s">
        <v>68</v>
      </c>
      <c r="E2023" s="52">
        <v>408</v>
      </c>
      <c r="F2023" s="13">
        <v>276.3</v>
      </c>
      <c r="G2023" s="13"/>
    </row>
    <row r="2024" spans="1:7" hidden="1" x14ac:dyDescent="0.75">
      <c r="A2024" s="51">
        <v>44931</v>
      </c>
      <c r="B2024" s="52">
        <v>882</v>
      </c>
      <c r="C2024" s="8" t="s">
        <v>2721</v>
      </c>
      <c r="D2024" s="8" t="s">
        <v>68</v>
      </c>
      <c r="E2024" s="52">
        <v>1362</v>
      </c>
      <c r="F2024" s="13"/>
      <c r="G2024" s="13">
        <v>265.63</v>
      </c>
    </row>
    <row r="2025" spans="1:7" hidden="1" x14ac:dyDescent="0.75">
      <c r="A2025" s="51">
        <v>44931</v>
      </c>
      <c r="B2025" s="52">
        <v>882</v>
      </c>
      <c r="C2025" s="8" t="s">
        <v>2722</v>
      </c>
      <c r="D2025" s="8" t="s">
        <v>68</v>
      </c>
      <c r="E2025" s="52">
        <v>1362</v>
      </c>
      <c r="F2025" s="13"/>
      <c r="G2025" s="13">
        <v>281.52</v>
      </c>
    </row>
    <row r="2026" spans="1:7" hidden="1" x14ac:dyDescent="0.75">
      <c r="A2026" s="51">
        <v>44931</v>
      </c>
      <c r="B2026" s="52">
        <v>882</v>
      </c>
      <c r="C2026" s="8" t="s">
        <v>2723</v>
      </c>
      <c r="D2026" s="8" t="s">
        <v>68</v>
      </c>
      <c r="E2026" s="52">
        <v>1362</v>
      </c>
      <c r="F2026" s="13"/>
      <c r="G2026" s="13">
        <v>231.63</v>
      </c>
    </row>
    <row r="2027" spans="1:7" hidden="1" x14ac:dyDescent="0.75">
      <c r="A2027" s="51">
        <v>44931</v>
      </c>
      <c r="B2027" s="52">
        <v>882</v>
      </c>
      <c r="C2027" s="8" t="s">
        <v>2724</v>
      </c>
      <c r="D2027" s="8" t="s">
        <v>68</v>
      </c>
      <c r="E2027" s="52">
        <v>1362</v>
      </c>
      <c r="F2027" s="13"/>
      <c r="G2027" s="13">
        <v>220.49</v>
      </c>
    </row>
    <row r="2028" spans="1:7" hidden="1" x14ac:dyDescent="0.75">
      <c r="A2028" s="51">
        <v>44932</v>
      </c>
      <c r="B2028" s="52">
        <v>882</v>
      </c>
      <c r="C2028" s="8" t="s">
        <v>2725</v>
      </c>
      <c r="D2028" s="8" t="s">
        <v>68</v>
      </c>
      <c r="E2028" s="52">
        <v>408</v>
      </c>
      <c r="F2028" s="13">
        <v>315.5</v>
      </c>
      <c r="G2028" s="13"/>
    </row>
    <row r="2029" spans="1:7" hidden="1" x14ac:dyDescent="0.75">
      <c r="A2029" s="51">
        <v>44935</v>
      </c>
      <c r="B2029" s="52">
        <v>882</v>
      </c>
      <c r="C2029" s="8" t="s">
        <v>2726</v>
      </c>
      <c r="D2029" s="8" t="s">
        <v>68</v>
      </c>
      <c r="E2029" s="52">
        <v>408</v>
      </c>
      <c r="F2029" s="13">
        <v>385.2</v>
      </c>
      <c r="G2029" s="13"/>
    </row>
    <row r="2030" spans="1:7" hidden="1" x14ac:dyDescent="0.75">
      <c r="A2030" s="51">
        <v>44937</v>
      </c>
      <c r="B2030" s="52">
        <v>882</v>
      </c>
      <c r="C2030" s="8" t="s">
        <v>2727</v>
      </c>
      <c r="D2030" s="8" t="s">
        <v>68</v>
      </c>
      <c r="E2030" s="52">
        <v>408</v>
      </c>
      <c r="F2030" s="13">
        <v>158</v>
      </c>
      <c r="G2030" s="13"/>
    </row>
    <row r="2031" spans="1:7" hidden="1" x14ac:dyDescent="0.75">
      <c r="A2031" s="51">
        <v>44940</v>
      </c>
      <c r="B2031" s="52">
        <v>882</v>
      </c>
      <c r="C2031" s="8" t="s">
        <v>2728</v>
      </c>
      <c r="D2031" s="8" t="s">
        <v>68</v>
      </c>
      <c r="E2031" s="52">
        <v>408</v>
      </c>
      <c r="F2031" s="13">
        <v>398</v>
      </c>
      <c r="G2031" s="13"/>
    </row>
    <row r="2032" spans="1:7" hidden="1" x14ac:dyDescent="0.75">
      <c r="A2032" s="51">
        <v>44942</v>
      </c>
      <c r="B2032" s="52">
        <v>882</v>
      </c>
      <c r="C2032" s="8" t="s">
        <v>2729</v>
      </c>
      <c r="D2032" s="8" t="s">
        <v>68</v>
      </c>
      <c r="E2032" s="52">
        <v>1362</v>
      </c>
      <c r="F2032" s="13"/>
      <c r="G2032" s="13">
        <v>213.7</v>
      </c>
    </row>
    <row r="2033" spans="1:7" hidden="1" x14ac:dyDescent="0.75">
      <c r="A2033" s="51">
        <v>44942</v>
      </c>
      <c r="B2033" s="52">
        <v>882</v>
      </c>
      <c r="C2033" s="8" t="s">
        <v>2729</v>
      </c>
      <c r="D2033" s="8" t="s">
        <v>68</v>
      </c>
      <c r="E2033" s="52">
        <v>1362</v>
      </c>
      <c r="F2033" s="13"/>
      <c r="G2033" s="13">
        <v>276.7</v>
      </c>
    </row>
    <row r="2034" spans="1:7" hidden="1" x14ac:dyDescent="0.75">
      <c r="A2034" s="51">
        <v>44942</v>
      </c>
      <c r="B2034" s="52">
        <v>882</v>
      </c>
      <c r="C2034" s="8" t="s">
        <v>2729</v>
      </c>
      <c r="D2034" s="8" t="s">
        <v>68</v>
      </c>
      <c r="E2034" s="52">
        <v>1362</v>
      </c>
      <c r="F2034" s="13"/>
      <c r="G2034" s="13">
        <v>261.7</v>
      </c>
    </row>
    <row r="2035" spans="1:7" hidden="1" x14ac:dyDescent="0.75">
      <c r="A2035" s="51">
        <v>44942</v>
      </c>
      <c r="B2035" s="52">
        <v>882</v>
      </c>
      <c r="C2035" s="8" t="s">
        <v>2729</v>
      </c>
      <c r="D2035" s="8" t="s">
        <v>68</v>
      </c>
      <c r="E2035" s="52">
        <v>1362</v>
      </c>
      <c r="F2035" s="13"/>
      <c r="G2035" s="13">
        <v>283</v>
      </c>
    </row>
    <row r="2036" spans="1:7" hidden="1" x14ac:dyDescent="0.75">
      <c r="A2036" s="51">
        <v>44942</v>
      </c>
      <c r="B2036" s="52">
        <v>882</v>
      </c>
      <c r="C2036" s="8" t="s">
        <v>2729</v>
      </c>
      <c r="D2036" s="8" t="s">
        <v>68</v>
      </c>
      <c r="E2036" s="52">
        <v>1362</v>
      </c>
      <c r="F2036" s="13"/>
      <c r="G2036" s="13">
        <v>241.5</v>
      </c>
    </row>
    <row r="2037" spans="1:7" hidden="1" x14ac:dyDescent="0.75">
      <c r="A2037" s="51">
        <v>44943</v>
      </c>
      <c r="B2037" s="52">
        <v>882</v>
      </c>
      <c r="C2037" s="8" t="s">
        <v>2730</v>
      </c>
      <c r="D2037" s="8" t="s">
        <v>68</v>
      </c>
      <c r="E2037" s="52">
        <v>408</v>
      </c>
      <c r="F2037" s="13">
        <v>195</v>
      </c>
      <c r="G2037" s="13"/>
    </row>
    <row r="2038" spans="1:7" hidden="1" x14ac:dyDescent="0.75">
      <c r="A2038" s="51">
        <v>44945</v>
      </c>
      <c r="B2038" s="52">
        <v>882</v>
      </c>
      <c r="C2038" s="8" t="s">
        <v>2731</v>
      </c>
      <c r="D2038" s="8" t="s">
        <v>68</v>
      </c>
      <c r="E2038" s="52">
        <v>408</v>
      </c>
      <c r="F2038" s="13">
        <v>362.8</v>
      </c>
      <c r="G2038" s="13"/>
    </row>
    <row r="2039" spans="1:7" hidden="1" x14ac:dyDescent="0.75">
      <c r="A2039" s="51">
        <v>44947</v>
      </c>
      <c r="B2039" s="52">
        <v>882</v>
      </c>
      <c r="C2039" s="8" t="s">
        <v>2732</v>
      </c>
      <c r="D2039" s="8" t="s">
        <v>68</v>
      </c>
      <c r="E2039" s="52">
        <v>408</v>
      </c>
      <c r="F2039" s="13">
        <v>334.7</v>
      </c>
      <c r="G2039" s="13"/>
    </row>
    <row r="2040" spans="1:7" hidden="1" x14ac:dyDescent="0.75">
      <c r="A2040" s="51">
        <v>44950</v>
      </c>
      <c r="B2040" s="52">
        <v>882</v>
      </c>
      <c r="C2040" s="8" t="s">
        <v>2733</v>
      </c>
      <c r="D2040" s="8" t="s">
        <v>68</v>
      </c>
      <c r="E2040" s="52">
        <v>408</v>
      </c>
      <c r="F2040" s="13">
        <v>352.2</v>
      </c>
      <c r="G2040" s="13"/>
    </row>
    <row r="2041" spans="1:7" hidden="1" x14ac:dyDescent="0.75">
      <c r="A2041" s="51">
        <v>44951</v>
      </c>
      <c r="B2041" s="52">
        <v>882</v>
      </c>
      <c r="C2041" s="8" t="s">
        <v>2729</v>
      </c>
      <c r="D2041" s="8" t="s">
        <v>68</v>
      </c>
      <c r="E2041" s="52">
        <v>1362</v>
      </c>
      <c r="F2041" s="13"/>
      <c r="G2041" s="13">
        <v>256.7</v>
      </c>
    </row>
    <row r="2042" spans="1:7" hidden="1" x14ac:dyDescent="0.75">
      <c r="A2042" s="51">
        <v>44951</v>
      </c>
      <c r="B2042" s="52">
        <v>882</v>
      </c>
      <c r="C2042" s="8" t="s">
        <v>2729</v>
      </c>
      <c r="D2042" s="8" t="s">
        <v>68</v>
      </c>
      <c r="E2042" s="52">
        <v>1362</v>
      </c>
      <c r="F2042" s="13"/>
      <c r="G2042" s="13">
        <v>241.5</v>
      </c>
    </row>
    <row r="2043" spans="1:7" hidden="1" x14ac:dyDescent="0.75">
      <c r="A2043" s="51">
        <v>44951</v>
      </c>
      <c r="B2043" s="52">
        <v>882</v>
      </c>
      <c r="C2043" s="8" t="s">
        <v>2729</v>
      </c>
      <c r="D2043" s="8" t="s">
        <v>68</v>
      </c>
      <c r="E2043" s="52">
        <v>1362</v>
      </c>
      <c r="F2043" s="13"/>
      <c r="G2043" s="13">
        <v>243.7</v>
      </c>
    </row>
    <row r="2044" spans="1:7" hidden="1" x14ac:dyDescent="0.75">
      <c r="A2044" s="51">
        <v>44951</v>
      </c>
      <c r="B2044" s="52">
        <v>882</v>
      </c>
      <c r="C2044" s="8" t="s">
        <v>2729</v>
      </c>
      <c r="D2044" s="8" t="s">
        <v>68</v>
      </c>
      <c r="E2044" s="52">
        <v>1362</v>
      </c>
      <c r="F2044" s="13"/>
      <c r="G2044" s="13">
        <v>252.7</v>
      </c>
    </row>
    <row r="2045" spans="1:7" hidden="1" x14ac:dyDescent="0.75">
      <c r="A2045" s="51">
        <v>44952</v>
      </c>
      <c r="B2045" s="52">
        <v>882</v>
      </c>
      <c r="C2045" s="8" t="s">
        <v>2734</v>
      </c>
      <c r="D2045" s="8" t="s">
        <v>68</v>
      </c>
      <c r="E2045" s="52">
        <v>408</v>
      </c>
      <c r="F2045" s="13">
        <v>372.2</v>
      </c>
      <c r="G2045" s="13"/>
    </row>
    <row r="2046" spans="1:7" hidden="1" x14ac:dyDescent="0.75">
      <c r="A2046" s="51">
        <v>44954</v>
      </c>
      <c r="B2046" s="52">
        <v>882</v>
      </c>
      <c r="C2046" s="8" t="s">
        <v>2735</v>
      </c>
      <c r="D2046" s="8" t="s">
        <v>68</v>
      </c>
      <c r="E2046" s="52">
        <v>408</v>
      </c>
      <c r="F2046" s="13">
        <v>350.7</v>
      </c>
      <c r="G2046" s="13"/>
    </row>
    <row r="2047" spans="1:7" hidden="1" x14ac:dyDescent="0.75">
      <c r="A2047" s="51">
        <v>44957</v>
      </c>
      <c r="B2047" s="52">
        <v>882</v>
      </c>
      <c r="C2047" s="8" t="s">
        <v>2736</v>
      </c>
      <c r="D2047" s="8" t="s">
        <v>68</v>
      </c>
      <c r="E2047" s="52">
        <v>408</v>
      </c>
      <c r="F2047" s="13">
        <v>253.8</v>
      </c>
      <c r="G2047" s="13"/>
    </row>
    <row r="2048" spans="1:7" hidden="1" x14ac:dyDescent="0.75">
      <c r="A2048" s="51">
        <v>44928</v>
      </c>
      <c r="B2048" s="52">
        <v>884</v>
      </c>
      <c r="C2048" s="8" t="s">
        <v>2737</v>
      </c>
      <c r="D2048" s="8" t="s">
        <v>69</v>
      </c>
      <c r="E2048" s="52">
        <v>408</v>
      </c>
      <c r="F2048" s="13">
        <v>2743.1</v>
      </c>
      <c r="G2048" s="13"/>
    </row>
    <row r="2049" spans="1:7" hidden="1" x14ac:dyDescent="0.75">
      <c r="A2049" s="51">
        <v>44928</v>
      </c>
      <c r="B2049" s="52">
        <v>884</v>
      </c>
      <c r="C2049" s="8" t="s">
        <v>2738</v>
      </c>
      <c r="D2049" s="8" t="s">
        <v>69</v>
      </c>
      <c r="E2049" s="52">
        <v>408</v>
      </c>
      <c r="F2049" s="13">
        <v>550</v>
      </c>
      <c r="G2049" s="13"/>
    </row>
    <row r="2050" spans="1:7" hidden="1" x14ac:dyDescent="0.75">
      <c r="A2050" s="51">
        <v>44930</v>
      </c>
      <c r="B2050" s="52">
        <v>884</v>
      </c>
      <c r="C2050" s="8" t="s">
        <v>2739</v>
      </c>
      <c r="D2050" s="8" t="s">
        <v>69</v>
      </c>
      <c r="E2050" s="52">
        <v>408</v>
      </c>
      <c r="F2050" s="13">
        <v>550</v>
      </c>
      <c r="G2050" s="13"/>
    </row>
    <row r="2051" spans="1:7" hidden="1" x14ac:dyDescent="0.75">
      <c r="A2051" s="51">
        <v>44930</v>
      </c>
      <c r="B2051" s="52">
        <v>884</v>
      </c>
      <c r="C2051" s="8" t="s">
        <v>2740</v>
      </c>
      <c r="D2051" s="8" t="s">
        <v>69</v>
      </c>
      <c r="E2051" s="52">
        <v>408</v>
      </c>
      <c r="F2051" s="13">
        <v>3855.7</v>
      </c>
      <c r="G2051" s="13"/>
    </row>
    <row r="2052" spans="1:7" hidden="1" x14ac:dyDescent="0.75">
      <c r="A2052" s="51">
        <v>44931</v>
      </c>
      <c r="B2052" s="52">
        <v>884</v>
      </c>
      <c r="C2052" s="8" t="s">
        <v>2741</v>
      </c>
      <c r="D2052" s="8" t="s">
        <v>69</v>
      </c>
      <c r="E2052" s="52">
        <v>1362</v>
      </c>
      <c r="F2052" s="13"/>
      <c r="G2052" s="13">
        <v>3335.06</v>
      </c>
    </row>
    <row r="2053" spans="1:7" hidden="1" x14ac:dyDescent="0.75">
      <c r="A2053" s="51">
        <v>44931</v>
      </c>
      <c r="B2053" s="52">
        <v>884</v>
      </c>
      <c r="C2053" s="8" t="s">
        <v>2742</v>
      </c>
      <c r="D2053" s="8" t="s">
        <v>69</v>
      </c>
      <c r="E2053" s="52">
        <v>1362</v>
      </c>
      <c r="F2053" s="13"/>
      <c r="G2053" s="13">
        <v>982.18</v>
      </c>
    </row>
    <row r="2054" spans="1:7" hidden="1" x14ac:dyDescent="0.75">
      <c r="A2054" s="51">
        <v>44931</v>
      </c>
      <c r="B2054" s="52">
        <v>884</v>
      </c>
      <c r="C2054" s="8" t="s">
        <v>2743</v>
      </c>
      <c r="D2054" s="8" t="s">
        <v>69</v>
      </c>
      <c r="E2054" s="52">
        <v>1362</v>
      </c>
      <c r="F2054" s="13"/>
      <c r="G2054" s="13">
        <v>3050.65</v>
      </c>
    </row>
    <row r="2055" spans="1:7" hidden="1" x14ac:dyDescent="0.75">
      <c r="A2055" s="51">
        <v>44931</v>
      </c>
      <c r="B2055" s="52">
        <v>884</v>
      </c>
      <c r="C2055" s="8" t="s">
        <v>2744</v>
      </c>
      <c r="D2055" s="8" t="s">
        <v>69</v>
      </c>
      <c r="E2055" s="52">
        <v>1362</v>
      </c>
      <c r="F2055" s="13"/>
      <c r="G2055" s="13">
        <v>908.65</v>
      </c>
    </row>
    <row r="2056" spans="1:7" hidden="1" x14ac:dyDescent="0.75">
      <c r="A2056" s="51">
        <v>44931</v>
      </c>
      <c r="B2056" s="52">
        <v>884</v>
      </c>
      <c r="C2056" s="8" t="s">
        <v>2745</v>
      </c>
      <c r="D2056" s="8" t="s">
        <v>69</v>
      </c>
      <c r="E2056" s="52">
        <v>1362</v>
      </c>
      <c r="F2056" s="13"/>
      <c r="G2056" s="13">
        <v>2738.02</v>
      </c>
    </row>
    <row r="2057" spans="1:7" hidden="1" x14ac:dyDescent="0.75">
      <c r="A2057" s="51">
        <v>44931</v>
      </c>
      <c r="B2057" s="52">
        <v>884</v>
      </c>
      <c r="C2057" s="8" t="s">
        <v>2746</v>
      </c>
      <c r="D2057" s="8" t="s">
        <v>69</v>
      </c>
      <c r="E2057" s="52">
        <v>1362</v>
      </c>
      <c r="F2057" s="13"/>
      <c r="G2057" s="13">
        <v>908.65</v>
      </c>
    </row>
    <row r="2058" spans="1:7" hidden="1" x14ac:dyDescent="0.75">
      <c r="A2058" s="51">
        <v>44931</v>
      </c>
      <c r="B2058" s="52">
        <v>884</v>
      </c>
      <c r="C2058" s="8" t="s">
        <v>2747</v>
      </c>
      <c r="D2058" s="8" t="s">
        <v>69</v>
      </c>
      <c r="E2058" s="52">
        <v>1362</v>
      </c>
      <c r="F2058" s="13"/>
      <c r="G2058" s="13">
        <v>3066.55</v>
      </c>
    </row>
    <row r="2059" spans="1:7" hidden="1" x14ac:dyDescent="0.75">
      <c r="A2059" s="51">
        <v>44931</v>
      </c>
      <c r="B2059" s="52">
        <v>884</v>
      </c>
      <c r="C2059" s="8" t="s">
        <v>2748</v>
      </c>
      <c r="D2059" s="8" t="s">
        <v>69</v>
      </c>
      <c r="E2059" s="52">
        <v>1362</v>
      </c>
      <c r="F2059" s="13"/>
      <c r="G2059" s="13">
        <v>815.15</v>
      </c>
    </row>
    <row r="2060" spans="1:7" hidden="1" x14ac:dyDescent="0.75">
      <c r="A2060" s="51">
        <v>44932</v>
      </c>
      <c r="B2060" s="52">
        <v>884</v>
      </c>
      <c r="C2060" s="8" t="s">
        <v>2749</v>
      </c>
      <c r="D2060" s="8" t="s">
        <v>69</v>
      </c>
      <c r="E2060" s="52">
        <v>408</v>
      </c>
      <c r="F2060" s="13">
        <v>550</v>
      </c>
      <c r="G2060" s="13"/>
    </row>
    <row r="2061" spans="1:7" hidden="1" x14ac:dyDescent="0.75">
      <c r="A2061" s="51">
        <v>44932</v>
      </c>
      <c r="B2061" s="52">
        <v>884</v>
      </c>
      <c r="C2061" s="8" t="s">
        <v>2750</v>
      </c>
      <c r="D2061" s="8" t="s">
        <v>69</v>
      </c>
      <c r="E2061" s="52">
        <v>408</v>
      </c>
      <c r="F2061" s="13">
        <v>4197.2</v>
      </c>
      <c r="G2061" s="13"/>
    </row>
    <row r="2062" spans="1:7" hidden="1" x14ac:dyDescent="0.75">
      <c r="A2062" s="51">
        <v>44935</v>
      </c>
      <c r="B2062" s="52">
        <v>884</v>
      </c>
      <c r="C2062" s="8" t="s">
        <v>2751</v>
      </c>
      <c r="D2062" s="8" t="s">
        <v>69</v>
      </c>
      <c r="E2062" s="52">
        <v>408</v>
      </c>
      <c r="F2062" s="13">
        <v>3895.7</v>
      </c>
      <c r="G2062" s="13"/>
    </row>
    <row r="2063" spans="1:7" hidden="1" x14ac:dyDescent="0.75">
      <c r="A2063" s="51">
        <v>44935</v>
      </c>
      <c r="B2063" s="52">
        <v>884</v>
      </c>
      <c r="C2063" s="8" t="s">
        <v>2752</v>
      </c>
      <c r="D2063" s="8" t="s">
        <v>69</v>
      </c>
      <c r="E2063" s="52">
        <v>408</v>
      </c>
      <c r="F2063" s="13">
        <v>1305</v>
      </c>
      <c r="G2063" s="13"/>
    </row>
    <row r="2064" spans="1:7" hidden="1" x14ac:dyDescent="0.75">
      <c r="A2064" s="51">
        <v>44937</v>
      </c>
      <c r="B2064" s="52">
        <v>884</v>
      </c>
      <c r="C2064" s="8" t="s">
        <v>2753</v>
      </c>
      <c r="D2064" s="8" t="s">
        <v>69</v>
      </c>
      <c r="E2064" s="52">
        <v>408</v>
      </c>
      <c r="F2064" s="13">
        <v>4444.1000000000004</v>
      </c>
      <c r="G2064" s="13"/>
    </row>
    <row r="2065" spans="1:7" hidden="1" x14ac:dyDescent="0.75">
      <c r="A2065" s="51">
        <v>44937</v>
      </c>
      <c r="B2065" s="52">
        <v>884</v>
      </c>
      <c r="C2065" s="8" t="s">
        <v>2754</v>
      </c>
      <c r="D2065" s="8" t="s">
        <v>69</v>
      </c>
      <c r="E2065" s="52">
        <v>408</v>
      </c>
      <c r="F2065" s="13">
        <v>982.5</v>
      </c>
      <c r="G2065" s="13"/>
    </row>
    <row r="2066" spans="1:7" hidden="1" x14ac:dyDescent="0.75">
      <c r="A2066" s="51">
        <v>44940</v>
      </c>
      <c r="B2066" s="52">
        <v>884</v>
      </c>
      <c r="C2066" s="8" t="s">
        <v>2755</v>
      </c>
      <c r="D2066" s="8" t="s">
        <v>69</v>
      </c>
      <c r="E2066" s="52">
        <v>408</v>
      </c>
      <c r="F2066" s="13">
        <v>1195</v>
      </c>
      <c r="G2066" s="13"/>
    </row>
    <row r="2067" spans="1:7" hidden="1" x14ac:dyDescent="0.75">
      <c r="A2067" s="51">
        <v>44940</v>
      </c>
      <c r="B2067" s="52">
        <v>884</v>
      </c>
      <c r="C2067" s="8" t="s">
        <v>2756</v>
      </c>
      <c r="D2067" s="8" t="s">
        <v>69</v>
      </c>
      <c r="E2067" s="52">
        <v>408</v>
      </c>
      <c r="F2067" s="13">
        <v>4493.3999999999996</v>
      </c>
      <c r="G2067" s="13"/>
    </row>
    <row r="2068" spans="1:7" hidden="1" x14ac:dyDescent="0.75">
      <c r="A2068" s="51">
        <v>44942</v>
      </c>
      <c r="B2068" s="52">
        <v>884</v>
      </c>
      <c r="C2068" s="8" t="s">
        <v>2757</v>
      </c>
      <c r="D2068" s="8" t="s">
        <v>69</v>
      </c>
      <c r="E2068" s="52">
        <v>1362</v>
      </c>
      <c r="F2068" s="13"/>
      <c r="G2068" s="13">
        <v>4264.3999999999996</v>
      </c>
    </row>
    <row r="2069" spans="1:7" hidden="1" x14ac:dyDescent="0.75">
      <c r="A2069" s="51">
        <v>44942</v>
      </c>
      <c r="B2069" s="52">
        <v>884</v>
      </c>
      <c r="C2069" s="8" t="s">
        <v>2757</v>
      </c>
      <c r="D2069" s="8" t="s">
        <v>69</v>
      </c>
      <c r="E2069" s="52">
        <v>1362</v>
      </c>
      <c r="F2069" s="13"/>
      <c r="G2069" s="13">
        <v>440</v>
      </c>
    </row>
    <row r="2070" spans="1:7" hidden="1" x14ac:dyDescent="0.75">
      <c r="A2070" s="51">
        <v>44942</v>
      </c>
      <c r="B2070" s="52">
        <v>884</v>
      </c>
      <c r="C2070" s="8" t="s">
        <v>2757</v>
      </c>
      <c r="D2070" s="8" t="s">
        <v>69</v>
      </c>
      <c r="E2070" s="52">
        <v>1362</v>
      </c>
      <c r="F2070" s="13"/>
      <c r="G2070" s="13">
        <v>4090.9</v>
      </c>
    </row>
    <row r="2071" spans="1:7" hidden="1" x14ac:dyDescent="0.75">
      <c r="A2071" s="51">
        <v>44942</v>
      </c>
      <c r="B2071" s="52">
        <v>884</v>
      </c>
      <c r="C2071" s="8" t="s">
        <v>2757</v>
      </c>
      <c r="D2071" s="8" t="s">
        <v>69</v>
      </c>
      <c r="E2071" s="52">
        <v>1362</v>
      </c>
      <c r="F2071" s="13"/>
      <c r="G2071" s="13">
        <v>440</v>
      </c>
    </row>
    <row r="2072" spans="1:7" hidden="1" x14ac:dyDescent="0.75">
      <c r="A2072" s="51">
        <v>44942</v>
      </c>
      <c r="B2072" s="52">
        <v>884</v>
      </c>
      <c r="C2072" s="8" t="s">
        <v>2757</v>
      </c>
      <c r="D2072" s="8" t="s">
        <v>69</v>
      </c>
      <c r="E2072" s="52">
        <v>1362</v>
      </c>
      <c r="F2072" s="13"/>
      <c r="G2072" s="13">
        <v>3620.8</v>
      </c>
    </row>
    <row r="2073" spans="1:7" hidden="1" x14ac:dyDescent="0.75">
      <c r="A2073" s="51">
        <v>44942</v>
      </c>
      <c r="B2073" s="52">
        <v>884</v>
      </c>
      <c r="C2073" s="8" t="s">
        <v>2757</v>
      </c>
      <c r="D2073" s="8" t="s">
        <v>69</v>
      </c>
      <c r="E2073" s="52">
        <v>1362</v>
      </c>
      <c r="F2073" s="13"/>
      <c r="G2073" s="13">
        <v>896</v>
      </c>
    </row>
    <row r="2074" spans="1:7" hidden="1" x14ac:dyDescent="0.75">
      <c r="A2074" s="51">
        <v>44942</v>
      </c>
      <c r="B2074" s="52">
        <v>884</v>
      </c>
      <c r="C2074" s="8" t="s">
        <v>2757</v>
      </c>
      <c r="D2074" s="8" t="s">
        <v>69</v>
      </c>
      <c r="E2074" s="52">
        <v>1362</v>
      </c>
      <c r="F2074" s="13"/>
      <c r="G2074" s="13">
        <v>3879</v>
      </c>
    </row>
    <row r="2075" spans="1:7" hidden="1" x14ac:dyDescent="0.75">
      <c r="A2075" s="51">
        <v>44942</v>
      </c>
      <c r="B2075" s="52">
        <v>884</v>
      </c>
      <c r="C2075" s="8" t="s">
        <v>2757</v>
      </c>
      <c r="D2075" s="8" t="s">
        <v>69</v>
      </c>
      <c r="E2075" s="52">
        <v>1362</v>
      </c>
      <c r="F2075" s="13"/>
      <c r="G2075" s="13">
        <v>1242</v>
      </c>
    </row>
    <row r="2076" spans="1:7" hidden="1" x14ac:dyDescent="0.75">
      <c r="A2076" s="51">
        <v>44942</v>
      </c>
      <c r="B2076" s="52">
        <v>884</v>
      </c>
      <c r="C2076" s="8" t="s">
        <v>2757</v>
      </c>
      <c r="D2076" s="8" t="s">
        <v>69</v>
      </c>
      <c r="E2076" s="52">
        <v>1362</v>
      </c>
      <c r="F2076" s="13"/>
      <c r="G2076" s="13">
        <v>3815.6</v>
      </c>
    </row>
    <row r="2077" spans="1:7" hidden="1" x14ac:dyDescent="0.75">
      <c r="A2077" s="51">
        <v>44942</v>
      </c>
      <c r="B2077" s="52">
        <v>884</v>
      </c>
      <c r="C2077" s="8" t="s">
        <v>2757</v>
      </c>
      <c r="D2077" s="8" t="s">
        <v>69</v>
      </c>
      <c r="E2077" s="52">
        <v>1362</v>
      </c>
      <c r="F2077" s="13"/>
      <c r="G2077" s="13">
        <v>1155.5</v>
      </c>
    </row>
    <row r="2078" spans="1:7" hidden="1" x14ac:dyDescent="0.75">
      <c r="A2078" s="51">
        <v>44943</v>
      </c>
      <c r="B2078" s="52">
        <v>884</v>
      </c>
      <c r="C2078" s="8" t="s">
        <v>2758</v>
      </c>
      <c r="D2078" s="8" t="s">
        <v>69</v>
      </c>
      <c r="E2078" s="52">
        <v>408</v>
      </c>
      <c r="F2078" s="13">
        <v>3251.3</v>
      </c>
      <c r="G2078" s="13"/>
    </row>
    <row r="2079" spans="1:7" hidden="1" x14ac:dyDescent="0.75">
      <c r="A2079" s="51">
        <v>44943</v>
      </c>
      <c r="B2079" s="52">
        <v>884</v>
      </c>
      <c r="C2079" s="8" t="s">
        <v>2759</v>
      </c>
      <c r="D2079" s="8" t="s">
        <v>69</v>
      </c>
      <c r="E2079" s="52">
        <v>408</v>
      </c>
      <c r="F2079" s="13">
        <v>1359.5</v>
      </c>
      <c r="G2079" s="13"/>
    </row>
    <row r="2080" spans="1:7" hidden="1" x14ac:dyDescent="0.75">
      <c r="A2080" s="51">
        <v>44945</v>
      </c>
      <c r="B2080" s="52">
        <v>884</v>
      </c>
      <c r="C2080" s="8" t="s">
        <v>2760</v>
      </c>
      <c r="D2080" s="8" t="s">
        <v>69</v>
      </c>
      <c r="E2080" s="52">
        <v>408</v>
      </c>
      <c r="F2080" s="13">
        <v>3669.5</v>
      </c>
      <c r="G2080" s="13"/>
    </row>
    <row r="2081" spans="1:7" hidden="1" x14ac:dyDescent="0.75">
      <c r="A2081" s="51">
        <v>44945</v>
      </c>
      <c r="B2081" s="52">
        <v>884</v>
      </c>
      <c r="C2081" s="8" t="s">
        <v>2761</v>
      </c>
      <c r="D2081" s="8" t="s">
        <v>69</v>
      </c>
      <c r="E2081" s="52">
        <v>408</v>
      </c>
      <c r="F2081" s="13">
        <v>1532.5</v>
      </c>
      <c r="G2081" s="13"/>
    </row>
    <row r="2082" spans="1:7" hidden="1" x14ac:dyDescent="0.75">
      <c r="A2082" s="51">
        <v>44947</v>
      </c>
      <c r="B2082" s="52">
        <v>884</v>
      </c>
      <c r="C2082" s="8" t="s">
        <v>2762</v>
      </c>
      <c r="D2082" s="8" t="s">
        <v>69</v>
      </c>
      <c r="E2082" s="52">
        <v>408</v>
      </c>
      <c r="F2082" s="13">
        <v>3983.2</v>
      </c>
      <c r="G2082" s="13"/>
    </row>
    <row r="2083" spans="1:7" hidden="1" x14ac:dyDescent="0.75">
      <c r="A2083" s="51">
        <v>44947</v>
      </c>
      <c r="B2083" s="52">
        <v>884</v>
      </c>
      <c r="C2083" s="8" t="s">
        <v>2763</v>
      </c>
      <c r="D2083" s="8" t="s">
        <v>69</v>
      </c>
      <c r="E2083" s="52">
        <v>408</v>
      </c>
      <c r="F2083" s="13">
        <v>1532.5</v>
      </c>
      <c r="G2083" s="13"/>
    </row>
    <row r="2084" spans="1:7" hidden="1" x14ac:dyDescent="0.75">
      <c r="A2084" s="51">
        <v>44950</v>
      </c>
      <c r="B2084" s="52">
        <v>884</v>
      </c>
      <c r="C2084" s="8" t="s">
        <v>2764</v>
      </c>
      <c r="D2084" s="8" t="s">
        <v>69</v>
      </c>
      <c r="E2084" s="52">
        <v>408</v>
      </c>
      <c r="F2084" s="13">
        <v>3571.5</v>
      </c>
      <c r="G2084" s="13"/>
    </row>
    <row r="2085" spans="1:7" hidden="1" x14ac:dyDescent="0.75">
      <c r="A2085" s="51">
        <v>44950</v>
      </c>
      <c r="B2085" s="52">
        <v>884</v>
      </c>
      <c r="C2085" s="8" t="s">
        <v>2765</v>
      </c>
      <c r="D2085" s="8" t="s">
        <v>69</v>
      </c>
      <c r="E2085" s="52">
        <v>408</v>
      </c>
      <c r="F2085" s="13">
        <v>550</v>
      </c>
      <c r="G2085" s="13"/>
    </row>
    <row r="2086" spans="1:7" hidden="1" x14ac:dyDescent="0.75">
      <c r="A2086" s="51">
        <v>44951</v>
      </c>
      <c r="B2086" s="52">
        <v>884</v>
      </c>
      <c r="C2086" s="8" t="s">
        <v>2757</v>
      </c>
      <c r="D2086" s="8" t="s">
        <v>69</v>
      </c>
      <c r="E2086" s="52">
        <v>1362</v>
      </c>
      <c r="F2086" s="13"/>
      <c r="G2086" s="13">
        <v>4089.2</v>
      </c>
    </row>
    <row r="2087" spans="1:7" hidden="1" x14ac:dyDescent="0.75">
      <c r="A2087" s="51">
        <v>44951</v>
      </c>
      <c r="B2087" s="52">
        <v>884</v>
      </c>
      <c r="C2087" s="8" t="s">
        <v>2757</v>
      </c>
      <c r="D2087" s="8" t="s">
        <v>69</v>
      </c>
      <c r="E2087" s="52">
        <v>1362</v>
      </c>
      <c r="F2087" s="13"/>
      <c r="G2087" s="13">
        <v>982.5</v>
      </c>
    </row>
    <row r="2088" spans="1:7" hidden="1" x14ac:dyDescent="0.75">
      <c r="A2088" s="51">
        <v>44951</v>
      </c>
      <c r="B2088" s="52">
        <v>884</v>
      </c>
      <c r="C2088" s="8" t="s">
        <v>2757</v>
      </c>
      <c r="D2088" s="8" t="s">
        <v>69</v>
      </c>
      <c r="E2088" s="52">
        <v>1362</v>
      </c>
      <c r="F2088" s="13"/>
      <c r="G2088" s="13">
        <v>3346.7</v>
      </c>
    </row>
    <row r="2089" spans="1:7" hidden="1" x14ac:dyDescent="0.75">
      <c r="A2089" s="51">
        <v>44951</v>
      </c>
      <c r="B2089" s="52">
        <v>884</v>
      </c>
      <c r="C2089" s="8" t="s">
        <v>2757</v>
      </c>
      <c r="D2089" s="8" t="s">
        <v>69</v>
      </c>
      <c r="E2089" s="52">
        <v>1362</v>
      </c>
      <c r="F2089" s="13"/>
      <c r="G2089" s="13">
        <v>809.5</v>
      </c>
    </row>
    <row r="2090" spans="1:7" hidden="1" x14ac:dyDescent="0.75">
      <c r="A2090" s="51">
        <v>44951</v>
      </c>
      <c r="B2090" s="52">
        <v>884</v>
      </c>
      <c r="C2090" s="8" t="s">
        <v>2757</v>
      </c>
      <c r="D2090" s="8" t="s">
        <v>69</v>
      </c>
      <c r="E2090" s="52">
        <v>1362</v>
      </c>
      <c r="F2090" s="13"/>
      <c r="G2090" s="13">
        <v>3098.3</v>
      </c>
    </row>
    <row r="2091" spans="1:7" hidden="1" x14ac:dyDescent="0.75">
      <c r="A2091" s="51">
        <v>44951</v>
      </c>
      <c r="B2091" s="52">
        <v>884</v>
      </c>
      <c r="C2091" s="8" t="s">
        <v>2757</v>
      </c>
      <c r="D2091" s="8" t="s">
        <v>69</v>
      </c>
      <c r="E2091" s="52">
        <v>1362</v>
      </c>
      <c r="F2091" s="13"/>
      <c r="G2091" s="13">
        <v>982.5</v>
      </c>
    </row>
    <row r="2092" spans="1:7" hidden="1" x14ac:dyDescent="0.75">
      <c r="A2092" s="51">
        <v>44951</v>
      </c>
      <c r="B2092" s="52">
        <v>884</v>
      </c>
      <c r="C2092" s="8" t="s">
        <v>2757</v>
      </c>
      <c r="D2092" s="8" t="s">
        <v>69</v>
      </c>
      <c r="E2092" s="52">
        <v>1362</v>
      </c>
      <c r="F2092" s="13"/>
      <c r="G2092" s="13">
        <v>1155.5</v>
      </c>
    </row>
    <row r="2093" spans="1:7" hidden="1" x14ac:dyDescent="0.75">
      <c r="A2093" s="51">
        <v>44951</v>
      </c>
      <c r="B2093" s="52">
        <v>884</v>
      </c>
      <c r="C2093" s="8" t="s">
        <v>2757</v>
      </c>
      <c r="D2093" s="8" t="s">
        <v>69</v>
      </c>
      <c r="E2093" s="52">
        <v>1362</v>
      </c>
      <c r="F2093" s="13"/>
      <c r="G2093" s="13">
        <v>4085.2</v>
      </c>
    </row>
    <row r="2094" spans="1:7" hidden="1" x14ac:dyDescent="0.75">
      <c r="A2094" s="51">
        <v>44952</v>
      </c>
      <c r="B2094" s="52">
        <v>884</v>
      </c>
      <c r="C2094" s="8" t="s">
        <v>2766</v>
      </c>
      <c r="D2094" s="8" t="s">
        <v>69</v>
      </c>
      <c r="E2094" s="52">
        <v>408</v>
      </c>
      <c r="F2094" s="13">
        <v>4205.6000000000004</v>
      </c>
      <c r="G2094" s="13"/>
    </row>
    <row r="2095" spans="1:7" hidden="1" x14ac:dyDescent="0.75">
      <c r="A2095" s="51">
        <v>44952</v>
      </c>
      <c r="B2095" s="52">
        <v>884</v>
      </c>
      <c r="C2095" s="8" t="s">
        <v>2767</v>
      </c>
      <c r="D2095" s="8" t="s">
        <v>69</v>
      </c>
      <c r="E2095" s="52">
        <v>408</v>
      </c>
      <c r="F2095" s="13">
        <v>1100</v>
      </c>
      <c r="G2095" s="13"/>
    </row>
    <row r="2096" spans="1:7" hidden="1" x14ac:dyDescent="0.75">
      <c r="A2096" s="51">
        <v>44954</v>
      </c>
      <c r="B2096" s="52">
        <v>884</v>
      </c>
      <c r="C2096" s="8" t="s">
        <v>2768</v>
      </c>
      <c r="D2096" s="8" t="s">
        <v>69</v>
      </c>
      <c r="E2096" s="52">
        <v>408</v>
      </c>
      <c r="F2096" s="13">
        <v>4168.3999999999996</v>
      </c>
      <c r="G2096" s="13"/>
    </row>
    <row r="2097" spans="1:7" hidden="1" x14ac:dyDescent="0.75">
      <c r="A2097" s="51">
        <v>44954</v>
      </c>
      <c r="B2097" s="52">
        <v>884</v>
      </c>
      <c r="C2097" s="8" t="s">
        <v>2769</v>
      </c>
      <c r="D2097" s="8" t="s">
        <v>69</v>
      </c>
      <c r="E2097" s="52">
        <v>408</v>
      </c>
      <c r="F2097" s="13">
        <v>1100</v>
      </c>
      <c r="G2097" s="13"/>
    </row>
    <row r="2098" spans="1:7" hidden="1" x14ac:dyDescent="0.75">
      <c r="A2098" s="51">
        <v>44957</v>
      </c>
      <c r="B2098" s="52">
        <v>884</v>
      </c>
      <c r="C2098" s="8" t="s">
        <v>2770</v>
      </c>
      <c r="D2098" s="8" t="s">
        <v>69</v>
      </c>
      <c r="E2098" s="52">
        <v>408</v>
      </c>
      <c r="F2098" s="13">
        <v>1100</v>
      </c>
      <c r="G2098" s="13"/>
    </row>
    <row r="2099" spans="1:7" hidden="1" x14ac:dyDescent="0.75">
      <c r="A2099" s="51">
        <v>44957</v>
      </c>
      <c r="B2099" s="52">
        <v>884</v>
      </c>
      <c r="C2099" s="8" t="s">
        <v>2771</v>
      </c>
      <c r="D2099" s="8" t="s">
        <v>69</v>
      </c>
      <c r="E2099" s="52">
        <v>408</v>
      </c>
      <c r="F2099" s="13">
        <v>4640.6000000000004</v>
      </c>
      <c r="G2099" s="13"/>
    </row>
    <row r="2100" spans="1:7" hidden="1" x14ac:dyDescent="0.75">
      <c r="A2100" s="51">
        <v>44931</v>
      </c>
      <c r="B2100" s="52">
        <v>881</v>
      </c>
      <c r="C2100" s="8" t="s">
        <v>2772</v>
      </c>
      <c r="D2100" s="8" t="s">
        <v>951</v>
      </c>
      <c r="E2100" s="52">
        <v>1362</v>
      </c>
      <c r="F2100" s="13"/>
      <c r="G2100" s="13">
        <v>491.3</v>
      </c>
    </row>
    <row r="2101" spans="1:7" hidden="1" x14ac:dyDescent="0.75">
      <c r="A2101" s="51">
        <v>44931</v>
      </c>
      <c r="B2101" s="52">
        <v>881</v>
      </c>
      <c r="C2101" s="8" t="s">
        <v>2773</v>
      </c>
      <c r="D2101" s="8" t="s">
        <v>951</v>
      </c>
      <c r="E2101" s="52">
        <v>1362</v>
      </c>
      <c r="F2101" s="13"/>
      <c r="G2101" s="13">
        <v>382.5</v>
      </c>
    </row>
    <row r="2102" spans="1:7" hidden="1" x14ac:dyDescent="0.75">
      <c r="A2102" s="51">
        <v>44931</v>
      </c>
      <c r="B2102" s="52">
        <v>881</v>
      </c>
      <c r="C2102" s="8" t="s">
        <v>2774</v>
      </c>
      <c r="D2102" s="8" t="s">
        <v>951</v>
      </c>
      <c r="E2102" s="52">
        <v>1362</v>
      </c>
      <c r="F2102" s="13"/>
      <c r="G2102" s="13">
        <v>505.33</v>
      </c>
    </row>
    <row r="2103" spans="1:7" hidden="1" x14ac:dyDescent="0.75">
      <c r="A2103" s="51">
        <v>44937</v>
      </c>
      <c r="B2103" s="52">
        <v>881</v>
      </c>
      <c r="C2103" s="8" t="s">
        <v>2775</v>
      </c>
      <c r="D2103" s="8" t="s">
        <v>951</v>
      </c>
      <c r="E2103" s="52">
        <v>408</v>
      </c>
      <c r="F2103" s="13">
        <v>732</v>
      </c>
      <c r="G2103" s="13"/>
    </row>
    <row r="2104" spans="1:7" hidden="1" x14ac:dyDescent="0.75">
      <c r="A2104" s="51">
        <v>44940</v>
      </c>
      <c r="B2104" s="52">
        <v>881</v>
      </c>
      <c r="C2104" s="8" t="s">
        <v>2776</v>
      </c>
      <c r="D2104" s="8" t="s">
        <v>951</v>
      </c>
      <c r="E2104" s="52">
        <v>408</v>
      </c>
      <c r="F2104" s="13">
        <v>766</v>
      </c>
      <c r="G2104" s="13"/>
    </row>
    <row r="2105" spans="1:7" hidden="1" x14ac:dyDescent="0.75">
      <c r="A2105" s="51">
        <v>44942</v>
      </c>
      <c r="B2105" s="52">
        <v>881</v>
      </c>
      <c r="C2105" s="8" t="s">
        <v>2777</v>
      </c>
      <c r="D2105" s="8" t="s">
        <v>951</v>
      </c>
      <c r="E2105" s="52">
        <v>1362</v>
      </c>
      <c r="F2105" s="13"/>
      <c r="G2105" s="13">
        <v>692</v>
      </c>
    </row>
    <row r="2106" spans="1:7" hidden="1" x14ac:dyDescent="0.75">
      <c r="A2106" s="51">
        <v>44942</v>
      </c>
      <c r="B2106" s="52">
        <v>881</v>
      </c>
      <c r="C2106" s="8" t="s">
        <v>2777</v>
      </c>
      <c r="D2106" s="8" t="s">
        <v>951</v>
      </c>
      <c r="E2106" s="52">
        <v>1362</v>
      </c>
      <c r="F2106" s="13"/>
      <c r="G2106" s="13">
        <v>396</v>
      </c>
    </row>
    <row r="2107" spans="1:7" hidden="1" x14ac:dyDescent="0.75">
      <c r="A2107" s="51">
        <v>44945</v>
      </c>
      <c r="B2107" s="52">
        <v>881</v>
      </c>
      <c r="C2107" s="8" t="s">
        <v>2778</v>
      </c>
      <c r="D2107" s="8" t="s">
        <v>951</v>
      </c>
      <c r="E2107" s="52">
        <v>408</v>
      </c>
      <c r="F2107" s="13">
        <v>657</v>
      </c>
      <c r="G2107" s="13"/>
    </row>
    <row r="2108" spans="1:7" hidden="1" x14ac:dyDescent="0.75">
      <c r="A2108" s="51">
        <v>44947</v>
      </c>
      <c r="B2108" s="52">
        <v>881</v>
      </c>
      <c r="C2108" s="8" t="s">
        <v>2779</v>
      </c>
      <c r="D2108" s="8" t="s">
        <v>951</v>
      </c>
      <c r="E2108" s="52">
        <v>408</v>
      </c>
      <c r="F2108" s="13">
        <v>757</v>
      </c>
      <c r="G2108" s="13"/>
    </row>
    <row r="2109" spans="1:7" hidden="1" x14ac:dyDescent="0.75">
      <c r="A2109" s="51">
        <v>44950</v>
      </c>
      <c r="B2109" s="52">
        <v>881</v>
      </c>
      <c r="C2109" s="8" t="s">
        <v>2780</v>
      </c>
      <c r="D2109" s="8" t="s">
        <v>951</v>
      </c>
      <c r="E2109" s="52">
        <v>408</v>
      </c>
      <c r="F2109" s="13">
        <v>1017</v>
      </c>
      <c r="G2109" s="13"/>
    </row>
    <row r="2110" spans="1:7" hidden="1" x14ac:dyDescent="0.75">
      <c r="A2110" s="51">
        <v>44952</v>
      </c>
      <c r="B2110" s="52">
        <v>881</v>
      </c>
      <c r="C2110" s="8" t="s">
        <v>2781</v>
      </c>
      <c r="D2110" s="8" t="s">
        <v>951</v>
      </c>
      <c r="E2110" s="52">
        <v>408</v>
      </c>
      <c r="F2110" s="13">
        <v>786</v>
      </c>
      <c r="G2110" s="13"/>
    </row>
    <row r="2111" spans="1:7" hidden="1" x14ac:dyDescent="0.75">
      <c r="A2111" s="51">
        <v>44957</v>
      </c>
      <c r="B2111" s="52">
        <v>881</v>
      </c>
      <c r="C2111" s="8" t="s">
        <v>2782</v>
      </c>
      <c r="D2111" s="8" t="s">
        <v>951</v>
      </c>
      <c r="E2111" s="52">
        <v>408</v>
      </c>
      <c r="F2111" s="13">
        <v>725.5</v>
      </c>
      <c r="G2111" s="13"/>
    </row>
    <row r="2112" spans="1:7" hidden="1" x14ac:dyDescent="0.75">
      <c r="A2112" s="51">
        <v>44928</v>
      </c>
      <c r="B2112" s="52">
        <v>1025</v>
      </c>
      <c r="C2112" s="8" t="s">
        <v>2783</v>
      </c>
      <c r="D2112" s="8" t="s">
        <v>70</v>
      </c>
      <c r="E2112" s="52">
        <v>408</v>
      </c>
      <c r="F2112" s="13">
        <v>2981.7</v>
      </c>
      <c r="G2112" s="13"/>
    </row>
    <row r="2113" spans="1:7" hidden="1" x14ac:dyDescent="0.75">
      <c r="A2113" s="51">
        <v>44928</v>
      </c>
      <c r="B2113" s="52">
        <v>1025</v>
      </c>
      <c r="C2113" s="8" t="s">
        <v>2784</v>
      </c>
      <c r="D2113" s="8" t="s">
        <v>70</v>
      </c>
      <c r="E2113" s="52">
        <v>408</v>
      </c>
      <c r="F2113" s="13">
        <v>165</v>
      </c>
      <c r="G2113" s="13"/>
    </row>
    <row r="2114" spans="1:7" hidden="1" x14ac:dyDescent="0.75">
      <c r="A2114" s="51">
        <v>44930</v>
      </c>
      <c r="B2114" s="52">
        <v>1025</v>
      </c>
      <c r="C2114" s="8" t="s">
        <v>2785</v>
      </c>
      <c r="D2114" s="8" t="s">
        <v>70</v>
      </c>
      <c r="E2114" s="52">
        <v>408</v>
      </c>
      <c r="F2114" s="13">
        <v>2064.8000000000002</v>
      </c>
      <c r="G2114" s="13"/>
    </row>
    <row r="2115" spans="1:7" hidden="1" x14ac:dyDescent="0.75">
      <c r="A2115" s="51">
        <v>44930</v>
      </c>
      <c r="B2115" s="52">
        <v>1025</v>
      </c>
      <c r="C2115" s="8" t="s">
        <v>2786</v>
      </c>
      <c r="D2115" s="8" t="s">
        <v>70</v>
      </c>
      <c r="E2115" s="52">
        <v>408</v>
      </c>
      <c r="F2115" s="13">
        <v>479.5</v>
      </c>
      <c r="G2115" s="13"/>
    </row>
    <row r="2116" spans="1:7" hidden="1" x14ac:dyDescent="0.75">
      <c r="A2116" s="51">
        <v>44931</v>
      </c>
      <c r="B2116" s="52">
        <v>1025</v>
      </c>
      <c r="C2116" s="8" t="s">
        <v>2787</v>
      </c>
      <c r="D2116" s="8" t="s">
        <v>70</v>
      </c>
      <c r="E2116" s="52">
        <v>1362</v>
      </c>
      <c r="F2116" s="13"/>
      <c r="G2116" s="13">
        <v>2339.46</v>
      </c>
    </row>
    <row r="2117" spans="1:7" hidden="1" x14ac:dyDescent="0.75">
      <c r="A2117" s="51">
        <v>44931</v>
      </c>
      <c r="B2117" s="52">
        <v>1025</v>
      </c>
      <c r="C2117" s="8" t="s">
        <v>2788</v>
      </c>
      <c r="D2117" s="8" t="s">
        <v>70</v>
      </c>
      <c r="E2117" s="52">
        <v>1362</v>
      </c>
      <c r="F2117" s="13"/>
      <c r="G2117" s="13">
        <v>407.58</v>
      </c>
    </row>
    <row r="2118" spans="1:7" hidden="1" x14ac:dyDescent="0.75">
      <c r="A2118" s="51">
        <v>44931</v>
      </c>
      <c r="B2118" s="52">
        <v>1025</v>
      </c>
      <c r="C2118" s="8" t="s">
        <v>2789</v>
      </c>
      <c r="D2118" s="8" t="s">
        <v>70</v>
      </c>
      <c r="E2118" s="52">
        <v>1362</v>
      </c>
      <c r="F2118" s="13"/>
      <c r="G2118" s="13">
        <v>1819</v>
      </c>
    </row>
    <row r="2119" spans="1:7" hidden="1" x14ac:dyDescent="0.75">
      <c r="A2119" s="51">
        <v>44931</v>
      </c>
      <c r="B2119" s="52">
        <v>1025</v>
      </c>
      <c r="C2119" s="8" t="s">
        <v>2790</v>
      </c>
      <c r="D2119" s="8" t="s">
        <v>70</v>
      </c>
      <c r="E2119" s="52">
        <v>1362</v>
      </c>
      <c r="F2119" s="13"/>
      <c r="G2119" s="13">
        <v>407.58</v>
      </c>
    </row>
    <row r="2120" spans="1:7" hidden="1" x14ac:dyDescent="0.75">
      <c r="A2120" s="51">
        <v>44931</v>
      </c>
      <c r="B2120" s="52">
        <v>1025</v>
      </c>
      <c r="C2120" s="8" t="s">
        <v>2791</v>
      </c>
      <c r="D2120" s="8" t="s">
        <v>70</v>
      </c>
      <c r="E2120" s="52">
        <v>1362</v>
      </c>
      <c r="F2120" s="13"/>
      <c r="G2120" s="13">
        <v>1961.54</v>
      </c>
    </row>
    <row r="2121" spans="1:7" hidden="1" x14ac:dyDescent="0.75">
      <c r="A2121" s="51">
        <v>44931</v>
      </c>
      <c r="B2121" s="52">
        <v>1025</v>
      </c>
      <c r="C2121" s="8" t="s">
        <v>2792</v>
      </c>
      <c r="D2121" s="8" t="s">
        <v>70</v>
      </c>
      <c r="E2121" s="52">
        <v>1362</v>
      </c>
      <c r="F2121" s="13"/>
      <c r="G2121" s="13">
        <v>501.08</v>
      </c>
    </row>
    <row r="2122" spans="1:7" hidden="1" x14ac:dyDescent="0.75">
      <c r="A2122" s="51">
        <v>44931</v>
      </c>
      <c r="B2122" s="52">
        <v>1025</v>
      </c>
      <c r="C2122" s="8" t="s">
        <v>2793</v>
      </c>
      <c r="D2122" s="8" t="s">
        <v>70</v>
      </c>
      <c r="E2122" s="52">
        <v>1362</v>
      </c>
      <c r="F2122" s="13"/>
      <c r="G2122" s="13">
        <v>2371.5</v>
      </c>
    </row>
    <row r="2123" spans="1:7" hidden="1" x14ac:dyDescent="0.75">
      <c r="A2123" s="51">
        <v>44931</v>
      </c>
      <c r="B2123" s="52">
        <v>1025</v>
      </c>
      <c r="C2123" s="8" t="s">
        <v>2794</v>
      </c>
      <c r="D2123" s="8" t="s">
        <v>70</v>
      </c>
      <c r="E2123" s="52">
        <v>1362</v>
      </c>
      <c r="F2123" s="13"/>
      <c r="G2123" s="13">
        <v>407.58</v>
      </c>
    </row>
    <row r="2124" spans="1:7" hidden="1" x14ac:dyDescent="0.75">
      <c r="A2124" s="51">
        <v>44932</v>
      </c>
      <c r="B2124" s="52">
        <v>1025</v>
      </c>
      <c r="C2124" s="8" t="s">
        <v>2795</v>
      </c>
      <c r="D2124" s="8" t="s">
        <v>70</v>
      </c>
      <c r="E2124" s="52">
        <v>408</v>
      </c>
      <c r="F2124" s="13">
        <v>2679</v>
      </c>
      <c r="G2124" s="13"/>
    </row>
    <row r="2125" spans="1:7" hidden="1" x14ac:dyDescent="0.75">
      <c r="A2125" s="51">
        <v>44932</v>
      </c>
      <c r="B2125" s="52">
        <v>1025</v>
      </c>
      <c r="C2125" s="8" t="s">
        <v>2796</v>
      </c>
      <c r="D2125" s="8" t="s">
        <v>70</v>
      </c>
      <c r="E2125" s="52">
        <v>408</v>
      </c>
      <c r="F2125" s="13">
        <v>479.5</v>
      </c>
      <c r="G2125" s="13"/>
    </row>
    <row r="2126" spans="1:7" hidden="1" x14ac:dyDescent="0.75">
      <c r="A2126" s="51">
        <v>44935</v>
      </c>
      <c r="B2126" s="52">
        <v>1025</v>
      </c>
      <c r="C2126" s="8" t="s">
        <v>2797</v>
      </c>
      <c r="D2126" s="8" t="s">
        <v>70</v>
      </c>
      <c r="E2126" s="52">
        <v>408</v>
      </c>
      <c r="F2126" s="13">
        <v>1839.2</v>
      </c>
      <c r="G2126" s="13"/>
    </row>
    <row r="2127" spans="1:7" hidden="1" x14ac:dyDescent="0.75">
      <c r="A2127" s="51">
        <v>44935</v>
      </c>
      <c r="B2127" s="52">
        <v>1025</v>
      </c>
      <c r="C2127" s="8" t="s">
        <v>2798</v>
      </c>
      <c r="D2127" s="8" t="s">
        <v>70</v>
      </c>
      <c r="E2127" s="52">
        <v>408</v>
      </c>
      <c r="F2127" s="13">
        <v>479.5</v>
      </c>
      <c r="G2127" s="13"/>
    </row>
    <row r="2128" spans="1:7" hidden="1" x14ac:dyDescent="0.75">
      <c r="A2128" s="51">
        <v>44937</v>
      </c>
      <c r="B2128" s="52">
        <v>1025</v>
      </c>
      <c r="C2128" s="8" t="s">
        <v>2799</v>
      </c>
      <c r="D2128" s="8" t="s">
        <v>70</v>
      </c>
      <c r="E2128" s="52">
        <v>408</v>
      </c>
      <c r="F2128" s="13">
        <v>2155.8000000000002</v>
      </c>
      <c r="G2128" s="13"/>
    </row>
    <row r="2129" spans="1:7" hidden="1" x14ac:dyDescent="0.75">
      <c r="A2129" s="51">
        <v>44937</v>
      </c>
      <c r="B2129" s="52">
        <v>1025</v>
      </c>
      <c r="C2129" s="8" t="s">
        <v>2800</v>
      </c>
      <c r="D2129" s="8" t="s">
        <v>70</v>
      </c>
      <c r="E2129" s="52">
        <v>408</v>
      </c>
      <c r="F2129" s="13">
        <v>479.5</v>
      </c>
      <c r="G2129" s="13"/>
    </row>
    <row r="2130" spans="1:7" hidden="1" x14ac:dyDescent="0.75">
      <c r="A2130" s="51">
        <v>44940</v>
      </c>
      <c r="B2130" s="52">
        <v>1025</v>
      </c>
      <c r="C2130" s="8" t="s">
        <v>2801</v>
      </c>
      <c r="D2130" s="8" t="s">
        <v>70</v>
      </c>
      <c r="E2130" s="52">
        <v>408</v>
      </c>
      <c r="F2130" s="13">
        <v>652.5</v>
      </c>
      <c r="G2130" s="13"/>
    </row>
    <row r="2131" spans="1:7" hidden="1" x14ac:dyDescent="0.75">
      <c r="A2131" s="51">
        <v>44940</v>
      </c>
      <c r="B2131" s="52">
        <v>1025</v>
      </c>
      <c r="C2131" s="8" t="s">
        <v>2802</v>
      </c>
      <c r="D2131" s="8" t="s">
        <v>70</v>
      </c>
      <c r="E2131" s="52">
        <v>408</v>
      </c>
      <c r="F2131" s="13">
        <v>2474.1999999999998</v>
      </c>
      <c r="G2131" s="13"/>
    </row>
    <row r="2132" spans="1:7" hidden="1" x14ac:dyDescent="0.75">
      <c r="A2132" s="51">
        <v>44942</v>
      </c>
      <c r="B2132" s="52">
        <v>1025</v>
      </c>
      <c r="C2132" s="8" t="s">
        <v>2803</v>
      </c>
      <c r="D2132" s="8" t="s">
        <v>70</v>
      </c>
      <c r="E2132" s="52">
        <v>1362</v>
      </c>
      <c r="F2132" s="13"/>
      <c r="G2132" s="13">
        <v>479.5</v>
      </c>
    </row>
    <row r="2133" spans="1:7" hidden="1" x14ac:dyDescent="0.75">
      <c r="A2133" s="51">
        <v>44942</v>
      </c>
      <c r="B2133" s="52">
        <v>1025</v>
      </c>
      <c r="C2133" s="8" t="s">
        <v>2803</v>
      </c>
      <c r="D2133" s="8" t="s">
        <v>70</v>
      </c>
      <c r="E2133" s="52">
        <v>1362</v>
      </c>
      <c r="F2133" s="13"/>
      <c r="G2133" s="13">
        <v>2118.5</v>
      </c>
    </row>
    <row r="2134" spans="1:7" hidden="1" x14ac:dyDescent="0.75">
      <c r="A2134" s="51">
        <v>44942</v>
      </c>
      <c r="B2134" s="52">
        <v>1025</v>
      </c>
      <c r="C2134" s="8" t="s">
        <v>2803</v>
      </c>
      <c r="D2134" s="8" t="s">
        <v>70</v>
      </c>
      <c r="E2134" s="52">
        <v>1362</v>
      </c>
      <c r="F2134" s="13"/>
      <c r="G2134" s="13">
        <v>2307.6</v>
      </c>
    </row>
    <row r="2135" spans="1:7" hidden="1" x14ac:dyDescent="0.75">
      <c r="A2135" s="51">
        <v>44942</v>
      </c>
      <c r="B2135" s="52">
        <v>1025</v>
      </c>
      <c r="C2135" s="8" t="s">
        <v>2803</v>
      </c>
      <c r="D2135" s="8" t="s">
        <v>70</v>
      </c>
      <c r="E2135" s="52">
        <v>1362</v>
      </c>
      <c r="F2135" s="13"/>
      <c r="G2135" s="13">
        <v>479.5</v>
      </c>
    </row>
    <row r="2136" spans="1:7" hidden="1" x14ac:dyDescent="0.75">
      <c r="A2136" s="51">
        <v>44942</v>
      </c>
      <c r="B2136" s="52">
        <v>1025</v>
      </c>
      <c r="C2136" s="8" t="s">
        <v>2803</v>
      </c>
      <c r="D2136" s="8" t="s">
        <v>70</v>
      </c>
      <c r="E2136" s="52">
        <v>1362</v>
      </c>
      <c r="F2136" s="13"/>
      <c r="G2136" s="13">
        <v>2682.7</v>
      </c>
    </row>
    <row r="2137" spans="1:7" hidden="1" x14ac:dyDescent="0.75">
      <c r="A2137" s="51">
        <v>44942</v>
      </c>
      <c r="B2137" s="52">
        <v>1025</v>
      </c>
      <c r="C2137" s="8" t="s">
        <v>2803</v>
      </c>
      <c r="D2137" s="8" t="s">
        <v>70</v>
      </c>
      <c r="E2137" s="52">
        <v>1362</v>
      </c>
      <c r="F2137" s="13"/>
      <c r="G2137" s="13">
        <v>220</v>
      </c>
    </row>
    <row r="2138" spans="1:7" hidden="1" x14ac:dyDescent="0.75">
      <c r="A2138" s="51">
        <v>44942</v>
      </c>
      <c r="B2138" s="52">
        <v>1025</v>
      </c>
      <c r="C2138" s="8" t="s">
        <v>2803</v>
      </c>
      <c r="D2138" s="8" t="s">
        <v>70</v>
      </c>
      <c r="E2138" s="52">
        <v>1362</v>
      </c>
      <c r="F2138" s="13"/>
      <c r="G2138" s="13">
        <v>1837</v>
      </c>
    </row>
    <row r="2139" spans="1:7" hidden="1" x14ac:dyDescent="0.75">
      <c r="A2139" s="51">
        <v>44942</v>
      </c>
      <c r="B2139" s="52">
        <v>1025</v>
      </c>
      <c r="C2139" s="8" t="s">
        <v>2803</v>
      </c>
      <c r="D2139" s="8" t="s">
        <v>70</v>
      </c>
      <c r="E2139" s="52">
        <v>1362</v>
      </c>
      <c r="F2139" s="13"/>
      <c r="G2139" s="13">
        <v>479.5</v>
      </c>
    </row>
    <row r="2140" spans="1:7" hidden="1" x14ac:dyDescent="0.75">
      <c r="A2140" s="51">
        <v>44942</v>
      </c>
      <c r="B2140" s="52">
        <v>1025</v>
      </c>
      <c r="C2140" s="8" t="s">
        <v>2803</v>
      </c>
      <c r="D2140" s="8" t="s">
        <v>70</v>
      </c>
      <c r="E2140" s="52">
        <v>1362</v>
      </c>
      <c r="F2140" s="13"/>
      <c r="G2140" s="13">
        <v>2128</v>
      </c>
    </row>
    <row r="2141" spans="1:7" hidden="1" x14ac:dyDescent="0.75">
      <c r="A2141" s="51">
        <v>44942</v>
      </c>
      <c r="B2141" s="52">
        <v>1025</v>
      </c>
      <c r="C2141" s="8" t="s">
        <v>2803</v>
      </c>
      <c r="D2141" s="8" t="s">
        <v>70</v>
      </c>
      <c r="E2141" s="52">
        <v>1362</v>
      </c>
      <c r="F2141" s="13"/>
      <c r="G2141" s="13">
        <v>479.5</v>
      </c>
    </row>
    <row r="2142" spans="1:7" hidden="1" x14ac:dyDescent="0.75">
      <c r="A2142" s="51">
        <v>44943</v>
      </c>
      <c r="B2142" s="52">
        <v>1025</v>
      </c>
      <c r="C2142" s="8" t="s">
        <v>2804</v>
      </c>
      <c r="D2142" s="8" t="s">
        <v>70</v>
      </c>
      <c r="E2142" s="52">
        <v>408</v>
      </c>
      <c r="F2142" s="13">
        <v>2010.7</v>
      </c>
      <c r="G2142" s="13"/>
    </row>
    <row r="2143" spans="1:7" hidden="1" x14ac:dyDescent="0.75">
      <c r="A2143" s="51">
        <v>44943</v>
      </c>
      <c r="B2143" s="52">
        <v>1025</v>
      </c>
      <c r="C2143" s="8" t="s">
        <v>2805</v>
      </c>
      <c r="D2143" s="8" t="s">
        <v>70</v>
      </c>
      <c r="E2143" s="52">
        <v>408</v>
      </c>
      <c r="F2143" s="13">
        <v>479.5</v>
      </c>
      <c r="G2143" s="13"/>
    </row>
    <row r="2144" spans="1:7" hidden="1" x14ac:dyDescent="0.75">
      <c r="A2144" s="51">
        <v>44945</v>
      </c>
      <c r="B2144" s="52">
        <v>1025</v>
      </c>
      <c r="C2144" s="8" t="s">
        <v>2806</v>
      </c>
      <c r="D2144" s="8" t="s">
        <v>70</v>
      </c>
      <c r="E2144" s="52">
        <v>408</v>
      </c>
      <c r="F2144" s="13">
        <v>2259.5</v>
      </c>
      <c r="G2144" s="13"/>
    </row>
    <row r="2145" spans="1:7" hidden="1" x14ac:dyDescent="0.75">
      <c r="A2145" s="51">
        <v>44945</v>
      </c>
      <c r="B2145" s="52">
        <v>1025</v>
      </c>
      <c r="C2145" s="8" t="s">
        <v>2807</v>
      </c>
      <c r="D2145" s="8" t="s">
        <v>70</v>
      </c>
      <c r="E2145" s="52">
        <v>408</v>
      </c>
      <c r="F2145" s="13">
        <v>424.5</v>
      </c>
      <c r="G2145" s="13"/>
    </row>
    <row r="2146" spans="1:7" hidden="1" x14ac:dyDescent="0.75">
      <c r="A2146" s="51">
        <v>44947</v>
      </c>
      <c r="B2146" s="52">
        <v>1025</v>
      </c>
      <c r="C2146" s="8" t="s">
        <v>2808</v>
      </c>
      <c r="D2146" s="8" t="s">
        <v>70</v>
      </c>
      <c r="E2146" s="52">
        <v>408</v>
      </c>
      <c r="F2146" s="13">
        <v>1858.9</v>
      </c>
      <c r="G2146" s="13"/>
    </row>
    <row r="2147" spans="1:7" hidden="1" x14ac:dyDescent="0.75">
      <c r="A2147" s="51">
        <v>44950</v>
      </c>
      <c r="B2147" s="52">
        <v>1025</v>
      </c>
      <c r="C2147" s="8" t="s">
        <v>2809</v>
      </c>
      <c r="D2147" s="8" t="s">
        <v>70</v>
      </c>
      <c r="E2147" s="52">
        <v>408</v>
      </c>
      <c r="F2147" s="13">
        <v>1890.7</v>
      </c>
      <c r="G2147" s="13"/>
    </row>
    <row r="2148" spans="1:7" hidden="1" x14ac:dyDescent="0.75">
      <c r="A2148" s="51">
        <v>44950</v>
      </c>
      <c r="B2148" s="52">
        <v>1025</v>
      </c>
      <c r="C2148" s="8" t="s">
        <v>2810</v>
      </c>
      <c r="D2148" s="8" t="s">
        <v>70</v>
      </c>
      <c r="E2148" s="52">
        <v>408</v>
      </c>
      <c r="F2148" s="13">
        <v>220</v>
      </c>
      <c r="G2148" s="13"/>
    </row>
    <row r="2149" spans="1:7" hidden="1" x14ac:dyDescent="0.75">
      <c r="A2149" s="51">
        <v>44951</v>
      </c>
      <c r="B2149" s="52">
        <v>1025</v>
      </c>
      <c r="C2149" s="8" t="s">
        <v>2803</v>
      </c>
      <c r="D2149" s="8" t="s">
        <v>70</v>
      </c>
      <c r="E2149" s="52">
        <v>1362</v>
      </c>
      <c r="F2149" s="13"/>
      <c r="G2149" s="13">
        <v>479.5</v>
      </c>
    </row>
    <row r="2150" spans="1:7" hidden="1" x14ac:dyDescent="0.75">
      <c r="A2150" s="51">
        <v>44951</v>
      </c>
      <c r="B2150" s="52">
        <v>1025</v>
      </c>
      <c r="C2150" s="8" t="s">
        <v>2803</v>
      </c>
      <c r="D2150" s="8" t="s">
        <v>70</v>
      </c>
      <c r="E2150" s="52">
        <v>1362</v>
      </c>
      <c r="F2150" s="13"/>
      <c r="G2150" s="13">
        <v>3121.6</v>
      </c>
    </row>
    <row r="2151" spans="1:7" hidden="1" x14ac:dyDescent="0.75">
      <c r="A2151" s="51">
        <v>44951</v>
      </c>
      <c r="B2151" s="52">
        <v>1025</v>
      </c>
      <c r="C2151" s="8" t="s">
        <v>2803</v>
      </c>
      <c r="D2151" s="8" t="s">
        <v>70</v>
      </c>
      <c r="E2151" s="52">
        <v>1362</v>
      </c>
      <c r="F2151" s="13"/>
      <c r="G2151" s="13">
        <v>2542.6</v>
      </c>
    </row>
    <row r="2152" spans="1:7" hidden="1" x14ac:dyDescent="0.75">
      <c r="A2152" s="51">
        <v>44951</v>
      </c>
      <c r="B2152" s="52">
        <v>1025</v>
      </c>
      <c r="C2152" s="8" t="s">
        <v>2803</v>
      </c>
      <c r="D2152" s="8" t="s">
        <v>70</v>
      </c>
      <c r="E2152" s="52">
        <v>1362</v>
      </c>
      <c r="F2152" s="13"/>
      <c r="G2152" s="13">
        <v>479.5</v>
      </c>
    </row>
    <row r="2153" spans="1:7" hidden="1" x14ac:dyDescent="0.75">
      <c r="A2153" s="51">
        <v>44951</v>
      </c>
      <c r="B2153" s="52">
        <v>1025</v>
      </c>
      <c r="C2153" s="8" t="s">
        <v>2803</v>
      </c>
      <c r="D2153" s="8" t="s">
        <v>70</v>
      </c>
      <c r="E2153" s="52">
        <v>1362</v>
      </c>
      <c r="F2153" s="13"/>
      <c r="G2153" s="13">
        <v>2068.5</v>
      </c>
    </row>
    <row r="2154" spans="1:7" hidden="1" x14ac:dyDescent="0.75">
      <c r="A2154" s="51">
        <v>44951</v>
      </c>
      <c r="B2154" s="52">
        <v>1025</v>
      </c>
      <c r="C2154" s="8" t="s">
        <v>2803</v>
      </c>
      <c r="D2154" s="8" t="s">
        <v>70</v>
      </c>
      <c r="E2154" s="52">
        <v>1362</v>
      </c>
      <c r="F2154" s="13"/>
      <c r="G2154" s="13">
        <v>479.5</v>
      </c>
    </row>
    <row r="2155" spans="1:7" hidden="1" x14ac:dyDescent="0.75">
      <c r="A2155" s="51">
        <v>44951</v>
      </c>
      <c r="B2155" s="52">
        <v>1025</v>
      </c>
      <c r="C2155" s="8" t="s">
        <v>2803</v>
      </c>
      <c r="D2155" s="8" t="s">
        <v>70</v>
      </c>
      <c r="E2155" s="52">
        <v>1362</v>
      </c>
      <c r="F2155" s="13"/>
      <c r="G2155" s="13">
        <v>3165.5</v>
      </c>
    </row>
    <row r="2156" spans="1:7" hidden="1" x14ac:dyDescent="0.75">
      <c r="A2156" s="51">
        <v>44951</v>
      </c>
      <c r="B2156" s="52">
        <v>1025</v>
      </c>
      <c r="C2156" s="8" t="s">
        <v>2803</v>
      </c>
      <c r="D2156" s="8" t="s">
        <v>70</v>
      </c>
      <c r="E2156" s="52">
        <v>1362</v>
      </c>
      <c r="F2156" s="13"/>
      <c r="G2156" s="13">
        <v>479.5</v>
      </c>
    </row>
    <row r="2157" spans="1:7" hidden="1" x14ac:dyDescent="0.75">
      <c r="A2157" s="51">
        <v>44952</v>
      </c>
      <c r="B2157" s="52">
        <v>1025</v>
      </c>
      <c r="C2157" s="8" t="s">
        <v>2811</v>
      </c>
      <c r="D2157" s="8" t="s">
        <v>70</v>
      </c>
      <c r="E2157" s="52">
        <v>408</v>
      </c>
      <c r="F2157" s="13">
        <v>2091.1</v>
      </c>
      <c r="G2157" s="13"/>
    </row>
    <row r="2158" spans="1:7" hidden="1" x14ac:dyDescent="0.75">
      <c r="A2158" s="51">
        <v>44952</v>
      </c>
      <c r="B2158" s="52">
        <v>1025</v>
      </c>
      <c r="C2158" s="8" t="s">
        <v>2812</v>
      </c>
      <c r="D2158" s="8" t="s">
        <v>70</v>
      </c>
      <c r="E2158" s="52">
        <v>408</v>
      </c>
      <c r="F2158" s="13">
        <v>220</v>
      </c>
      <c r="G2158" s="13"/>
    </row>
    <row r="2159" spans="1:7" hidden="1" x14ac:dyDescent="0.75">
      <c r="A2159" s="51">
        <v>44954</v>
      </c>
      <c r="B2159" s="52">
        <v>1025</v>
      </c>
      <c r="C2159" s="8" t="s">
        <v>2813</v>
      </c>
      <c r="D2159" s="8" t="s">
        <v>70</v>
      </c>
      <c r="E2159" s="52">
        <v>408</v>
      </c>
      <c r="F2159" s="13">
        <v>2467.1999999999998</v>
      </c>
      <c r="G2159" s="13"/>
    </row>
    <row r="2160" spans="1:7" hidden="1" x14ac:dyDescent="0.75">
      <c r="A2160" s="51">
        <v>44954</v>
      </c>
      <c r="B2160" s="52">
        <v>1025</v>
      </c>
      <c r="C2160" s="8" t="s">
        <v>2814</v>
      </c>
      <c r="D2160" s="8" t="s">
        <v>70</v>
      </c>
      <c r="E2160" s="52">
        <v>408</v>
      </c>
      <c r="F2160" s="13">
        <v>220</v>
      </c>
      <c r="G2160" s="13"/>
    </row>
    <row r="2161" spans="1:7" hidden="1" x14ac:dyDescent="0.75">
      <c r="A2161" s="51">
        <v>44957</v>
      </c>
      <c r="B2161" s="52">
        <v>1025</v>
      </c>
      <c r="C2161" s="8" t="s">
        <v>2815</v>
      </c>
      <c r="D2161" s="8" t="s">
        <v>70</v>
      </c>
      <c r="E2161" s="52">
        <v>408</v>
      </c>
      <c r="F2161" s="13">
        <v>1791.7</v>
      </c>
      <c r="G2161" s="13"/>
    </row>
    <row r="2162" spans="1:7" hidden="1" x14ac:dyDescent="0.75">
      <c r="A2162" s="51">
        <v>44957</v>
      </c>
      <c r="B2162" s="52">
        <v>1025</v>
      </c>
      <c r="C2162" s="8" t="s">
        <v>2816</v>
      </c>
      <c r="D2162" s="8" t="s">
        <v>70</v>
      </c>
      <c r="E2162" s="52">
        <v>408</v>
      </c>
      <c r="F2162" s="13">
        <v>157.19999999999999</v>
      </c>
      <c r="G2162" s="13"/>
    </row>
    <row r="2163" spans="1:7" hidden="1" x14ac:dyDescent="0.75">
      <c r="A2163" s="51">
        <v>44928</v>
      </c>
      <c r="B2163" s="52">
        <v>707</v>
      </c>
      <c r="C2163" s="8" t="s">
        <v>2817</v>
      </c>
      <c r="D2163" s="8" t="s">
        <v>71</v>
      </c>
      <c r="E2163" s="52">
        <v>408</v>
      </c>
      <c r="F2163" s="13">
        <v>2237.9499999999998</v>
      </c>
      <c r="G2163" s="13"/>
    </row>
    <row r="2164" spans="1:7" hidden="1" x14ac:dyDescent="0.75">
      <c r="A2164" s="51">
        <v>44929</v>
      </c>
      <c r="B2164" s="52">
        <v>707</v>
      </c>
      <c r="C2164" s="8" t="s">
        <v>2818</v>
      </c>
      <c r="D2164" s="8" t="s">
        <v>71</v>
      </c>
      <c r="E2164" s="52">
        <v>408</v>
      </c>
      <c r="F2164" s="13">
        <v>2345.9</v>
      </c>
      <c r="G2164" s="13"/>
    </row>
    <row r="2165" spans="1:7" hidden="1" x14ac:dyDescent="0.75">
      <c r="A2165" s="51">
        <v>44929</v>
      </c>
      <c r="B2165" s="52">
        <v>707</v>
      </c>
      <c r="C2165" s="8" t="s">
        <v>2819</v>
      </c>
      <c r="D2165" s="8" t="s">
        <v>71</v>
      </c>
      <c r="E2165" s="52">
        <v>408</v>
      </c>
      <c r="F2165" s="13">
        <v>1395.2</v>
      </c>
      <c r="G2165" s="13"/>
    </row>
    <row r="2166" spans="1:7" hidden="1" x14ac:dyDescent="0.75">
      <c r="A2166" s="51">
        <v>44931</v>
      </c>
      <c r="B2166" s="52">
        <v>707</v>
      </c>
      <c r="C2166" s="8" t="s">
        <v>2820</v>
      </c>
      <c r="D2166" s="8" t="s">
        <v>71</v>
      </c>
      <c r="E2166" s="52">
        <v>408</v>
      </c>
      <c r="F2166" s="13">
        <v>2370.75</v>
      </c>
      <c r="G2166" s="13"/>
    </row>
    <row r="2167" spans="1:7" hidden="1" x14ac:dyDescent="0.75">
      <c r="A2167" s="51">
        <v>44932</v>
      </c>
      <c r="B2167" s="52">
        <v>707</v>
      </c>
      <c r="C2167" s="8" t="s">
        <v>2821</v>
      </c>
      <c r="D2167" s="8" t="s">
        <v>71</v>
      </c>
      <c r="E2167" s="52">
        <v>408</v>
      </c>
      <c r="F2167" s="13">
        <v>1326.7</v>
      </c>
      <c r="G2167" s="13"/>
    </row>
    <row r="2168" spans="1:7" hidden="1" x14ac:dyDescent="0.75">
      <c r="A2168" s="51">
        <v>44932</v>
      </c>
      <c r="B2168" s="52">
        <v>707</v>
      </c>
      <c r="C2168" s="8" t="s">
        <v>2822</v>
      </c>
      <c r="D2168" s="8" t="s">
        <v>71</v>
      </c>
      <c r="E2168" s="52">
        <v>408</v>
      </c>
      <c r="F2168" s="13">
        <v>45</v>
      </c>
      <c r="G2168" s="13"/>
    </row>
    <row r="2169" spans="1:7" hidden="1" x14ac:dyDescent="0.75">
      <c r="A2169" s="51">
        <v>44933</v>
      </c>
      <c r="B2169" s="52">
        <v>707</v>
      </c>
      <c r="C2169" s="8" t="s">
        <v>2823</v>
      </c>
      <c r="D2169" s="8" t="s">
        <v>71</v>
      </c>
      <c r="E2169" s="52">
        <v>408</v>
      </c>
      <c r="F2169" s="13">
        <v>3035.7</v>
      </c>
      <c r="G2169" s="13"/>
    </row>
    <row r="2170" spans="1:7" hidden="1" x14ac:dyDescent="0.75">
      <c r="A2170" s="51">
        <v>44935</v>
      </c>
      <c r="B2170" s="52">
        <v>707</v>
      </c>
      <c r="C2170" s="8" t="s">
        <v>2824</v>
      </c>
      <c r="D2170" s="8" t="s">
        <v>71</v>
      </c>
      <c r="E2170" s="52">
        <v>408</v>
      </c>
      <c r="F2170" s="13">
        <v>3204.77</v>
      </c>
      <c r="G2170" s="13"/>
    </row>
    <row r="2171" spans="1:7" hidden="1" x14ac:dyDescent="0.75">
      <c r="A2171" s="51">
        <v>44936</v>
      </c>
      <c r="B2171" s="52">
        <v>707</v>
      </c>
      <c r="C2171" s="8" t="s">
        <v>2825</v>
      </c>
      <c r="D2171" s="8" t="s">
        <v>71</v>
      </c>
      <c r="E2171" s="52">
        <v>408</v>
      </c>
      <c r="F2171" s="13">
        <v>1885.56</v>
      </c>
      <c r="G2171" s="13"/>
    </row>
    <row r="2172" spans="1:7" hidden="1" x14ac:dyDescent="0.75">
      <c r="A2172" s="51">
        <v>44936</v>
      </c>
      <c r="B2172" s="52">
        <v>707</v>
      </c>
      <c r="C2172" s="8" t="s">
        <v>2826</v>
      </c>
      <c r="D2172" s="8" t="s">
        <v>71</v>
      </c>
      <c r="E2172" s="52">
        <v>408</v>
      </c>
      <c r="F2172" s="13">
        <v>2180</v>
      </c>
      <c r="G2172" s="13"/>
    </row>
    <row r="2173" spans="1:7" hidden="1" x14ac:dyDescent="0.75">
      <c r="A2173" s="51">
        <v>44936</v>
      </c>
      <c r="B2173" s="52">
        <v>707</v>
      </c>
      <c r="C2173" s="8" t="s">
        <v>2827</v>
      </c>
      <c r="D2173" s="8" t="s">
        <v>71</v>
      </c>
      <c r="E2173" s="52">
        <v>1362</v>
      </c>
      <c r="F2173" s="13"/>
      <c r="G2173" s="13">
        <v>2375.9499999999998</v>
      </c>
    </row>
    <row r="2174" spans="1:7" hidden="1" x14ac:dyDescent="0.75">
      <c r="A2174" s="51">
        <v>44936</v>
      </c>
      <c r="B2174" s="52">
        <v>707</v>
      </c>
      <c r="C2174" s="8" t="s">
        <v>2827</v>
      </c>
      <c r="D2174" s="8" t="s">
        <v>71</v>
      </c>
      <c r="E2174" s="52">
        <v>1362</v>
      </c>
      <c r="F2174" s="13"/>
      <c r="G2174" s="13">
        <v>2260.3000000000002</v>
      </c>
    </row>
    <row r="2175" spans="1:7" hidden="1" x14ac:dyDescent="0.75">
      <c r="A2175" s="51">
        <v>44936</v>
      </c>
      <c r="B2175" s="52">
        <v>707</v>
      </c>
      <c r="C2175" s="8" t="s">
        <v>2827</v>
      </c>
      <c r="D2175" s="8" t="s">
        <v>71</v>
      </c>
      <c r="E2175" s="52">
        <v>1362</v>
      </c>
      <c r="F2175" s="13"/>
      <c r="G2175" s="13">
        <v>2765.65</v>
      </c>
    </row>
    <row r="2176" spans="1:7" hidden="1" x14ac:dyDescent="0.75">
      <c r="A2176" s="51">
        <v>44936</v>
      </c>
      <c r="B2176" s="52">
        <v>707</v>
      </c>
      <c r="C2176" s="8" t="s">
        <v>2827</v>
      </c>
      <c r="D2176" s="8" t="s">
        <v>71</v>
      </c>
      <c r="E2176" s="52">
        <v>1362</v>
      </c>
      <c r="F2176" s="13"/>
      <c r="G2176" s="13">
        <v>3813.5</v>
      </c>
    </row>
    <row r="2177" spans="1:7" hidden="1" x14ac:dyDescent="0.75">
      <c r="A2177" s="51">
        <v>44936</v>
      </c>
      <c r="B2177" s="52">
        <v>707</v>
      </c>
      <c r="C2177" s="8" t="s">
        <v>2827</v>
      </c>
      <c r="D2177" s="8" t="s">
        <v>71</v>
      </c>
      <c r="E2177" s="52">
        <v>1362</v>
      </c>
      <c r="F2177" s="13"/>
      <c r="G2177" s="13">
        <v>2583.9499999999998</v>
      </c>
    </row>
    <row r="2178" spans="1:7" hidden="1" x14ac:dyDescent="0.75">
      <c r="A2178" s="51">
        <v>44936</v>
      </c>
      <c r="B2178" s="52">
        <v>707</v>
      </c>
      <c r="C2178" s="8" t="s">
        <v>2827</v>
      </c>
      <c r="D2178" s="8" t="s">
        <v>71</v>
      </c>
      <c r="E2178" s="52">
        <v>1362</v>
      </c>
      <c r="F2178" s="13"/>
      <c r="G2178" s="13">
        <v>1780</v>
      </c>
    </row>
    <row r="2179" spans="1:7" hidden="1" x14ac:dyDescent="0.75">
      <c r="A2179" s="51">
        <v>44936</v>
      </c>
      <c r="B2179" s="52">
        <v>707</v>
      </c>
      <c r="C2179" s="8" t="s">
        <v>2827</v>
      </c>
      <c r="D2179" s="8" t="s">
        <v>71</v>
      </c>
      <c r="E2179" s="52">
        <v>1362</v>
      </c>
      <c r="F2179" s="13"/>
      <c r="G2179" s="13">
        <v>5196.6000000000004</v>
      </c>
    </row>
    <row r="2180" spans="1:7" hidden="1" x14ac:dyDescent="0.75">
      <c r="A2180" s="51">
        <v>44936</v>
      </c>
      <c r="B2180" s="52">
        <v>707</v>
      </c>
      <c r="C2180" s="8" t="s">
        <v>2827</v>
      </c>
      <c r="D2180" s="8" t="s">
        <v>71</v>
      </c>
      <c r="E2180" s="52">
        <v>1362</v>
      </c>
      <c r="F2180" s="13"/>
      <c r="G2180" s="13">
        <v>4745.25</v>
      </c>
    </row>
    <row r="2181" spans="1:7" hidden="1" x14ac:dyDescent="0.75">
      <c r="A2181" s="51">
        <v>44936</v>
      </c>
      <c r="B2181" s="52">
        <v>707</v>
      </c>
      <c r="C2181" s="8" t="s">
        <v>2827</v>
      </c>
      <c r="D2181" s="8" t="s">
        <v>71</v>
      </c>
      <c r="E2181" s="52">
        <v>1362</v>
      </c>
      <c r="F2181" s="13"/>
      <c r="G2181" s="13">
        <v>1000.8</v>
      </c>
    </row>
    <row r="2182" spans="1:7" hidden="1" x14ac:dyDescent="0.75">
      <c r="A2182" s="51">
        <v>44936</v>
      </c>
      <c r="B2182" s="52">
        <v>707</v>
      </c>
      <c r="C2182" s="8" t="s">
        <v>2827</v>
      </c>
      <c r="D2182" s="8" t="s">
        <v>71</v>
      </c>
      <c r="E2182" s="52">
        <v>1362</v>
      </c>
      <c r="F2182" s="13"/>
      <c r="G2182" s="13">
        <v>2694.55</v>
      </c>
    </row>
    <row r="2183" spans="1:7" hidden="1" x14ac:dyDescent="0.75">
      <c r="A2183" s="51">
        <v>44936</v>
      </c>
      <c r="B2183" s="52">
        <v>707</v>
      </c>
      <c r="C2183" s="8" t="s">
        <v>2827</v>
      </c>
      <c r="D2183" s="8" t="s">
        <v>71</v>
      </c>
      <c r="E2183" s="52">
        <v>1362</v>
      </c>
      <c r="F2183" s="13"/>
      <c r="G2183" s="13">
        <v>2074.85</v>
      </c>
    </row>
    <row r="2184" spans="1:7" hidden="1" x14ac:dyDescent="0.75">
      <c r="A2184" s="51">
        <v>44936</v>
      </c>
      <c r="B2184" s="52">
        <v>707</v>
      </c>
      <c r="C2184" s="8" t="s">
        <v>2827</v>
      </c>
      <c r="D2184" s="8" t="s">
        <v>71</v>
      </c>
      <c r="E2184" s="52">
        <v>1362</v>
      </c>
      <c r="F2184" s="13"/>
      <c r="G2184" s="13">
        <v>2224</v>
      </c>
    </row>
    <row r="2185" spans="1:7" hidden="1" x14ac:dyDescent="0.75">
      <c r="A2185" s="51">
        <v>44936</v>
      </c>
      <c r="B2185" s="52">
        <v>707</v>
      </c>
      <c r="C2185" s="8" t="s">
        <v>2827</v>
      </c>
      <c r="D2185" s="8" t="s">
        <v>71</v>
      </c>
      <c r="E2185" s="52">
        <v>1362</v>
      </c>
      <c r="F2185" s="13"/>
      <c r="G2185" s="13">
        <v>2383.3000000000002</v>
      </c>
    </row>
    <row r="2186" spans="1:7" hidden="1" x14ac:dyDescent="0.75">
      <c r="A2186" s="51">
        <v>44936</v>
      </c>
      <c r="B2186" s="52">
        <v>707</v>
      </c>
      <c r="C2186" s="8" t="s">
        <v>2827</v>
      </c>
      <c r="D2186" s="8" t="s">
        <v>71</v>
      </c>
      <c r="E2186" s="52">
        <v>1362</v>
      </c>
      <c r="F2186" s="13"/>
      <c r="G2186" s="13">
        <v>1954.45</v>
      </c>
    </row>
    <row r="2187" spans="1:7" hidden="1" x14ac:dyDescent="0.75">
      <c r="A2187" s="51">
        <v>44936</v>
      </c>
      <c r="B2187" s="52">
        <v>707</v>
      </c>
      <c r="C2187" s="8" t="s">
        <v>2827</v>
      </c>
      <c r="D2187" s="8" t="s">
        <v>71</v>
      </c>
      <c r="E2187" s="52">
        <v>1362</v>
      </c>
      <c r="F2187" s="13"/>
      <c r="G2187" s="13">
        <v>4254.1000000000004</v>
      </c>
    </row>
    <row r="2188" spans="1:7" hidden="1" x14ac:dyDescent="0.75">
      <c r="A2188" s="51">
        <v>44936</v>
      </c>
      <c r="B2188" s="52">
        <v>707</v>
      </c>
      <c r="C2188" s="8" t="s">
        <v>2827</v>
      </c>
      <c r="D2188" s="8" t="s">
        <v>71</v>
      </c>
      <c r="E2188" s="52">
        <v>1362</v>
      </c>
      <c r="F2188" s="13"/>
      <c r="G2188" s="13">
        <v>1305</v>
      </c>
    </row>
    <row r="2189" spans="1:7" hidden="1" x14ac:dyDescent="0.75">
      <c r="A2189" s="51">
        <v>44936</v>
      </c>
      <c r="B2189" s="52">
        <v>707</v>
      </c>
      <c r="C2189" s="8" t="s">
        <v>2827</v>
      </c>
      <c r="D2189" s="8" t="s">
        <v>71</v>
      </c>
      <c r="E2189" s="52">
        <v>1362</v>
      </c>
      <c r="F2189" s="13"/>
      <c r="G2189" s="13">
        <v>3146.4</v>
      </c>
    </row>
    <row r="2190" spans="1:7" hidden="1" x14ac:dyDescent="0.75">
      <c r="A2190" s="51">
        <v>44936</v>
      </c>
      <c r="B2190" s="52">
        <v>707</v>
      </c>
      <c r="C2190" s="8" t="s">
        <v>2827</v>
      </c>
      <c r="D2190" s="8" t="s">
        <v>71</v>
      </c>
      <c r="E2190" s="52">
        <v>1362</v>
      </c>
      <c r="F2190" s="13"/>
      <c r="G2190" s="13">
        <v>3361.27</v>
      </c>
    </row>
    <row r="2191" spans="1:7" hidden="1" x14ac:dyDescent="0.75">
      <c r="A2191" s="51">
        <v>44936</v>
      </c>
      <c r="B2191" s="52">
        <v>707</v>
      </c>
      <c r="C2191" s="8" t="s">
        <v>2827</v>
      </c>
      <c r="D2191" s="8" t="s">
        <v>71</v>
      </c>
      <c r="E2191" s="52">
        <v>1362</v>
      </c>
      <c r="F2191" s="13"/>
      <c r="G2191" s="13">
        <v>846.75</v>
      </c>
    </row>
    <row r="2192" spans="1:7" hidden="1" x14ac:dyDescent="0.75">
      <c r="A2192" s="51">
        <v>44936</v>
      </c>
      <c r="B2192" s="52">
        <v>707</v>
      </c>
      <c r="C2192" s="8" t="s">
        <v>2827</v>
      </c>
      <c r="D2192" s="8" t="s">
        <v>71</v>
      </c>
      <c r="E2192" s="52">
        <v>1362</v>
      </c>
      <c r="F2192" s="13"/>
      <c r="G2192" s="13">
        <v>1744</v>
      </c>
    </row>
    <row r="2193" spans="1:7" hidden="1" x14ac:dyDescent="0.75">
      <c r="A2193" s="51">
        <v>44936</v>
      </c>
      <c r="B2193" s="52">
        <v>707</v>
      </c>
      <c r="C2193" s="8" t="s">
        <v>2827</v>
      </c>
      <c r="D2193" s="8" t="s">
        <v>71</v>
      </c>
      <c r="E2193" s="52">
        <v>1362</v>
      </c>
      <c r="F2193" s="13"/>
      <c r="G2193" s="13">
        <v>5340</v>
      </c>
    </row>
    <row r="2194" spans="1:7" hidden="1" x14ac:dyDescent="0.75">
      <c r="A2194" s="51">
        <v>44936</v>
      </c>
      <c r="B2194" s="52">
        <v>707</v>
      </c>
      <c r="C2194" s="8" t="s">
        <v>2827</v>
      </c>
      <c r="D2194" s="8" t="s">
        <v>71</v>
      </c>
      <c r="E2194" s="52">
        <v>1362</v>
      </c>
      <c r="F2194" s="13"/>
      <c r="G2194" s="13">
        <v>1231.5</v>
      </c>
    </row>
    <row r="2195" spans="1:7" hidden="1" x14ac:dyDescent="0.75">
      <c r="A2195" s="51">
        <v>44936</v>
      </c>
      <c r="B2195" s="52">
        <v>707</v>
      </c>
      <c r="C2195" s="8" t="s">
        <v>2827</v>
      </c>
      <c r="D2195" s="8" t="s">
        <v>71</v>
      </c>
      <c r="E2195" s="52">
        <v>1362</v>
      </c>
      <c r="F2195" s="13"/>
      <c r="G2195" s="13">
        <v>4215.3999999999996</v>
      </c>
    </row>
    <row r="2196" spans="1:7" hidden="1" x14ac:dyDescent="0.75">
      <c r="A2196" s="51">
        <v>44936</v>
      </c>
      <c r="B2196" s="52">
        <v>707</v>
      </c>
      <c r="C2196" s="8" t="s">
        <v>2827</v>
      </c>
      <c r="D2196" s="8" t="s">
        <v>71</v>
      </c>
      <c r="E2196" s="52">
        <v>1362</v>
      </c>
      <c r="F2196" s="13"/>
      <c r="G2196" s="13">
        <v>390</v>
      </c>
    </row>
    <row r="2197" spans="1:7" hidden="1" x14ac:dyDescent="0.75">
      <c r="A2197" s="51">
        <v>44936</v>
      </c>
      <c r="B2197" s="52">
        <v>707</v>
      </c>
      <c r="C2197" s="8" t="s">
        <v>2827</v>
      </c>
      <c r="D2197" s="8" t="s">
        <v>71</v>
      </c>
      <c r="E2197" s="52">
        <v>1362</v>
      </c>
      <c r="F2197" s="13"/>
      <c r="G2197" s="13">
        <v>2874</v>
      </c>
    </row>
    <row r="2198" spans="1:7" hidden="1" x14ac:dyDescent="0.75">
      <c r="A2198" s="51">
        <v>44936</v>
      </c>
      <c r="B2198" s="52">
        <v>707</v>
      </c>
      <c r="C2198" s="8" t="s">
        <v>2827</v>
      </c>
      <c r="D2198" s="8" t="s">
        <v>71</v>
      </c>
      <c r="E2198" s="52">
        <v>1362</v>
      </c>
      <c r="F2198" s="13"/>
      <c r="G2198" s="13">
        <v>2237.9499999999998</v>
      </c>
    </row>
    <row r="2199" spans="1:7" hidden="1" x14ac:dyDescent="0.75">
      <c r="A2199" s="51">
        <v>44936</v>
      </c>
      <c r="B2199" s="52">
        <v>707</v>
      </c>
      <c r="C2199" s="8" t="s">
        <v>2827</v>
      </c>
      <c r="D2199" s="8" t="s">
        <v>71</v>
      </c>
      <c r="E2199" s="52">
        <v>1362</v>
      </c>
      <c r="F2199" s="13"/>
      <c r="G2199" s="13">
        <v>2345.9</v>
      </c>
    </row>
    <row r="2200" spans="1:7" hidden="1" x14ac:dyDescent="0.75">
      <c r="A2200" s="51">
        <v>44936</v>
      </c>
      <c r="B2200" s="52">
        <v>707</v>
      </c>
      <c r="C2200" s="8" t="s">
        <v>2827</v>
      </c>
      <c r="D2200" s="8" t="s">
        <v>71</v>
      </c>
      <c r="E2200" s="52">
        <v>1362</v>
      </c>
      <c r="F2200" s="13"/>
      <c r="G2200" s="13">
        <v>1395.2</v>
      </c>
    </row>
    <row r="2201" spans="1:7" hidden="1" x14ac:dyDescent="0.75">
      <c r="A2201" s="51">
        <v>44936</v>
      </c>
      <c r="B2201" s="52">
        <v>707</v>
      </c>
      <c r="C2201" s="8" t="s">
        <v>2827</v>
      </c>
      <c r="D2201" s="8" t="s">
        <v>71</v>
      </c>
      <c r="E2201" s="52">
        <v>1362</v>
      </c>
      <c r="F2201" s="13"/>
      <c r="G2201" s="13">
        <v>2370.75</v>
      </c>
    </row>
    <row r="2202" spans="1:7" hidden="1" x14ac:dyDescent="0.75">
      <c r="A2202" s="51">
        <v>44936</v>
      </c>
      <c r="B2202" s="52">
        <v>707</v>
      </c>
      <c r="C2202" s="8" t="s">
        <v>2827</v>
      </c>
      <c r="D2202" s="8" t="s">
        <v>71</v>
      </c>
      <c r="E2202" s="52">
        <v>1362</v>
      </c>
      <c r="F2202" s="13"/>
      <c r="G2202" s="13">
        <v>1326.7</v>
      </c>
    </row>
    <row r="2203" spans="1:7" hidden="1" x14ac:dyDescent="0.75">
      <c r="A2203" s="51">
        <v>44936</v>
      </c>
      <c r="B2203" s="52">
        <v>707</v>
      </c>
      <c r="C2203" s="8" t="s">
        <v>2827</v>
      </c>
      <c r="D2203" s="8" t="s">
        <v>71</v>
      </c>
      <c r="E2203" s="52">
        <v>1362</v>
      </c>
      <c r="F2203" s="13"/>
      <c r="G2203" s="13">
        <v>45</v>
      </c>
    </row>
    <row r="2204" spans="1:7" hidden="1" x14ac:dyDescent="0.75">
      <c r="A2204" s="51">
        <v>44936</v>
      </c>
      <c r="B2204" s="52">
        <v>707</v>
      </c>
      <c r="C2204" s="8" t="s">
        <v>2827</v>
      </c>
      <c r="D2204" s="8" t="s">
        <v>71</v>
      </c>
      <c r="E2204" s="52">
        <v>1362</v>
      </c>
      <c r="F2204" s="13"/>
      <c r="G2204" s="13">
        <v>3035.7</v>
      </c>
    </row>
    <row r="2205" spans="1:7" hidden="1" x14ac:dyDescent="0.75">
      <c r="A2205" s="51">
        <v>44936</v>
      </c>
      <c r="B2205" s="52">
        <v>707</v>
      </c>
      <c r="C2205" s="8" t="s">
        <v>2827</v>
      </c>
      <c r="D2205" s="8" t="s">
        <v>71</v>
      </c>
      <c r="E2205" s="52">
        <v>1362</v>
      </c>
      <c r="F2205" s="13"/>
      <c r="G2205" s="13">
        <v>3204.77</v>
      </c>
    </row>
    <row r="2206" spans="1:7" hidden="1" x14ac:dyDescent="0.75">
      <c r="A2206" s="51">
        <v>44936</v>
      </c>
      <c r="B2206" s="52">
        <v>707</v>
      </c>
      <c r="C2206" s="8" t="s">
        <v>2827</v>
      </c>
      <c r="D2206" s="8" t="s">
        <v>71</v>
      </c>
      <c r="E2206" s="52">
        <v>1362</v>
      </c>
      <c r="F2206" s="13"/>
      <c r="G2206" s="13">
        <v>1885.56</v>
      </c>
    </row>
    <row r="2207" spans="1:7" hidden="1" x14ac:dyDescent="0.75">
      <c r="A2207" s="51">
        <v>44938</v>
      </c>
      <c r="B2207" s="52">
        <v>707</v>
      </c>
      <c r="C2207" s="8" t="s">
        <v>2828</v>
      </c>
      <c r="D2207" s="8" t="s">
        <v>71</v>
      </c>
      <c r="E2207" s="52">
        <v>408</v>
      </c>
      <c r="F2207" s="13">
        <v>1615.7</v>
      </c>
      <c r="G2207" s="13"/>
    </row>
    <row r="2208" spans="1:7" hidden="1" x14ac:dyDescent="0.75">
      <c r="A2208" s="51">
        <v>44939</v>
      </c>
      <c r="B2208" s="52">
        <v>707</v>
      </c>
      <c r="C2208" s="8" t="s">
        <v>2829</v>
      </c>
      <c r="D2208" s="8" t="s">
        <v>71</v>
      </c>
      <c r="E2208" s="52">
        <v>408</v>
      </c>
      <c r="F2208" s="13">
        <v>2610</v>
      </c>
      <c r="G2208" s="13"/>
    </row>
    <row r="2209" spans="1:7" hidden="1" x14ac:dyDescent="0.75">
      <c r="A2209" s="51">
        <v>44939</v>
      </c>
      <c r="B2209" s="52">
        <v>707</v>
      </c>
      <c r="C2209" s="8" t="s">
        <v>2830</v>
      </c>
      <c r="D2209" s="8" t="s">
        <v>71</v>
      </c>
      <c r="E2209" s="52">
        <v>408</v>
      </c>
      <c r="F2209" s="13">
        <v>2180</v>
      </c>
      <c r="G2209" s="13"/>
    </row>
    <row r="2210" spans="1:7" hidden="1" x14ac:dyDescent="0.75">
      <c r="A2210" s="51">
        <v>44939</v>
      </c>
      <c r="B2210" s="52">
        <v>707</v>
      </c>
      <c r="C2210" s="8" t="s">
        <v>2831</v>
      </c>
      <c r="D2210" s="8" t="s">
        <v>71</v>
      </c>
      <c r="E2210" s="52">
        <v>408</v>
      </c>
      <c r="F2210" s="13">
        <v>1120.75</v>
      </c>
      <c r="G2210" s="13"/>
    </row>
    <row r="2211" spans="1:7" hidden="1" x14ac:dyDescent="0.75">
      <c r="A2211" s="51">
        <v>44940</v>
      </c>
      <c r="B2211" s="52">
        <v>707</v>
      </c>
      <c r="C2211" s="8" t="s">
        <v>2832</v>
      </c>
      <c r="D2211" s="8" t="s">
        <v>71</v>
      </c>
      <c r="E2211" s="52">
        <v>408</v>
      </c>
      <c r="F2211" s="13">
        <v>2983.7</v>
      </c>
      <c r="G2211" s="13"/>
    </row>
    <row r="2212" spans="1:7" hidden="1" x14ac:dyDescent="0.75">
      <c r="A2212" s="51">
        <v>44940</v>
      </c>
      <c r="B2212" s="52">
        <v>707</v>
      </c>
      <c r="C2212" s="8" t="s">
        <v>2833</v>
      </c>
      <c r="D2212" s="8" t="s">
        <v>71</v>
      </c>
      <c r="E2212" s="52">
        <v>408</v>
      </c>
      <c r="F2212" s="13">
        <v>294</v>
      </c>
      <c r="G2212" s="13"/>
    </row>
    <row r="2213" spans="1:7" hidden="1" x14ac:dyDescent="0.75">
      <c r="A2213" s="51">
        <v>44942</v>
      </c>
      <c r="B2213" s="52">
        <v>707</v>
      </c>
      <c r="C2213" s="8" t="s">
        <v>2834</v>
      </c>
      <c r="D2213" s="8" t="s">
        <v>71</v>
      </c>
      <c r="E2213" s="52">
        <v>408</v>
      </c>
      <c r="F2213" s="13">
        <v>2149.5</v>
      </c>
      <c r="G2213" s="13"/>
    </row>
    <row r="2214" spans="1:7" hidden="1" x14ac:dyDescent="0.75">
      <c r="A2214" s="51">
        <v>44943</v>
      </c>
      <c r="B2214" s="52">
        <v>707</v>
      </c>
      <c r="C2214" s="8" t="s">
        <v>2835</v>
      </c>
      <c r="D2214" s="8" t="s">
        <v>71</v>
      </c>
      <c r="E2214" s="52">
        <v>408</v>
      </c>
      <c r="F2214" s="13">
        <v>1476.25</v>
      </c>
      <c r="G2214" s="13"/>
    </row>
    <row r="2215" spans="1:7" hidden="1" x14ac:dyDescent="0.75">
      <c r="A2215" s="51">
        <v>44943</v>
      </c>
      <c r="B2215" s="52">
        <v>707</v>
      </c>
      <c r="C2215" s="8" t="s">
        <v>2836</v>
      </c>
      <c r="D2215" s="8" t="s">
        <v>71</v>
      </c>
      <c r="E2215" s="52">
        <v>408</v>
      </c>
      <c r="F2215" s="13">
        <v>2180</v>
      </c>
      <c r="G2215" s="13"/>
    </row>
    <row r="2216" spans="1:7" hidden="1" x14ac:dyDescent="0.75">
      <c r="A2216" s="51">
        <v>44944</v>
      </c>
      <c r="B2216" s="52">
        <v>707</v>
      </c>
      <c r="C2216" s="8" t="s">
        <v>2837</v>
      </c>
      <c r="D2216" s="8" t="s">
        <v>71</v>
      </c>
      <c r="E2216" s="52">
        <v>408</v>
      </c>
      <c r="F2216" s="13">
        <v>1050.0999999999999</v>
      </c>
      <c r="G2216" s="13"/>
    </row>
    <row r="2217" spans="1:7" hidden="1" x14ac:dyDescent="0.75">
      <c r="A2217" s="51">
        <v>44946</v>
      </c>
      <c r="B2217" s="52">
        <v>707</v>
      </c>
      <c r="C2217" s="8" t="s">
        <v>2838</v>
      </c>
      <c r="D2217" s="8" t="s">
        <v>71</v>
      </c>
      <c r="E2217" s="52">
        <v>408</v>
      </c>
      <c r="F2217" s="13">
        <v>1968.25</v>
      </c>
      <c r="G2217" s="13"/>
    </row>
    <row r="2218" spans="1:7" hidden="1" x14ac:dyDescent="0.75">
      <c r="A2218" s="51">
        <v>44946</v>
      </c>
      <c r="B2218" s="52">
        <v>707</v>
      </c>
      <c r="C2218" s="8" t="s">
        <v>2839</v>
      </c>
      <c r="D2218" s="8" t="s">
        <v>71</v>
      </c>
      <c r="E2218" s="52">
        <v>408</v>
      </c>
      <c r="F2218" s="13">
        <v>3270</v>
      </c>
      <c r="G2218" s="13"/>
    </row>
    <row r="2219" spans="1:7" hidden="1" x14ac:dyDescent="0.75">
      <c r="A2219" s="51">
        <v>44947</v>
      </c>
      <c r="B2219" s="52">
        <v>707</v>
      </c>
      <c r="C2219" s="8" t="s">
        <v>2840</v>
      </c>
      <c r="D2219" s="8" t="s">
        <v>71</v>
      </c>
      <c r="E2219" s="52">
        <v>408</v>
      </c>
      <c r="F2219" s="13">
        <v>1800.6</v>
      </c>
      <c r="G2219" s="13"/>
    </row>
    <row r="2220" spans="1:7" hidden="1" x14ac:dyDescent="0.75">
      <c r="A2220" s="51">
        <v>44949</v>
      </c>
      <c r="B2220" s="52">
        <v>707</v>
      </c>
      <c r="C2220" s="8" t="s">
        <v>2841</v>
      </c>
      <c r="D2220" s="8" t="s">
        <v>71</v>
      </c>
      <c r="E2220" s="52">
        <v>408</v>
      </c>
      <c r="F2220" s="13">
        <v>2053.9499999999998</v>
      </c>
      <c r="G2220" s="13"/>
    </row>
    <row r="2221" spans="1:7" hidden="1" x14ac:dyDescent="0.75">
      <c r="A2221" s="51">
        <v>44950</v>
      </c>
      <c r="B2221" s="52">
        <v>707</v>
      </c>
      <c r="C2221" s="8" t="s">
        <v>2842</v>
      </c>
      <c r="D2221" s="8" t="s">
        <v>71</v>
      </c>
      <c r="E2221" s="52">
        <v>408</v>
      </c>
      <c r="F2221" s="13">
        <v>2294.1</v>
      </c>
      <c r="G2221" s="13"/>
    </row>
    <row r="2222" spans="1:7" hidden="1" x14ac:dyDescent="0.75">
      <c r="A2222" s="51">
        <v>44950</v>
      </c>
      <c r="B2222" s="52">
        <v>707</v>
      </c>
      <c r="C2222" s="8" t="s">
        <v>2843</v>
      </c>
      <c r="D2222" s="8" t="s">
        <v>71</v>
      </c>
      <c r="E2222" s="52">
        <v>408</v>
      </c>
      <c r="F2222" s="13">
        <v>2180</v>
      </c>
      <c r="G2222" s="13"/>
    </row>
    <row r="2223" spans="1:7" hidden="1" x14ac:dyDescent="0.75">
      <c r="A2223" s="51">
        <v>44951</v>
      </c>
      <c r="B2223" s="52">
        <v>707</v>
      </c>
      <c r="C2223" s="8" t="s">
        <v>2844</v>
      </c>
      <c r="D2223" s="8" t="s">
        <v>71</v>
      </c>
      <c r="E2223" s="52">
        <v>408</v>
      </c>
      <c r="F2223" s="13">
        <v>2472.9</v>
      </c>
      <c r="G2223" s="13"/>
    </row>
    <row r="2224" spans="1:7" hidden="1" x14ac:dyDescent="0.75">
      <c r="A2224" s="51">
        <v>44952</v>
      </c>
      <c r="B2224" s="52">
        <v>707</v>
      </c>
      <c r="C2224" s="8" t="s">
        <v>2845</v>
      </c>
      <c r="D2224" s="8" t="s">
        <v>71</v>
      </c>
      <c r="E2224" s="52">
        <v>408</v>
      </c>
      <c r="F2224" s="13">
        <v>1254.55</v>
      </c>
      <c r="G2224" s="13"/>
    </row>
    <row r="2225" spans="1:7" hidden="1" x14ac:dyDescent="0.75">
      <c r="A2225" s="51">
        <v>44952</v>
      </c>
      <c r="B2225" s="52">
        <v>707</v>
      </c>
      <c r="C2225" s="8" t="s">
        <v>2846</v>
      </c>
      <c r="D2225" s="8" t="s">
        <v>71</v>
      </c>
      <c r="E2225" s="52">
        <v>408</v>
      </c>
      <c r="F2225" s="13">
        <v>3270</v>
      </c>
      <c r="G2225" s="13"/>
    </row>
    <row r="2226" spans="1:7" hidden="1" x14ac:dyDescent="0.75">
      <c r="A2226" s="51">
        <v>44953</v>
      </c>
      <c r="B2226" s="52">
        <v>707</v>
      </c>
      <c r="C2226" s="8" t="s">
        <v>2847</v>
      </c>
      <c r="D2226" s="8" t="s">
        <v>71</v>
      </c>
      <c r="E2226" s="52">
        <v>408</v>
      </c>
      <c r="F2226" s="13">
        <v>1713.65</v>
      </c>
      <c r="G2226" s="13"/>
    </row>
    <row r="2227" spans="1:7" hidden="1" x14ac:dyDescent="0.75">
      <c r="A2227" s="51">
        <v>44954</v>
      </c>
      <c r="B2227" s="52">
        <v>707</v>
      </c>
      <c r="C2227" s="8" t="s">
        <v>2848</v>
      </c>
      <c r="D2227" s="8" t="s">
        <v>71</v>
      </c>
      <c r="E2227" s="52">
        <v>408</v>
      </c>
      <c r="F2227" s="13">
        <v>1958.05</v>
      </c>
      <c r="G2227" s="13"/>
    </row>
    <row r="2228" spans="1:7" hidden="1" x14ac:dyDescent="0.75">
      <c r="A2228" s="51">
        <v>44956</v>
      </c>
      <c r="B2228" s="52">
        <v>707</v>
      </c>
      <c r="C2228" s="8" t="s">
        <v>2849</v>
      </c>
      <c r="D2228" s="8" t="s">
        <v>71</v>
      </c>
      <c r="E2228" s="52">
        <v>408</v>
      </c>
      <c r="F2228" s="13">
        <v>1054.0999999999999</v>
      </c>
      <c r="G2228" s="13"/>
    </row>
    <row r="2229" spans="1:7" hidden="1" x14ac:dyDescent="0.75">
      <c r="A2229" s="51">
        <v>44956</v>
      </c>
      <c r="B2229" s="52">
        <v>707</v>
      </c>
      <c r="C2229" s="8" t="s">
        <v>2827</v>
      </c>
      <c r="D2229" s="8" t="s">
        <v>71</v>
      </c>
      <c r="E2229" s="52">
        <v>1362</v>
      </c>
      <c r="F2229" s="13"/>
      <c r="G2229" s="13">
        <v>2180</v>
      </c>
    </row>
    <row r="2230" spans="1:7" hidden="1" x14ac:dyDescent="0.75">
      <c r="A2230" s="51">
        <v>44956</v>
      </c>
      <c r="B2230" s="52">
        <v>707</v>
      </c>
      <c r="C2230" s="8" t="s">
        <v>2827</v>
      </c>
      <c r="D2230" s="8" t="s">
        <v>71</v>
      </c>
      <c r="E2230" s="52">
        <v>1362</v>
      </c>
      <c r="F2230" s="13"/>
      <c r="G2230" s="13">
        <v>2610</v>
      </c>
    </row>
    <row r="2231" spans="1:7" hidden="1" x14ac:dyDescent="0.75">
      <c r="A2231" s="51">
        <v>44956</v>
      </c>
      <c r="B2231" s="52">
        <v>707</v>
      </c>
      <c r="C2231" s="8" t="s">
        <v>2827</v>
      </c>
      <c r="D2231" s="8" t="s">
        <v>71</v>
      </c>
      <c r="E2231" s="52">
        <v>1362</v>
      </c>
      <c r="F2231" s="13"/>
      <c r="G2231" s="13">
        <v>2180</v>
      </c>
    </row>
    <row r="2232" spans="1:7" hidden="1" x14ac:dyDescent="0.75">
      <c r="A2232" s="51">
        <v>44956</v>
      </c>
      <c r="B2232" s="52">
        <v>707</v>
      </c>
      <c r="C2232" s="8" t="s">
        <v>2827</v>
      </c>
      <c r="D2232" s="8" t="s">
        <v>71</v>
      </c>
      <c r="E2232" s="52">
        <v>1362</v>
      </c>
      <c r="F2232" s="13"/>
      <c r="G2232" s="13">
        <v>1615.7</v>
      </c>
    </row>
    <row r="2233" spans="1:7" hidden="1" x14ac:dyDescent="0.75">
      <c r="A2233" s="51">
        <v>44956</v>
      </c>
      <c r="B2233" s="52">
        <v>707</v>
      </c>
      <c r="C2233" s="8" t="s">
        <v>2827</v>
      </c>
      <c r="D2233" s="8" t="s">
        <v>71</v>
      </c>
      <c r="E2233" s="52">
        <v>1362</v>
      </c>
      <c r="F2233" s="13"/>
      <c r="G2233" s="13">
        <v>1120.75</v>
      </c>
    </row>
    <row r="2234" spans="1:7" hidden="1" x14ac:dyDescent="0.75">
      <c r="A2234" s="51">
        <v>44956</v>
      </c>
      <c r="B2234" s="52">
        <v>707</v>
      </c>
      <c r="C2234" s="8" t="s">
        <v>2827</v>
      </c>
      <c r="D2234" s="8" t="s">
        <v>71</v>
      </c>
      <c r="E2234" s="52">
        <v>1362</v>
      </c>
      <c r="F2234" s="13"/>
      <c r="G2234" s="13">
        <v>2983.7</v>
      </c>
    </row>
    <row r="2235" spans="1:7" hidden="1" x14ac:dyDescent="0.75">
      <c r="A2235" s="51">
        <v>44956</v>
      </c>
      <c r="B2235" s="52">
        <v>707</v>
      </c>
      <c r="C2235" s="8" t="s">
        <v>2827</v>
      </c>
      <c r="D2235" s="8" t="s">
        <v>71</v>
      </c>
      <c r="E2235" s="52">
        <v>1362</v>
      </c>
      <c r="F2235" s="13"/>
      <c r="G2235" s="13">
        <v>294</v>
      </c>
    </row>
    <row r="2236" spans="1:7" hidden="1" x14ac:dyDescent="0.75">
      <c r="A2236" s="51">
        <v>44956</v>
      </c>
      <c r="B2236" s="52">
        <v>707</v>
      </c>
      <c r="C2236" s="8" t="s">
        <v>2827</v>
      </c>
      <c r="D2236" s="8" t="s">
        <v>71</v>
      </c>
      <c r="E2236" s="52">
        <v>1362</v>
      </c>
      <c r="F2236" s="13"/>
      <c r="G2236" s="13">
        <v>2149.5</v>
      </c>
    </row>
    <row r="2237" spans="1:7" hidden="1" x14ac:dyDescent="0.75">
      <c r="A2237" s="51">
        <v>44956</v>
      </c>
      <c r="B2237" s="52">
        <v>707</v>
      </c>
      <c r="C2237" s="8" t="s">
        <v>2827</v>
      </c>
      <c r="D2237" s="8" t="s">
        <v>71</v>
      </c>
      <c r="E2237" s="52">
        <v>1362</v>
      </c>
      <c r="F2237" s="13"/>
      <c r="G2237" s="13">
        <v>1476.25</v>
      </c>
    </row>
    <row r="2238" spans="1:7" hidden="1" x14ac:dyDescent="0.75">
      <c r="A2238" s="51">
        <v>44956</v>
      </c>
      <c r="B2238" s="52">
        <v>707</v>
      </c>
      <c r="C2238" s="8" t="s">
        <v>2827</v>
      </c>
      <c r="D2238" s="8" t="s">
        <v>71</v>
      </c>
      <c r="E2238" s="52">
        <v>1362</v>
      </c>
      <c r="F2238" s="13"/>
      <c r="G2238" s="13">
        <v>2180</v>
      </c>
    </row>
    <row r="2239" spans="1:7" hidden="1" x14ac:dyDescent="0.75">
      <c r="A2239" s="51">
        <v>44956</v>
      </c>
      <c r="B2239" s="52">
        <v>707</v>
      </c>
      <c r="C2239" s="8" t="s">
        <v>2827</v>
      </c>
      <c r="D2239" s="8" t="s">
        <v>71</v>
      </c>
      <c r="E2239" s="52">
        <v>1362</v>
      </c>
      <c r="F2239" s="13"/>
      <c r="G2239" s="13">
        <v>1050.0999999999999</v>
      </c>
    </row>
    <row r="2240" spans="1:7" hidden="1" x14ac:dyDescent="0.75">
      <c r="A2240" s="51">
        <v>44956</v>
      </c>
      <c r="B2240" s="52">
        <v>707</v>
      </c>
      <c r="C2240" s="8" t="s">
        <v>2827</v>
      </c>
      <c r="D2240" s="8" t="s">
        <v>71</v>
      </c>
      <c r="E2240" s="52">
        <v>1362</v>
      </c>
      <c r="F2240" s="13"/>
      <c r="G2240" s="13">
        <v>1968.25</v>
      </c>
    </row>
    <row r="2241" spans="1:7" hidden="1" x14ac:dyDescent="0.75">
      <c r="A2241" s="51">
        <v>44956</v>
      </c>
      <c r="B2241" s="52">
        <v>707</v>
      </c>
      <c r="C2241" s="8" t="s">
        <v>2827</v>
      </c>
      <c r="D2241" s="8" t="s">
        <v>71</v>
      </c>
      <c r="E2241" s="52">
        <v>1362</v>
      </c>
      <c r="F2241" s="13"/>
      <c r="G2241" s="13">
        <v>3270</v>
      </c>
    </row>
    <row r="2242" spans="1:7" hidden="1" x14ac:dyDescent="0.75">
      <c r="A2242" s="51">
        <v>44956</v>
      </c>
      <c r="B2242" s="52">
        <v>707</v>
      </c>
      <c r="C2242" s="8" t="s">
        <v>2827</v>
      </c>
      <c r="D2242" s="8" t="s">
        <v>71</v>
      </c>
      <c r="E2242" s="52">
        <v>1362</v>
      </c>
      <c r="F2242" s="13"/>
      <c r="G2242" s="13">
        <v>1800.6</v>
      </c>
    </row>
    <row r="2243" spans="1:7" hidden="1" x14ac:dyDescent="0.75">
      <c r="A2243" s="51">
        <v>44956</v>
      </c>
      <c r="B2243" s="52">
        <v>707</v>
      </c>
      <c r="C2243" s="8" t="s">
        <v>2827</v>
      </c>
      <c r="D2243" s="8" t="s">
        <v>71</v>
      </c>
      <c r="E2243" s="52">
        <v>1362</v>
      </c>
      <c r="F2243" s="13"/>
      <c r="G2243" s="13">
        <v>2053.9499999999998</v>
      </c>
    </row>
    <row r="2244" spans="1:7" hidden="1" x14ac:dyDescent="0.75">
      <c r="A2244" s="51">
        <v>44956</v>
      </c>
      <c r="B2244" s="52">
        <v>707</v>
      </c>
      <c r="C2244" s="8" t="s">
        <v>2827</v>
      </c>
      <c r="D2244" s="8" t="s">
        <v>71</v>
      </c>
      <c r="E2244" s="52">
        <v>1362</v>
      </c>
      <c r="F2244" s="13"/>
      <c r="G2244" s="13">
        <v>2294.1</v>
      </c>
    </row>
    <row r="2245" spans="1:7" hidden="1" x14ac:dyDescent="0.75">
      <c r="A2245" s="51">
        <v>44956</v>
      </c>
      <c r="B2245" s="52">
        <v>707</v>
      </c>
      <c r="C2245" s="8" t="s">
        <v>2827</v>
      </c>
      <c r="D2245" s="8" t="s">
        <v>71</v>
      </c>
      <c r="E2245" s="52">
        <v>1362</v>
      </c>
      <c r="F2245" s="13"/>
      <c r="G2245" s="13">
        <v>2180</v>
      </c>
    </row>
    <row r="2246" spans="1:7" hidden="1" x14ac:dyDescent="0.75">
      <c r="A2246" s="51">
        <v>44956</v>
      </c>
      <c r="B2246" s="52">
        <v>707</v>
      </c>
      <c r="C2246" s="8" t="s">
        <v>2827</v>
      </c>
      <c r="D2246" s="8" t="s">
        <v>71</v>
      </c>
      <c r="E2246" s="52">
        <v>1362</v>
      </c>
      <c r="F2246" s="13"/>
      <c r="G2246" s="13">
        <v>2472.9</v>
      </c>
    </row>
    <row r="2247" spans="1:7" hidden="1" x14ac:dyDescent="0.75">
      <c r="A2247" s="51">
        <v>44956</v>
      </c>
      <c r="B2247" s="52">
        <v>707</v>
      </c>
      <c r="C2247" s="8" t="s">
        <v>2827</v>
      </c>
      <c r="D2247" s="8" t="s">
        <v>71</v>
      </c>
      <c r="E2247" s="52">
        <v>1362</v>
      </c>
      <c r="F2247" s="13"/>
      <c r="G2247" s="13">
        <v>1254.55</v>
      </c>
    </row>
    <row r="2248" spans="1:7" hidden="1" x14ac:dyDescent="0.75">
      <c r="A2248" s="51">
        <v>44956</v>
      </c>
      <c r="B2248" s="52">
        <v>707</v>
      </c>
      <c r="C2248" s="8" t="s">
        <v>2827</v>
      </c>
      <c r="D2248" s="8" t="s">
        <v>71</v>
      </c>
      <c r="E2248" s="52">
        <v>1362</v>
      </c>
      <c r="F2248" s="13"/>
      <c r="G2248" s="13">
        <v>3270</v>
      </c>
    </row>
    <row r="2249" spans="1:7" hidden="1" x14ac:dyDescent="0.75">
      <c r="A2249" s="51">
        <v>44956</v>
      </c>
      <c r="B2249" s="52">
        <v>707</v>
      </c>
      <c r="C2249" s="8" t="s">
        <v>2827</v>
      </c>
      <c r="D2249" s="8" t="s">
        <v>71</v>
      </c>
      <c r="E2249" s="52">
        <v>1362</v>
      </c>
      <c r="F2249" s="13"/>
      <c r="G2249" s="13">
        <v>1713.65</v>
      </c>
    </row>
    <row r="2250" spans="1:7" hidden="1" x14ac:dyDescent="0.75">
      <c r="A2250" s="51">
        <v>44956</v>
      </c>
      <c r="B2250" s="52">
        <v>707</v>
      </c>
      <c r="C2250" s="8" t="s">
        <v>2827</v>
      </c>
      <c r="D2250" s="8" t="s">
        <v>71</v>
      </c>
      <c r="E2250" s="52">
        <v>1362</v>
      </c>
      <c r="F2250" s="13"/>
      <c r="G2250" s="13">
        <v>1958.05</v>
      </c>
    </row>
    <row r="2251" spans="1:7" hidden="1" x14ac:dyDescent="0.75">
      <c r="A2251" s="51">
        <v>44957</v>
      </c>
      <c r="B2251" s="52">
        <v>707</v>
      </c>
      <c r="C2251" s="8" t="s">
        <v>2850</v>
      </c>
      <c r="D2251" s="8" t="s">
        <v>71</v>
      </c>
      <c r="E2251" s="52">
        <v>408</v>
      </c>
      <c r="F2251" s="13">
        <v>2180</v>
      </c>
      <c r="G2251" s="13"/>
    </row>
    <row r="2252" spans="1:7" hidden="1" x14ac:dyDescent="0.75">
      <c r="A2252" s="51">
        <v>44957</v>
      </c>
      <c r="B2252" s="52">
        <v>707</v>
      </c>
      <c r="C2252" s="8" t="s">
        <v>2851</v>
      </c>
      <c r="D2252" s="8" t="s">
        <v>71</v>
      </c>
      <c r="E2252" s="52">
        <v>408</v>
      </c>
      <c r="F2252" s="13">
        <v>1194.9000000000001</v>
      </c>
      <c r="G2252" s="13"/>
    </row>
    <row r="2253" spans="1:7" hidden="1" x14ac:dyDescent="0.75">
      <c r="A2253" s="51">
        <v>44928</v>
      </c>
      <c r="B2253" s="52">
        <v>1788</v>
      </c>
      <c r="C2253" s="8" t="s">
        <v>2852</v>
      </c>
      <c r="D2253" s="8" t="s">
        <v>81</v>
      </c>
      <c r="E2253" s="52">
        <v>408</v>
      </c>
      <c r="F2253" s="13">
        <v>364.5</v>
      </c>
      <c r="G2253" s="13"/>
    </row>
    <row r="2254" spans="1:7" hidden="1" x14ac:dyDescent="0.75">
      <c r="A2254" s="51">
        <v>44930</v>
      </c>
      <c r="B2254" s="52">
        <v>1788</v>
      </c>
      <c r="C2254" s="8" t="s">
        <v>2853</v>
      </c>
      <c r="D2254" s="8" t="s">
        <v>81</v>
      </c>
      <c r="E2254" s="52">
        <v>408</v>
      </c>
      <c r="F2254" s="13">
        <v>306</v>
      </c>
      <c r="G2254" s="13"/>
    </row>
    <row r="2255" spans="1:7" hidden="1" x14ac:dyDescent="0.75">
      <c r="A2255" s="51">
        <v>44932</v>
      </c>
      <c r="B2255" s="52">
        <v>1788</v>
      </c>
      <c r="C2255" s="8" t="s">
        <v>2854</v>
      </c>
      <c r="D2255" s="8" t="s">
        <v>81</v>
      </c>
      <c r="E2255" s="52">
        <v>408</v>
      </c>
      <c r="F2255" s="13">
        <v>384.5</v>
      </c>
      <c r="G2255" s="13"/>
    </row>
    <row r="2256" spans="1:7" hidden="1" x14ac:dyDescent="0.75">
      <c r="A2256" s="51">
        <v>44935</v>
      </c>
      <c r="B2256" s="52">
        <v>1788</v>
      </c>
      <c r="C2256" s="8" t="s">
        <v>2855</v>
      </c>
      <c r="D2256" s="8" t="s">
        <v>81</v>
      </c>
      <c r="E2256" s="52">
        <v>408</v>
      </c>
      <c r="F2256" s="13">
        <v>306</v>
      </c>
      <c r="G2256" s="13"/>
    </row>
    <row r="2257" spans="1:7" hidden="1" x14ac:dyDescent="0.75">
      <c r="A2257" s="51">
        <v>44937</v>
      </c>
      <c r="B2257" s="52">
        <v>1788</v>
      </c>
      <c r="C2257" s="8" t="s">
        <v>2856</v>
      </c>
      <c r="D2257" s="8" t="s">
        <v>81</v>
      </c>
      <c r="E2257" s="52">
        <v>408</v>
      </c>
      <c r="F2257" s="13">
        <v>350.5</v>
      </c>
      <c r="G2257" s="13"/>
    </row>
    <row r="2258" spans="1:7" hidden="1" x14ac:dyDescent="0.75">
      <c r="A2258" s="51">
        <v>44938</v>
      </c>
      <c r="B2258" s="52">
        <v>1788</v>
      </c>
      <c r="C2258" s="8" t="s">
        <v>1413</v>
      </c>
      <c r="D2258" s="8" t="s">
        <v>81</v>
      </c>
      <c r="E2258" s="52">
        <v>1508</v>
      </c>
      <c r="F2258" s="13">
        <v>641.5</v>
      </c>
      <c r="G2258" s="13"/>
    </row>
    <row r="2259" spans="1:7" hidden="1" x14ac:dyDescent="0.75">
      <c r="A2259" s="51">
        <v>44938</v>
      </c>
      <c r="B2259" s="52">
        <v>1788</v>
      </c>
      <c r="C2259" s="8" t="s">
        <v>1412</v>
      </c>
      <c r="D2259" s="8" t="s">
        <v>81</v>
      </c>
      <c r="E2259" s="52">
        <v>5</v>
      </c>
      <c r="F2259" s="13"/>
      <c r="G2259" s="13">
        <v>314.5</v>
      </c>
    </row>
    <row r="2260" spans="1:7" hidden="1" x14ac:dyDescent="0.75">
      <c r="A2260" s="51">
        <v>44938</v>
      </c>
      <c r="B2260" s="52">
        <v>1788</v>
      </c>
      <c r="C2260" s="8" t="s">
        <v>1413</v>
      </c>
      <c r="D2260" s="8" t="s">
        <v>81</v>
      </c>
      <c r="E2260" s="52">
        <v>5</v>
      </c>
      <c r="F2260" s="13"/>
      <c r="G2260" s="13">
        <v>680.5</v>
      </c>
    </row>
    <row r="2261" spans="1:7" hidden="1" x14ac:dyDescent="0.75">
      <c r="A2261" s="51">
        <v>44938</v>
      </c>
      <c r="B2261" s="52">
        <v>1788</v>
      </c>
      <c r="C2261" s="8" t="s">
        <v>1414</v>
      </c>
      <c r="D2261" s="8" t="s">
        <v>81</v>
      </c>
      <c r="E2261" s="52">
        <v>5</v>
      </c>
      <c r="F2261" s="13"/>
      <c r="G2261" s="13">
        <v>364.5</v>
      </c>
    </row>
    <row r="2262" spans="1:7" hidden="1" x14ac:dyDescent="0.75">
      <c r="A2262" s="51">
        <v>44938</v>
      </c>
      <c r="B2262" s="52">
        <v>1788</v>
      </c>
      <c r="C2262" s="8" t="s">
        <v>1415</v>
      </c>
      <c r="D2262" s="8" t="s">
        <v>81</v>
      </c>
      <c r="E2262" s="52">
        <v>5</v>
      </c>
      <c r="F2262" s="13"/>
      <c r="G2262" s="13">
        <v>314.5</v>
      </c>
    </row>
    <row r="2263" spans="1:7" hidden="1" x14ac:dyDescent="0.75">
      <c r="A2263" s="51">
        <v>44938</v>
      </c>
      <c r="B2263" s="52">
        <v>1788</v>
      </c>
      <c r="C2263" s="8" t="s">
        <v>1416</v>
      </c>
      <c r="D2263" s="8" t="s">
        <v>81</v>
      </c>
      <c r="E2263" s="52">
        <v>5</v>
      </c>
      <c r="F2263" s="13"/>
      <c r="G2263" s="13">
        <v>314.5</v>
      </c>
    </row>
    <row r="2264" spans="1:7" hidden="1" x14ac:dyDescent="0.75">
      <c r="A2264" s="51">
        <v>44938</v>
      </c>
      <c r="B2264" s="52">
        <v>1788</v>
      </c>
      <c r="C2264" s="8" t="s">
        <v>1417</v>
      </c>
      <c r="D2264" s="8" t="s">
        <v>81</v>
      </c>
      <c r="E2264" s="52">
        <v>5</v>
      </c>
      <c r="F2264" s="13"/>
      <c r="G2264" s="13">
        <v>314.5</v>
      </c>
    </row>
    <row r="2265" spans="1:7" hidden="1" x14ac:dyDescent="0.75">
      <c r="A2265" s="51">
        <v>44938</v>
      </c>
      <c r="B2265" s="52">
        <v>1788</v>
      </c>
      <c r="C2265" s="8" t="s">
        <v>1418</v>
      </c>
      <c r="D2265" s="8" t="s">
        <v>81</v>
      </c>
      <c r="E2265" s="52">
        <v>5</v>
      </c>
      <c r="F2265" s="13"/>
      <c r="G2265" s="13">
        <v>364.5</v>
      </c>
    </row>
    <row r="2266" spans="1:7" hidden="1" x14ac:dyDescent="0.75">
      <c r="A2266" s="51">
        <v>44938</v>
      </c>
      <c r="B2266" s="52">
        <v>1788</v>
      </c>
      <c r="C2266" s="8" t="s">
        <v>1419</v>
      </c>
      <c r="D2266" s="8" t="s">
        <v>81</v>
      </c>
      <c r="E2266" s="52">
        <v>5</v>
      </c>
      <c r="F2266" s="13"/>
      <c r="G2266" s="13">
        <v>306</v>
      </c>
    </row>
    <row r="2267" spans="1:7" hidden="1" x14ac:dyDescent="0.75">
      <c r="A2267" s="51">
        <v>44938</v>
      </c>
      <c r="B2267" s="52">
        <v>1788</v>
      </c>
      <c r="C2267" s="8" t="s">
        <v>1420</v>
      </c>
      <c r="D2267" s="8" t="s">
        <v>81</v>
      </c>
      <c r="E2267" s="52">
        <v>5</v>
      </c>
      <c r="F2267" s="13"/>
      <c r="G2267" s="13">
        <v>384.5</v>
      </c>
    </row>
    <row r="2268" spans="1:7" hidden="1" x14ac:dyDescent="0.75">
      <c r="A2268" s="51">
        <v>44940</v>
      </c>
      <c r="B2268" s="52">
        <v>1788</v>
      </c>
      <c r="C2268" s="8" t="s">
        <v>2857</v>
      </c>
      <c r="D2268" s="8" t="s">
        <v>81</v>
      </c>
      <c r="E2268" s="52">
        <v>408</v>
      </c>
      <c r="F2268" s="13">
        <v>325</v>
      </c>
      <c r="G2268" s="13"/>
    </row>
    <row r="2269" spans="1:7" hidden="1" x14ac:dyDescent="0.75">
      <c r="A2269" s="51">
        <v>44943</v>
      </c>
      <c r="B2269" s="52">
        <v>1788</v>
      </c>
      <c r="C2269" s="8" t="s">
        <v>2858</v>
      </c>
      <c r="D2269" s="8" t="s">
        <v>81</v>
      </c>
      <c r="E2269" s="52">
        <v>408</v>
      </c>
      <c r="F2269" s="13">
        <v>325</v>
      </c>
      <c r="G2269" s="13"/>
    </row>
    <row r="2270" spans="1:7" hidden="1" x14ac:dyDescent="0.75">
      <c r="A2270" s="51">
        <v>44945</v>
      </c>
      <c r="B2270" s="52">
        <v>1788</v>
      </c>
      <c r="C2270" s="8" t="s">
        <v>2859</v>
      </c>
      <c r="D2270" s="8" t="s">
        <v>81</v>
      </c>
      <c r="E2270" s="52">
        <v>408</v>
      </c>
      <c r="F2270" s="13">
        <v>325</v>
      </c>
      <c r="G2270" s="13"/>
    </row>
    <row r="2271" spans="1:7" hidden="1" x14ac:dyDescent="0.75">
      <c r="A2271" s="51">
        <v>44947</v>
      </c>
      <c r="B2271" s="52">
        <v>1788</v>
      </c>
      <c r="C2271" s="8" t="s">
        <v>2860</v>
      </c>
      <c r="D2271" s="8" t="s">
        <v>81</v>
      </c>
      <c r="E2271" s="52">
        <v>408</v>
      </c>
      <c r="F2271" s="13">
        <v>384.5</v>
      </c>
      <c r="G2271" s="13"/>
    </row>
    <row r="2272" spans="1:7" hidden="1" x14ac:dyDescent="0.75">
      <c r="A2272" s="51">
        <v>44950</v>
      </c>
      <c r="B2272" s="52">
        <v>1788</v>
      </c>
      <c r="C2272" s="8" t="s">
        <v>2861</v>
      </c>
      <c r="D2272" s="8" t="s">
        <v>81</v>
      </c>
      <c r="E2272" s="52">
        <v>408</v>
      </c>
      <c r="F2272" s="13">
        <v>384.5</v>
      </c>
      <c r="G2272" s="13"/>
    </row>
    <row r="2273" spans="1:7" hidden="1" x14ac:dyDescent="0.75">
      <c r="A2273" s="51">
        <v>44952</v>
      </c>
      <c r="B2273" s="52">
        <v>1788</v>
      </c>
      <c r="C2273" s="8" t="s">
        <v>2862</v>
      </c>
      <c r="D2273" s="8" t="s">
        <v>81</v>
      </c>
      <c r="E2273" s="52">
        <v>408</v>
      </c>
      <c r="F2273" s="13">
        <v>384.5</v>
      </c>
      <c r="G2273" s="13"/>
    </row>
    <row r="2274" spans="1:7" hidden="1" x14ac:dyDescent="0.75">
      <c r="A2274" s="51">
        <v>44954</v>
      </c>
      <c r="B2274" s="52">
        <v>1788</v>
      </c>
      <c r="C2274" s="8" t="s">
        <v>2863</v>
      </c>
      <c r="D2274" s="8" t="s">
        <v>81</v>
      </c>
      <c r="E2274" s="52">
        <v>408</v>
      </c>
      <c r="F2274" s="13">
        <v>384.5</v>
      </c>
      <c r="G2274" s="13"/>
    </row>
    <row r="2275" spans="1:7" hidden="1" x14ac:dyDescent="0.75">
      <c r="A2275" s="51">
        <v>44957</v>
      </c>
      <c r="B2275" s="52">
        <v>1788</v>
      </c>
      <c r="C2275" s="8" t="s">
        <v>2864</v>
      </c>
      <c r="D2275" s="8" t="s">
        <v>81</v>
      </c>
      <c r="E2275" s="52">
        <v>408</v>
      </c>
      <c r="F2275" s="13">
        <v>384.5</v>
      </c>
      <c r="G2275" s="13"/>
    </row>
    <row r="2276" spans="1:7" hidden="1" x14ac:dyDescent="0.75">
      <c r="A2276" s="51">
        <v>44957</v>
      </c>
      <c r="B2276" s="52">
        <v>1788</v>
      </c>
      <c r="C2276" s="8" t="s">
        <v>1467</v>
      </c>
      <c r="D2276" s="8" t="s">
        <v>81</v>
      </c>
      <c r="E2276" s="52">
        <v>5</v>
      </c>
      <c r="F2276" s="13"/>
      <c r="G2276" s="13">
        <v>306</v>
      </c>
    </row>
    <row r="2277" spans="1:7" hidden="1" x14ac:dyDescent="0.75">
      <c r="A2277" s="51">
        <v>44957</v>
      </c>
      <c r="B2277" s="52">
        <v>1788</v>
      </c>
      <c r="C2277" s="8" t="s">
        <v>1468</v>
      </c>
      <c r="D2277" s="8" t="s">
        <v>81</v>
      </c>
      <c r="E2277" s="52">
        <v>5</v>
      </c>
      <c r="F2277" s="13"/>
      <c r="G2277" s="13">
        <v>350.5</v>
      </c>
    </row>
    <row r="2278" spans="1:7" hidden="1" x14ac:dyDescent="0.75">
      <c r="A2278" s="51">
        <v>44957</v>
      </c>
      <c r="B2278" s="52">
        <v>1788</v>
      </c>
      <c r="C2278" s="8" t="s">
        <v>1469</v>
      </c>
      <c r="D2278" s="8" t="s">
        <v>81</v>
      </c>
      <c r="E2278" s="52">
        <v>5</v>
      </c>
      <c r="F2278" s="13"/>
      <c r="G2278" s="13">
        <v>325</v>
      </c>
    </row>
    <row r="2279" spans="1:7" hidden="1" x14ac:dyDescent="0.75">
      <c r="A2279" s="51">
        <v>44957</v>
      </c>
      <c r="B2279" s="52">
        <v>1788</v>
      </c>
      <c r="C2279" s="8" t="s">
        <v>1470</v>
      </c>
      <c r="D2279" s="8" t="s">
        <v>81</v>
      </c>
      <c r="E2279" s="52">
        <v>5</v>
      </c>
      <c r="F2279" s="13"/>
      <c r="G2279" s="13">
        <v>325</v>
      </c>
    </row>
    <row r="2280" spans="1:7" hidden="1" x14ac:dyDescent="0.75">
      <c r="A2280" s="51">
        <v>44957</v>
      </c>
      <c r="B2280" s="52">
        <v>1788</v>
      </c>
      <c r="C2280" s="8" t="s">
        <v>1471</v>
      </c>
      <c r="D2280" s="8" t="s">
        <v>81</v>
      </c>
      <c r="E2280" s="52">
        <v>5</v>
      </c>
      <c r="F2280" s="13"/>
      <c r="G2280" s="13">
        <v>325</v>
      </c>
    </row>
    <row r="2281" spans="1:7" hidden="1" x14ac:dyDescent="0.75">
      <c r="A2281" s="51">
        <v>44957</v>
      </c>
      <c r="B2281" s="52">
        <v>1788</v>
      </c>
      <c r="C2281" s="8" t="s">
        <v>1472</v>
      </c>
      <c r="D2281" s="8" t="s">
        <v>81</v>
      </c>
      <c r="E2281" s="52">
        <v>5</v>
      </c>
      <c r="F2281" s="13"/>
      <c r="G2281" s="13">
        <v>384.5</v>
      </c>
    </row>
    <row r="2282" spans="1:7" hidden="1" x14ac:dyDescent="0.75">
      <c r="A2282" s="51">
        <v>44957</v>
      </c>
      <c r="B2282" s="52">
        <v>1788</v>
      </c>
      <c r="C2282" s="8" t="s">
        <v>1473</v>
      </c>
      <c r="D2282" s="8" t="s">
        <v>81</v>
      </c>
      <c r="E2282" s="52">
        <v>5</v>
      </c>
      <c r="F2282" s="13"/>
      <c r="G2282" s="13">
        <v>384.5</v>
      </c>
    </row>
    <row r="2283" spans="1:7" hidden="1" x14ac:dyDescent="0.75">
      <c r="A2283" s="51">
        <v>44957</v>
      </c>
      <c r="B2283" s="52">
        <v>1788</v>
      </c>
      <c r="C2283" s="8" t="s">
        <v>1474</v>
      </c>
      <c r="D2283" s="8" t="s">
        <v>81</v>
      </c>
      <c r="E2283" s="52">
        <v>5</v>
      </c>
      <c r="F2283" s="13"/>
      <c r="G2283" s="13">
        <v>384.5</v>
      </c>
    </row>
    <row r="2284" spans="1:7" hidden="1" x14ac:dyDescent="0.75">
      <c r="A2284" s="51">
        <v>44957</v>
      </c>
      <c r="B2284" s="52">
        <v>1788</v>
      </c>
      <c r="C2284" s="8" t="s">
        <v>1475</v>
      </c>
      <c r="D2284" s="8" t="s">
        <v>81</v>
      </c>
      <c r="E2284" s="52">
        <v>5</v>
      </c>
      <c r="F2284" s="13"/>
      <c r="G2284" s="13">
        <v>384.5</v>
      </c>
    </row>
    <row r="2285" spans="1:7" hidden="1" x14ac:dyDescent="0.75">
      <c r="A2285" s="51">
        <v>44931</v>
      </c>
      <c r="B2285" s="52">
        <v>1543</v>
      </c>
      <c r="C2285" s="8" t="s">
        <v>2865</v>
      </c>
      <c r="D2285" s="8" t="s">
        <v>82</v>
      </c>
      <c r="E2285" s="52">
        <v>408</v>
      </c>
      <c r="F2285" s="13">
        <v>565.28</v>
      </c>
      <c r="G2285" s="13"/>
    </row>
    <row r="2286" spans="1:7" hidden="1" x14ac:dyDescent="0.75">
      <c r="A2286" s="51">
        <v>44932</v>
      </c>
      <c r="B2286" s="52">
        <v>1543</v>
      </c>
      <c r="C2286" s="8" t="s">
        <v>1875</v>
      </c>
      <c r="D2286" s="8" t="s">
        <v>82</v>
      </c>
      <c r="E2286" s="52">
        <v>1949</v>
      </c>
      <c r="F2286" s="13"/>
      <c r="G2286" s="13">
        <v>674.66</v>
      </c>
    </row>
    <row r="2287" spans="1:7" hidden="1" x14ac:dyDescent="0.75">
      <c r="A2287" s="51">
        <v>44938</v>
      </c>
      <c r="B2287" s="52">
        <v>1543</v>
      </c>
      <c r="C2287" s="8" t="s">
        <v>2866</v>
      </c>
      <c r="D2287" s="8" t="s">
        <v>82</v>
      </c>
      <c r="E2287" s="52">
        <v>408</v>
      </c>
      <c r="F2287" s="13">
        <v>422.35</v>
      </c>
      <c r="G2287" s="13"/>
    </row>
    <row r="2288" spans="1:7" hidden="1" x14ac:dyDescent="0.75">
      <c r="A2288" s="51">
        <v>44939</v>
      </c>
      <c r="B2288" s="52">
        <v>1543</v>
      </c>
      <c r="C2288" s="8" t="s">
        <v>1898</v>
      </c>
      <c r="D2288" s="8" t="s">
        <v>82</v>
      </c>
      <c r="E2288" s="52">
        <v>1949</v>
      </c>
      <c r="F2288" s="13"/>
      <c r="G2288" s="13">
        <v>565.28</v>
      </c>
    </row>
    <row r="2289" spans="1:7" hidden="1" x14ac:dyDescent="0.75">
      <c r="A2289" s="51">
        <v>44945</v>
      </c>
      <c r="B2289" s="52">
        <v>1543</v>
      </c>
      <c r="C2289" s="8" t="s">
        <v>2867</v>
      </c>
      <c r="D2289" s="8" t="s">
        <v>82</v>
      </c>
      <c r="E2289" s="52">
        <v>408</v>
      </c>
      <c r="F2289" s="13">
        <v>713.63</v>
      </c>
      <c r="G2289" s="13"/>
    </row>
    <row r="2290" spans="1:7" hidden="1" x14ac:dyDescent="0.75">
      <c r="A2290" s="51">
        <v>44946</v>
      </c>
      <c r="B2290" s="52">
        <v>1543</v>
      </c>
      <c r="C2290" s="8" t="s">
        <v>1920</v>
      </c>
      <c r="D2290" s="8" t="s">
        <v>82</v>
      </c>
      <c r="E2290" s="52">
        <v>1949</v>
      </c>
      <c r="F2290" s="13"/>
      <c r="G2290" s="13">
        <v>422.35</v>
      </c>
    </row>
    <row r="2291" spans="1:7" hidden="1" x14ac:dyDescent="0.75">
      <c r="A2291" s="51">
        <v>44953</v>
      </c>
      <c r="B2291" s="52">
        <v>1543</v>
      </c>
      <c r="C2291" s="8" t="s">
        <v>1942</v>
      </c>
      <c r="D2291" s="8" t="s">
        <v>82</v>
      </c>
      <c r="E2291" s="52">
        <v>1949</v>
      </c>
      <c r="F2291" s="13"/>
      <c r="G2291" s="13">
        <v>713.63</v>
      </c>
    </row>
    <row r="2292" spans="1:7" hidden="1" x14ac:dyDescent="0.75">
      <c r="A2292" s="51">
        <v>44928</v>
      </c>
      <c r="B2292" s="52">
        <v>1508</v>
      </c>
      <c r="C2292" s="8" t="s">
        <v>2868</v>
      </c>
      <c r="D2292" s="8" t="s">
        <v>83</v>
      </c>
      <c r="E2292" s="52">
        <v>408</v>
      </c>
      <c r="F2292" s="13">
        <v>3118</v>
      </c>
      <c r="G2292" s="13"/>
    </row>
    <row r="2293" spans="1:7" hidden="1" x14ac:dyDescent="0.75">
      <c r="A2293" s="51">
        <v>44928</v>
      </c>
      <c r="B2293" s="52">
        <v>1508</v>
      </c>
      <c r="C2293" s="8" t="s">
        <v>2869</v>
      </c>
      <c r="D2293" s="8" t="s">
        <v>83</v>
      </c>
      <c r="E2293" s="52">
        <v>408</v>
      </c>
      <c r="F2293" s="13">
        <v>3679.4</v>
      </c>
      <c r="G2293" s="13"/>
    </row>
    <row r="2294" spans="1:7" hidden="1" x14ac:dyDescent="0.75">
      <c r="A2294" s="51">
        <v>44928</v>
      </c>
      <c r="B2294" s="52">
        <v>1508</v>
      </c>
      <c r="C2294" s="8" t="s">
        <v>2870</v>
      </c>
      <c r="D2294" s="8" t="s">
        <v>83</v>
      </c>
      <c r="E2294" s="52">
        <v>417</v>
      </c>
      <c r="F2294" s="13"/>
      <c r="G2294" s="13">
        <v>146.80000000000001</v>
      </c>
    </row>
    <row r="2295" spans="1:7" hidden="1" x14ac:dyDescent="0.75">
      <c r="A2295" s="51">
        <v>44928</v>
      </c>
      <c r="B2295" s="52">
        <v>1508</v>
      </c>
      <c r="C2295" s="8" t="s">
        <v>2871</v>
      </c>
      <c r="D2295" s="8" t="s">
        <v>83</v>
      </c>
      <c r="E2295" s="52">
        <v>417</v>
      </c>
      <c r="F2295" s="13"/>
      <c r="G2295" s="13">
        <v>58.05</v>
      </c>
    </row>
    <row r="2296" spans="1:7" hidden="1" x14ac:dyDescent="0.75">
      <c r="A2296" s="51">
        <v>44929</v>
      </c>
      <c r="B2296" s="52">
        <v>1508</v>
      </c>
      <c r="C2296" s="8" t="s">
        <v>2872</v>
      </c>
      <c r="D2296" s="8" t="s">
        <v>83</v>
      </c>
      <c r="E2296" s="52">
        <v>408</v>
      </c>
      <c r="F2296" s="13">
        <v>2504.1999999999998</v>
      </c>
      <c r="G2296" s="13"/>
    </row>
    <row r="2297" spans="1:7" hidden="1" x14ac:dyDescent="0.75">
      <c r="A2297" s="51">
        <v>44929</v>
      </c>
      <c r="B2297" s="52">
        <v>1508</v>
      </c>
      <c r="C2297" s="8" t="s">
        <v>2873</v>
      </c>
      <c r="D2297" s="8" t="s">
        <v>83</v>
      </c>
      <c r="E2297" s="52">
        <v>408</v>
      </c>
      <c r="F2297" s="13">
        <v>3434</v>
      </c>
      <c r="G2297" s="13"/>
    </row>
    <row r="2298" spans="1:7" hidden="1" x14ac:dyDescent="0.75">
      <c r="A2298" s="51">
        <v>44929</v>
      </c>
      <c r="B2298" s="52">
        <v>1508</v>
      </c>
      <c r="C2298" s="8" t="s">
        <v>2874</v>
      </c>
      <c r="D2298" s="8" t="s">
        <v>83</v>
      </c>
      <c r="E2298" s="52">
        <v>417</v>
      </c>
      <c r="F2298" s="13"/>
      <c r="G2298" s="13">
        <v>7.75</v>
      </c>
    </row>
    <row r="2299" spans="1:7" hidden="1" x14ac:dyDescent="0.75">
      <c r="A2299" s="51">
        <v>44929</v>
      </c>
      <c r="B2299" s="52">
        <v>1508</v>
      </c>
      <c r="C2299" s="8" t="s">
        <v>2875</v>
      </c>
      <c r="D2299" s="8" t="s">
        <v>83</v>
      </c>
      <c r="E2299" s="52">
        <v>417</v>
      </c>
      <c r="F2299" s="13"/>
      <c r="G2299" s="13">
        <v>173.7</v>
      </c>
    </row>
    <row r="2300" spans="1:7" hidden="1" x14ac:dyDescent="0.75">
      <c r="A2300" s="51">
        <v>44930</v>
      </c>
      <c r="B2300" s="52">
        <v>1508</v>
      </c>
      <c r="C2300" s="8" t="s">
        <v>2876</v>
      </c>
      <c r="D2300" s="8" t="s">
        <v>83</v>
      </c>
      <c r="E2300" s="52">
        <v>1362</v>
      </c>
      <c r="F2300" s="13"/>
      <c r="G2300" s="13">
        <v>2368.9</v>
      </c>
    </row>
    <row r="2301" spans="1:7" hidden="1" x14ac:dyDescent="0.75">
      <c r="A2301" s="51">
        <v>44930</v>
      </c>
      <c r="B2301" s="52">
        <v>1508</v>
      </c>
      <c r="C2301" s="8" t="s">
        <v>2876</v>
      </c>
      <c r="D2301" s="8" t="s">
        <v>83</v>
      </c>
      <c r="E2301" s="52">
        <v>1362</v>
      </c>
      <c r="F2301" s="13"/>
      <c r="G2301" s="13">
        <v>2102.1999999999998</v>
      </c>
    </row>
    <row r="2302" spans="1:7" hidden="1" x14ac:dyDescent="0.75">
      <c r="A2302" s="51">
        <v>44930</v>
      </c>
      <c r="B2302" s="52">
        <v>1508</v>
      </c>
      <c r="C2302" s="8" t="s">
        <v>2876</v>
      </c>
      <c r="D2302" s="8" t="s">
        <v>83</v>
      </c>
      <c r="E2302" s="52">
        <v>1362</v>
      </c>
      <c r="F2302" s="13"/>
      <c r="G2302" s="13">
        <v>2774.7</v>
      </c>
    </row>
    <row r="2303" spans="1:7" hidden="1" x14ac:dyDescent="0.75">
      <c r="A2303" s="51">
        <v>44930</v>
      </c>
      <c r="B2303" s="52">
        <v>1508</v>
      </c>
      <c r="C2303" s="8" t="s">
        <v>2876</v>
      </c>
      <c r="D2303" s="8" t="s">
        <v>83</v>
      </c>
      <c r="E2303" s="52">
        <v>1362</v>
      </c>
      <c r="F2303" s="13"/>
      <c r="G2303" s="13">
        <v>2527</v>
      </c>
    </row>
    <row r="2304" spans="1:7" hidden="1" x14ac:dyDescent="0.75">
      <c r="A2304" s="51">
        <v>44930</v>
      </c>
      <c r="B2304" s="52">
        <v>1508</v>
      </c>
      <c r="C2304" s="8" t="s">
        <v>2877</v>
      </c>
      <c r="D2304" s="8" t="s">
        <v>83</v>
      </c>
      <c r="E2304" s="52">
        <v>1362</v>
      </c>
      <c r="F2304" s="13"/>
      <c r="G2304" s="13">
        <v>1614.53</v>
      </c>
    </row>
    <row r="2305" spans="1:7" hidden="1" x14ac:dyDescent="0.75">
      <c r="A2305" s="51">
        <v>44930</v>
      </c>
      <c r="B2305" s="52">
        <v>1508</v>
      </c>
      <c r="C2305" s="8" t="s">
        <v>2878</v>
      </c>
      <c r="D2305" s="8" t="s">
        <v>83</v>
      </c>
      <c r="E2305" s="52">
        <v>1362</v>
      </c>
      <c r="F2305" s="13"/>
      <c r="G2305" s="13">
        <v>2618.1999999999998</v>
      </c>
    </row>
    <row r="2306" spans="1:7" hidden="1" x14ac:dyDescent="0.75">
      <c r="A2306" s="51">
        <v>44930</v>
      </c>
      <c r="B2306" s="52">
        <v>1508</v>
      </c>
      <c r="C2306" s="8" t="s">
        <v>2879</v>
      </c>
      <c r="D2306" s="8" t="s">
        <v>83</v>
      </c>
      <c r="E2306" s="52">
        <v>1362</v>
      </c>
      <c r="F2306" s="13"/>
      <c r="G2306" s="13">
        <v>1160.33</v>
      </c>
    </row>
    <row r="2307" spans="1:7" hidden="1" x14ac:dyDescent="0.75">
      <c r="A2307" s="51">
        <v>44930</v>
      </c>
      <c r="B2307" s="52">
        <v>1508</v>
      </c>
      <c r="C2307" s="8" t="s">
        <v>2880</v>
      </c>
      <c r="D2307" s="8" t="s">
        <v>83</v>
      </c>
      <c r="E2307" s="52">
        <v>1362</v>
      </c>
      <c r="F2307" s="13"/>
      <c r="G2307" s="13">
        <v>1780.78</v>
      </c>
    </row>
    <row r="2308" spans="1:7" hidden="1" x14ac:dyDescent="0.75">
      <c r="A2308" s="51">
        <v>44930</v>
      </c>
      <c r="B2308" s="52">
        <v>1508</v>
      </c>
      <c r="C2308" s="8" t="s">
        <v>2881</v>
      </c>
      <c r="D2308" s="8" t="s">
        <v>83</v>
      </c>
      <c r="E2308" s="52">
        <v>1362</v>
      </c>
      <c r="F2308" s="13"/>
      <c r="G2308" s="13">
        <v>975.37</v>
      </c>
    </row>
    <row r="2309" spans="1:7" hidden="1" x14ac:dyDescent="0.75">
      <c r="A2309" s="51">
        <v>44931</v>
      </c>
      <c r="B2309" s="52">
        <v>1508</v>
      </c>
      <c r="C2309" s="8" t="s">
        <v>2882</v>
      </c>
      <c r="D2309" s="8" t="s">
        <v>83</v>
      </c>
      <c r="E2309" s="52">
        <v>408</v>
      </c>
      <c r="F2309" s="13">
        <v>2077.1999999999998</v>
      </c>
      <c r="G2309" s="13"/>
    </row>
    <row r="2310" spans="1:7" hidden="1" x14ac:dyDescent="0.75">
      <c r="A2310" s="51">
        <v>44931</v>
      </c>
      <c r="B2310" s="52">
        <v>1508</v>
      </c>
      <c r="C2310" s="8" t="s">
        <v>2883</v>
      </c>
      <c r="D2310" s="8" t="s">
        <v>83</v>
      </c>
      <c r="E2310" s="52">
        <v>408</v>
      </c>
      <c r="F2310" s="13">
        <v>3305.1</v>
      </c>
      <c r="G2310" s="13"/>
    </row>
    <row r="2311" spans="1:7" hidden="1" x14ac:dyDescent="0.75">
      <c r="A2311" s="51">
        <v>44931</v>
      </c>
      <c r="B2311" s="52">
        <v>1508</v>
      </c>
      <c r="C2311" s="8" t="s">
        <v>2884</v>
      </c>
      <c r="D2311" s="8" t="s">
        <v>83</v>
      </c>
      <c r="E2311" s="52">
        <v>417</v>
      </c>
      <c r="F2311" s="13"/>
      <c r="G2311" s="13">
        <v>12.9</v>
      </c>
    </row>
    <row r="2312" spans="1:7" hidden="1" x14ac:dyDescent="0.75">
      <c r="A2312" s="51">
        <v>44931</v>
      </c>
      <c r="B2312" s="52">
        <v>1508</v>
      </c>
      <c r="C2312" s="8" t="s">
        <v>2885</v>
      </c>
      <c r="D2312" s="8" t="s">
        <v>83</v>
      </c>
      <c r="E2312" s="52">
        <v>417</v>
      </c>
      <c r="F2312" s="13"/>
      <c r="G2312" s="13">
        <v>52.2</v>
      </c>
    </row>
    <row r="2313" spans="1:7" hidden="1" x14ac:dyDescent="0.75">
      <c r="A2313" s="51">
        <v>44932</v>
      </c>
      <c r="B2313" s="52">
        <v>1508</v>
      </c>
      <c r="C2313" s="8" t="s">
        <v>2886</v>
      </c>
      <c r="D2313" s="8" t="s">
        <v>83</v>
      </c>
      <c r="E2313" s="52">
        <v>408</v>
      </c>
      <c r="F2313" s="13">
        <v>1746</v>
      </c>
      <c r="G2313" s="13"/>
    </row>
    <row r="2314" spans="1:7" hidden="1" x14ac:dyDescent="0.75">
      <c r="A2314" s="51">
        <v>44932</v>
      </c>
      <c r="B2314" s="52">
        <v>1508</v>
      </c>
      <c r="C2314" s="8" t="s">
        <v>2887</v>
      </c>
      <c r="D2314" s="8" t="s">
        <v>83</v>
      </c>
      <c r="E2314" s="52">
        <v>408</v>
      </c>
      <c r="F2314" s="13">
        <v>3513.2</v>
      </c>
      <c r="G2314" s="13"/>
    </row>
    <row r="2315" spans="1:7" hidden="1" x14ac:dyDescent="0.75">
      <c r="A2315" s="51">
        <v>44933</v>
      </c>
      <c r="B2315" s="52">
        <v>1508</v>
      </c>
      <c r="C2315" s="8" t="s">
        <v>2888</v>
      </c>
      <c r="D2315" s="8" t="s">
        <v>83</v>
      </c>
      <c r="E2315" s="52">
        <v>417</v>
      </c>
      <c r="F2315" s="13"/>
      <c r="G2315" s="13">
        <v>102.08</v>
      </c>
    </row>
    <row r="2316" spans="1:7" hidden="1" x14ac:dyDescent="0.75">
      <c r="A2316" s="51">
        <v>44935</v>
      </c>
      <c r="B2316" s="52">
        <v>1508</v>
      </c>
      <c r="C2316" s="8" t="s">
        <v>2889</v>
      </c>
      <c r="D2316" s="8" t="s">
        <v>83</v>
      </c>
      <c r="E2316" s="52">
        <v>408</v>
      </c>
      <c r="F2316" s="13">
        <v>2277.8000000000002</v>
      </c>
      <c r="G2316" s="13"/>
    </row>
    <row r="2317" spans="1:7" hidden="1" x14ac:dyDescent="0.75">
      <c r="A2317" s="51">
        <v>44935</v>
      </c>
      <c r="B2317" s="52">
        <v>1508</v>
      </c>
      <c r="C2317" s="8" t="s">
        <v>2890</v>
      </c>
      <c r="D2317" s="8" t="s">
        <v>83</v>
      </c>
      <c r="E2317" s="52">
        <v>408</v>
      </c>
      <c r="F2317" s="13">
        <v>3815.8</v>
      </c>
      <c r="G2317" s="13"/>
    </row>
    <row r="2318" spans="1:7" hidden="1" x14ac:dyDescent="0.75">
      <c r="A2318" s="51">
        <v>44935</v>
      </c>
      <c r="B2318" s="52">
        <v>1508</v>
      </c>
      <c r="C2318" s="8" t="s">
        <v>2891</v>
      </c>
      <c r="D2318" s="8" t="s">
        <v>83</v>
      </c>
      <c r="E2318" s="52">
        <v>417</v>
      </c>
      <c r="F2318" s="13"/>
      <c r="G2318" s="13">
        <v>10.45</v>
      </c>
    </row>
    <row r="2319" spans="1:7" hidden="1" x14ac:dyDescent="0.75">
      <c r="A2319" s="51">
        <v>44936</v>
      </c>
      <c r="B2319" s="52">
        <v>1508</v>
      </c>
      <c r="C2319" s="8" t="s">
        <v>2892</v>
      </c>
      <c r="D2319" s="8" t="s">
        <v>83</v>
      </c>
      <c r="E2319" s="52">
        <v>408</v>
      </c>
      <c r="F2319" s="13">
        <v>2290</v>
      </c>
      <c r="G2319" s="13"/>
    </row>
    <row r="2320" spans="1:7" hidden="1" x14ac:dyDescent="0.75">
      <c r="A2320" s="51">
        <v>44936</v>
      </c>
      <c r="B2320" s="52">
        <v>1508</v>
      </c>
      <c r="C2320" s="8" t="s">
        <v>2893</v>
      </c>
      <c r="D2320" s="8" t="s">
        <v>83</v>
      </c>
      <c r="E2320" s="52">
        <v>408</v>
      </c>
      <c r="F2320" s="13">
        <v>3508.5</v>
      </c>
      <c r="G2320" s="13"/>
    </row>
    <row r="2321" spans="1:7" hidden="1" x14ac:dyDescent="0.75">
      <c r="A2321" s="51">
        <v>44936</v>
      </c>
      <c r="B2321" s="52">
        <v>1508</v>
      </c>
      <c r="C2321" s="8" t="s">
        <v>1224</v>
      </c>
      <c r="D2321" s="8" t="s">
        <v>83</v>
      </c>
      <c r="E2321" s="52">
        <v>417</v>
      </c>
      <c r="F2321" s="13"/>
      <c r="G2321" s="13">
        <v>38.75</v>
      </c>
    </row>
    <row r="2322" spans="1:7" hidden="1" x14ac:dyDescent="0.75">
      <c r="A2322" s="51">
        <v>44936</v>
      </c>
      <c r="B2322" s="52">
        <v>1508</v>
      </c>
      <c r="C2322" s="8" t="s">
        <v>1225</v>
      </c>
      <c r="D2322" s="8" t="s">
        <v>83</v>
      </c>
      <c r="E2322" s="52">
        <v>417</v>
      </c>
      <c r="F2322" s="13"/>
      <c r="G2322" s="13">
        <v>7.9</v>
      </c>
    </row>
    <row r="2323" spans="1:7" hidden="1" x14ac:dyDescent="0.75">
      <c r="A2323" s="51">
        <v>44936</v>
      </c>
      <c r="B2323" s="52">
        <v>1508</v>
      </c>
      <c r="C2323" s="8" t="s">
        <v>2894</v>
      </c>
      <c r="D2323" s="8" t="s">
        <v>83</v>
      </c>
      <c r="E2323" s="52">
        <v>417</v>
      </c>
      <c r="F2323" s="13"/>
      <c r="G2323" s="13">
        <v>8.0500000000000007</v>
      </c>
    </row>
    <row r="2324" spans="1:7" hidden="1" x14ac:dyDescent="0.75">
      <c r="A2324" s="51">
        <v>44936</v>
      </c>
      <c r="B2324" s="52">
        <v>1508</v>
      </c>
      <c r="C2324" s="8" t="s">
        <v>2895</v>
      </c>
      <c r="D2324" s="8" t="s">
        <v>83</v>
      </c>
      <c r="E2324" s="52">
        <v>417</v>
      </c>
      <c r="F2324" s="13"/>
      <c r="G2324" s="13">
        <v>52.65</v>
      </c>
    </row>
    <row r="2325" spans="1:7" hidden="1" x14ac:dyDescent="0.75">
      <c r="A2325" s="51">
        <v>44937</v>
      </c>
      <c r="B2325" s="52">
        <v>1508</v>
      </c>
      <c r="C2325" s="8" t="s">
        <v>2896</v>
      </c>
      <c r="D2325" s="8" t="s">
        <v>83</v>
      </c>
      <c r="E2325" s="52">
        <v>417</v>
      </c>
      <c r="F2325" s="13"/>
      <c r="G2325" s="13">
        <v>58.05</v>
      </c>
    </row>
    <row r="2326" spans="1:7" hidden="1" x14ac:dyDescent="0.75">
      <c r="A2326" s="51">
        <v>44937</v>
      </c>
      <c r="B2326" s="52">
        <v>1508</v>
      </c>
      <c r="C2326" s="8" t="s">
        <v>2876</v>
      </c>
      <c r="D2326" s="8" t="s">
        <v>83</v>
      </c>
      <c r="E2326" s="52">
        <v>1362</v>
      </c>
      <c r="F2326" s="13"/>
      <c r="G2326" s="13">
        <v>2677</v>
      </c>
    </row>
    <row r="2327" spans="1:7" hidden="1" x14ac:dyDescent="0.75">
      <c r="A2327" s="51">
        <v>44937</v>
      </c>
      <c r="B2327" s="52">
        <v>1508</v>
      </c>
      <c r="C2327" s="8" t="s">
        <v>2876</v>
      </c>
      <c r="D2327" s="8" t="s">
        <v>83</v>
      </c>
      <c r="E2327" s="52">
        <v>1362</v>
      </c>
      <c r="F2327" s="13"/>
      <c r="G2327" s="13">
        <v>2366.9</v>
      </c>
    </row>
    <row r="2328" spans="1:7" hidden="1" x14ac:dyDescent="0.75">
      <c r="A2328" s="51">
        <v>44937</v>
      </c>
      <c r="B2328" s="52">
        <v>1508</v>
      </c>
      <c r="C2328" s="8" t="s">
        <v>2876</v>
      </c>
      <c r="D2328" s="8" t="s">
        <v>83</v>
      </c>
      <c r="E2328" s="52">
        <v>1362</v>
      </c>
      <c r="F2328" s="13"/>
      <c r="G2328" s="13">
        <v>2760.6</v>
      </c>
    </row>
    <row r="2329" spans="1:7" hidden="1" x14ac:dyDescent="0.75">
      <c r="A2329" s="51">
        <v>44937</v>
      </c>
      <c r="B2329" s="52">
        <v>1508</v>
      </c>
      <c r="C2329" s="8" t="s">
        <v>2876</v>
      </c>
      <c r="D2329" s="8" t="s">
        <v>83</v>
      </c>
      <c r="E2329" s="52">
        <v>1362</v>
      </c>
      <c r="F2329" s="13"/>
      <c r="G2329" s="13">
        <v>2762.3</v>
      </c>
    </row>
    <row r="2330" spans="1:7" hidden="1" x14ac:dyDescent="0.75">
      <c r="A2330" s="51">
        <v>44937</v>
      </c>
      <c r="B2330" s="52">
        <v>1508</v>
      </c>
      <c r="C2330" s="8" t="s">
        <v>2897</v>
      </c>
      <c r="D2330" s="8" t="s">
        <v>83</v>
      </c>
      <c r="E2330" s="52">
        <v>1362</v>
      </c>
      <c r="F2330" s="13"/>
      <c r="G2330" s="13">
        <v>1985.98</v>
      </c>
    </row>
    <row r="2331" spans="1:7" hidden="1" x14ac:dyDescent="0.75">
      <c r="A2331" s="51">
        <v>44937</v>
      </c>
      <c r="B2331" s="52">
        <v>1508</v>
      </c>
      <c r="C2331" s="8" t="s">
        <v>2898</v>
      </c>
      <c r="D2331" s="8" t="s">
        <v>83</v>
      </c>
      <c r="E2331" s="52">
        <v>1362</v>
      </c>
      <c r="F2331" s="13"/>
      <c r="G2331" s="13">
        <v>1593.82</v>
      </c>
    </row>
    <row r="2332" spans="1:7" hidden="1" x14ac:dyDescent="0.75">
      <c r="A2332" s="51">
        <v>44937</v>
      </c>
      <c r="B2332" s="52">
        <v>1508</v>
      </c>
      <c r="C2332" s="8" t="s">
        <v>2899</v>
      </c>
      <c r="D2332" s="8" t="s">
        <v>83</v>
      </c>
      <c r="E2332" s="52">
        <v>1362</v>
      </c>
      <c r="F2332" s="13"/>
      <c r="G2332" s="13">
        <v>3191.05</v>
      </c>
    </row>
    <row r="2333" spans="1:7" hidden="1" x14ac:dyDescent="0.75">
      <c r="A2333" s="51">
        <v>44937</v>
      </c>
      <c r="B2333" s="52">
        <v>1508</v>
      </c>
      <c r="C2333" s="8" t="s">
        <v>2900</v>
      </c>
      <c r="D2333" s="8" t="s">
        <v>83</v>
      </c>
      <c r="E2333" s="52">
        <v>1362</v>
      </c>
      <c r="F2333" s="13"/>
      <c r="G2333" s="13">
        <v>2049.44</v>
      </c>
    </row>
    <row r="2334" spans="1:7" hidden="1" x14ac:dyDescent="0.75">
      <c r="A2334" s="51">
        <v>44937</v>
      </c>
      <c r="B2334" s="52">
        <v>1508</v>
      </c>
      <c r="C2334" s="8" t="s">
        <v>2901</v>
      </c>
      <c r="D2334" s="8" t="s">
        <v>83</v>
      </c>
      <c r="E2334" s="52">
        <v>1362</v>
      </c>
      <c r="F2334" s="13"/>
      <c r="G2334" s="13">
        <v>427.5</v>
      </c>
    </row>
    <row r="2335" spans="1:7" hidden="1" x14ac:dyDescent="0.75">
      <c r="A2335" s="51">
        <v>44937</v>
      </c>
      <c r="B2335" s="52">
        <v>1508</v>
      </c>
      <c r="C2335" s="8" t="s">
        <v>2902</v>
      </c>
      <c r="D2335" s="8" t="s">
        <v>83</v>
      </c>
      <c r="E2335" s="52">
        <v>1362</v>
      </c>
      <c r="F2335" s="13"/>
      <c r="G2335" s="13">
        <v>2251.54</v>
      </c>
    </row>
    <row r="2336" spans="1:7" hidden="1" x14ac:dyDescent="0.75">
      <c r="A2336" s="51">
        <v>44938</v>
      </c>
      <c r="B2336" s="52">
        <v>1508</v>
      </c>
      <c r="C2336" s="8" t="s">
        <v>2903</v>
      </c>
      <c r="D2336" s="8" t="s">
        <v>83</v>
      </c>
      <c r="E2336" s="52">
        <v>417</v>
      </c>
      <c r="F2336" s="13"/>
      <c r="G2336" s="13">
        <v>6.2</v>
      </c>
    </row>
    <row r="2337" spans="1:7" hidden="1" x14ac:dyDescent="0.75">
      <c r="A2337" s="51">
        <v>44938</v>
      </c>
      <c r="B2337" s="52">
        <v>1508</v>
      </c>
      <c r="C2337" s="8" t="s">
        <v>2904</v>
      </c>
      <c r="D2337" s="8" t="s">
        <v>83</v>
      </c>
      <c r="E2337" s="52">
        <v>417</v>
      </c>
      <c r="F2337" s="13"/>
      <c r="G2337" s="13">
        <v>26.35</v>
      </c>
    </row>
    <row r="2338" spans="1:7" hidden="1" x14ac:dyDescent="0.75">
      <c r="A2338" s="51">
        <v>44938</v>
      </c>
      <c r="B2338" s="52">
        <v>1508</v>
      </c>
      <c r="C2338" s="8" t="s">
        <v>2905</v>
      </c>
      <c r="D2338" s="8" t="s">
        <v>83</v>
      </c>
      <c r="E2338" s="52">
        <v>417</v>
      </c>
      <c r="F2338" s="13"/>
      <c r="G2338" s="13">
        <v>28.8</v>
      </c>
    </row>
    <row r="2339" spans="1:7" hidden="1" x14ac:dyDescent="0.75">
      <c r="A2339" s="51">
        <v>44938</v>
      </c>
      <c r="B2339" s="52">
        <v>1508</v>
      </c>
      <c r="C2339" s="8" t="s">
        <v>1413</v>
      </c>
      <c r="D2339" s="8" t="s">
        <v>83</v>
      </c>
      <c r="E2339" s="52">
        <v>1788</v>
      </c>
      <c r="F2339" s="13"/>
      <c r="G2339" s="13">
        <v>641.5</v>
      </c>
    </row>
    <row r="2340" spans="1:7" hidden="1" x14ac:dyDescent="0.75">
      <c r="A2340" s="51">
        <v>44939</v>
      </c>
      <c r="B2340" s="52">
        <v>1508</v>
      </c>
      <c r="C2340" s="8" t="s">
        <v>2906</v>
      </c>
      <c r="D2340" s="8" t="s">
        <v>83</v>
      </c>
      <c r="E2340" s="52">
        <v>408</v>
      </c>
      <c r="F2340" s="13">
        <v>2448.4</v>
      </c>
      <c r="G2340" s="13"/>
    </row>
    <row r="2341" spans="1:7" hidden="1" x14ac:dyDescent="0.75">
      <c r="A2341" s="51">
        <v>44939</v>
      </c>
      <c r="B2341" s="52">
        <v>1508</v>
      </c>
      <c r="C2341" s="8" t="s">
        <v>2907</v>
      </c>
      <c r="D2341" s="8" t="s">
        <v>83</v>
      </c>
      <c r="E2341" s="52">
        <v>408</v>
      </c>
      <c r="F2341" s="13">
        <v>3438.2</v>
      </c>
      <c r="G2341" s="13"/>
    </row>
    <row r="2342" spans="1:7" hidden="1" x14ac:dyDescent="0.75">
      <c r="A2342" s="51">
        <v>44942</v>
      </c>
      <c r="B2342" s="52">
        <v>1508</v>
      </c>
      <c r="C2342" s="8" t="s">
        <v>2908</v>
      </c>
      <c r="D2342" s="8" t="s">
        <v>83</v>
      </c>
      <c r="E2342" s="52">
        <v>408</v>
      </c>
      <c r="F2342" s="13">
        <v>1608</v>
      </c>
      <c r="G2342" s="13"/>
    </row>
    <row r="2343" spans="1:7" hidden="1" x14ac:dyDescent="0.75">
      <c r="A2343" s="51">
        <v>44942</v>
      </c>
      <c r="B2343" s="52">
        <v>1508</v>
      </c>
      <c r="C2343" s="8" t="s">
        <v>2909</v>
      </c>
      <c r="D2343" s="8" t="s">
        <v>83</v>
      </c>
      <c r="E2343" s="52">
        <v>408</v>
      </c>
      <c r="F2343" s="13">
        <v>2493.1</v>
      </c>
      <c r="G2343" s="13"/>
    </row>
    <row r="2344" spans="1:7" hidden="1" x14ac:dyDescent="0.75">
      <c r="A2344" s="51">
        <v>44942</v>
      </c>
      <c r="B2344" s="52">
        <v>1508</v>
      </c>
      <c r="C2344" s="8" t="s">
        <v>1226</v>
      </c>
      <c r="D2344" s="8" t="s">
        <v>83</v>
      </c>
      <c r="E2344" s="52">
        <v>417</v>
      </c>
      <c r="F2344" s="13"/>
      <c r="G2344" s="13">
        <v>15.5</v>
      </c>
    </row>
    <row r="2345" spans="1:7" hidden="1" x14ac:dyDescent="0.75">
      <c r="A2345" s="51">
        <v>44942</v>
      </c>
      <c r="B2345" s="52">
        <v>1508</v>
      </c>
      <c r="C2345" s="8" t="s">
        <v>2910</v>
      </c>
      <c r="D2345" s="8" t="s">
        <v>83</v>
      </c>
      <c r="E2345" s="52">
        <v>417</v>
      </c>
      <c r="F2345" s="13"/>
      <c r="G2345" s="13">
        <v>18.3</v>
      </c>
    </row>
    <row r="2346" spans="1:7" hidden="1" x14ac:dyDescent="0.75">
      <c r="A2346" s="51">
        <v>44943</v>
      </c>
      <c r="B2346" s="52">
        <v>1508</v>
      </c>
      <c r="C2346" s="8" t="s">
        <v>2911</v>
      </c>
      <c r="D2346" s="8" t="s">
        <v>83</v>
      </c>
      <c r="E2346" s="52">
        <v>417</v>
      </c>
      <c r="F2346" s="13"/>
      <c r="G2346" s="13">
        <v>8.35</v>
      </c>
    </row>
    <row r="2347" spans="1:7" hidden="1" x14ac:dyDescent="0.75">
      <c r="A2347" s="51">
        <v>44944</v>
      </c>
      <c r="B2347" s="52">
        <v>1508</v>
      </c>
      <c r="C2347" s="8" t="s">
        <v>2912</v>
      </c>
      <c r="D2347" s="8" t="s">
        <v>83</v>
      </c>
      <c r="E2347" s="52">
        <v>408</v>
      </c>
      <c r="F2347" s="13">
        <v>1419.2</v>
      </c>
      <c r="G2347" s="13"/>
    </row>
    <row r="2348" spans="1:7" hidden="1" x14ac:dyDescent="0.75">
      <c r="A2348" s="51">
        <v>44944</v>
      </c>
      <c r="B2348" s="52">
        <v>1508</v>
      </c>
      <c r="C2348" s="8" t="s">
        <v>2913</v>
      </c>
      <c r="D2348" s="8" t="s">
        <v>83</v>
      </c>
      <c r="E2348" s="52">
        <v>408</v>
      </c>
      <c r="F2348" s="13">
        <v>4672.2</v>
      </c>
      <c r="G2348" s="13"/>
    </row>
    <row r="2349" spans="1:7" hidden="1" x14ac:dyDescent="0.75">
      <c r="A2349" s="51">
        <v>44944</v>
      </c>
      <c r="B2349" s="52">
        <v>1508</v>
      </c>
      <c r="C2349" s="8" t="s">
        <v>2876</v>
      </c>
      <c r="D2349" s="8" t="s">
        <v>83</v>
      </c>
      <c r="E2349" s="52">
        <v>1362</v>
      </c>
      <c r="F2349" s="13"/>
      <c r="G2349" s="13">
        <v>2735.2</v>
      </c>
    </row>
    <row r="2350" spans="1:7" hidden="1" x14ac:dyDescent="0.75">
      <c r="A2350" s="51">
        <v>44944</v>
      </c>
      <c r="B2350" s="52">
        <v>1508</v>
      </c>
      <c r="C2350" s="8" t="s">
        <v>2876</v>
      </c>
      <c r="D2350" s="8" t="s">
        <v>83</v>
      </c>
      <c r="E2350" s="52">
        <v>1362</v>
      </c>
      <c r="F2350" s="13"/>
      <c r="G2350" s="13">
        <v>312</v>
      </c>
    </row>
    <row r="2351" spans="1:7" hidden="1" x14ac:dyDescent="0.75">
      <c r="A2351" s="51">
        <v>44944</v>
      </c>
      <c r="B2351" s="52">
        <v>1508</v>
      </c>
      <c r="C2351" s="8" t="s">
        <v>2876</v>
      </c>
      <c r="D2351" s="8" t="s">
        <v>83</v>
      </c>
      <c r="E2351" s="52">
        <v>1362</v>
      </c>
      <c r="F2351" s="13"/>
      <c r="G2351" s="13">
        <v>3310.6</v>
      </c>
    </row>
    <row r="2352" spans="1:7" hidden="1" x14ac:dyDescent="0.75">
      <c r="A2352" s="51">
        <v>44944</v>
      </c>
      <c r="B2352" s="52">
        <v>1508</v>
      </c>
      <c r="C2352" s="8" t="s">
        <v>2876</v>
      </c>
      <c r="D2352" s="8" t="s">
        <v>83</v>
      </c>
      <c r="E2352" s="52">
        <v>1362</v>
      </c>
      <c r="F2352" s="13"/>
      <c r="G2352" s="13">
        <v>3793.7</v>
      </c>
    </row>
    <row r="2353" spans="1:7" hidden="1" x14ac:dyDescent="0.75">
      <c r="A2353" s="51">
        <v>44944</v>
      </c>
      <c r="B2353" s="52">
        <v>1508</v>
      </c>
      <c r="C2353" s="8" t="s">
        <v>2876</v>
      </c>
      <c r="D2353" s="8" t="s">
        <v>83</v>
      </c>
      <c r="E2353" s="52">
        <v>1362</v>
      </c>
      <c r="F2353" s="13"/>
      <c r="G2353" s="13">
        <v>2266.6</v>
      </c>
    </row>
    <row r="2354" spans="1:7" hidden="1" x14ac:dyDescent="0.75">
      <c r="A2354" s="51">
        <v>44944</v>
      </c>
      <c r="B2354" s="52">
        <v>1508</v>
      </c>
      <c r="C2354" s="8" t="s">
        <v>2914</v>
      </c>
      <c r="D2354" s="8" t="s">
        <v>83</v>
      </c>
      <c r="E2354" s="52">
        <v>1362</v>
      </c>
      <c r="F2354" s="13"/>
      <c r="G2354" s="13">
        <v>1548.22</v>
      </c>
    </row>
    <row r="2355" spans="1:7" hidden="1" x14ac:dyDescent="0.75">
      <c r="A2355" s="51">
        <v>44944</v>
      </c>
      <c r="B2355" s="52">
        <v>1508</v>
      </c>
      <c r="C2355" s="8" t="s">
        <v>2915</v>
      </c>
      <c r="D2355" s="8" t="s">
        <v>83</v>
      </c>
      <c r="E2355" s="52">
        <v>1362</v>
      </c>
      <c r="F2355" s="13"/>
      <c r="G2355" s="13">
        <v>804.18</v>
      </c>
    </row>
    <row r="2356" spans="1:7" hidden="1" x14ac:dyDescent="0.75">
      <c r="A2356" s="51">
        <v>44944</v>
      </c>
      <c r="B2356" s="52">
        <v>1508</v>
      </c>
      <c r="C2356" s="8" t="s">
        <v>2916</v>
      </c>
      <c r="D2356" s="8" t="s">
        <v>83</v>
      </c>
      <c r="E2356" s="52">
        <v>1362</v>
      </c>
      <c r="F2356" s="13"/>
      <c r="G2356" s="13">
        <v>1876.63</v>
      </c>
    </row>
    <row r="2357" spans="1:7" hidden="1" x14ac:dyDescent="0.75">
      <c r="A2357" s="51">
        <v>44944</v>
      </c>
      <c r="B2357" s="52">
        <v>1508</v>
      </c>
      <c r="C2357" s="8" t="s">
        <v>2917</v>
      </c>
      <c r="D2357" s="8" t="s">
        <v>83</v>
      </c>
      <c r="E2357" s="52">
        <v>1362</v>
      </c>
      <c r="F2357" s="13"/>
      <c r="G2357" s="13">
        <v>1593.4</v>
      </c>
    </row>
    <row r="2358" spans="1:7" hidden="1" x14ac:dyDescent="0.75">
      <c r="A2358" s="51">
        <v>44944</v>
      </c>
      <c r="B2358" s="52">
        <v>1508</v>
      </c>
      <c r="C2358" s="8" t="s">
        <v>2918</v>
      </c>
      <c r="D2358" s="8" t="s">
        <v>83</v>
      </c>
      <c r="E2358" s="52">
        <v>1362</v>
      </c>
      <c r="F2358" s="13"/>
      <c r="G2358" s="13">
        <v>1663.45</v>
      </c>
    </row>
    <row r="2359" spans="1:7" hidden="1" x14ac:dyDescent="0.75">
      <c r="A2359" s="51">
        <v>44945</v>
      </c>
      <c r="B2359" s="52">
        <v>1508</v>
      </c>
      <c r="C2359" s="8" t="s">
        <v>2919</v>
      </c>
      <c r="D2359" s="8" t="s">
        <v>83</v>
      </c>
      <c r="E2359" s="52">
        <v>417</v>
      </c>
      <c r="F2359" s="13"/>
      <c r="G2359" s="13">
        <v>88.25</v>
      </c>
    </row>
    <row r="2360" spans="1:7" hidden="1" x14ac:dyDescent="0.75">
      <c r="A2360" s="51">
        <v>44945</v>
      </c>
      <c r="B2360" s="52">
        <v>1508</v>
      </c>
      <c r="C2360" s="8" t="s">
        <v>2920</v>
      </c>
      <c r="D2360" s="8" t="s">
        <v>83</v>
      </c>
      <c r="E2360" s="52">
        <v>417</v>
      </c>
      <c r="F2360" s="13"/>
      <c r="G2360" s="13">
        <v>4.9000000000000004</v>
      </c>
    </row>
    <row r="2361" spans="1:7" hidden="1" x14ac:dyDescent="0.75">
      <c r="A2361" s="51">
        <v>44946</v>
      </c>
      <c r="B2361" s="52">
        <v>1508</v>
      </c>
      <c r="C2361" s="8" t="s">
        <v>2921</v>
      </c>
      <c r="D2361" s="8" t="s">
        <v>83</v>
      </c>
      <c r="E2361" s="52">
        <v>408</v>
      </c>
      <c r="F2361" s="13">
        <v>2015.7</v>
      </c>
      <c r="G2361" s="13"/>
    </row>
    <row r="2362" spans="1:7" hidden="1" x14ac:dyDescent="0.75">
      <c r="A2362" s="51">
        <v>44946</v>
      </c>
      <c r="B2362" s="52">
        <v>1508</v>
      </c>
      <c r="C2362" s="8" t="s">
        <v>2922</v>
      </c>
      <c r="D2362" s="8" t="s">
        <v>83</v>
      </c>
      <c r="E2362" s="52">
        <v>408</v>
      </c>
      <c r="F2362" s="13">
        <v>5305.7</v>
      </c>
      <c r="G2362" s="13"/>
    </row>
    <row r="2363" spans="1:7" hidden="1" x14ac:dyDescent="0.75">
      <c r="A2363" s="51">
        <v>44946</v>
      </c>
      <c r="B2363" s="52">
        <v>1508</v>
      </c>
      <c r="C2363" s="8" t="s">
        <v>2923</v>
      </c>
      <c r="D2363" s="8" t="s">
        <v>83</v>
      </c>
      <c r="E2363" s="52">
        <v>417</v>
      </c>
      <c r="F2363" s="13"/>
      <c r="G2363" s="13">
        <v>15.5</v>
      </c>
    </row>
    <row r="2364" spans="1:7" hidden="1" x14ac:dyDescent="0.75">
      <c r="A2364" s="51">
        <v>44946</v>
      </c>
      <c r="B2364" s="52">
        <v>1508</v>
      </c>
      <c r="C2364" s="8" t="s">
        <v>2924</v>
      </c>
      <c r="D2364" s="8" t="s">
        <v>83</v>
      </c>
      <c r="E2364" s="52">
        <v>417</v>
      </c>
      <c r="F2364" s="13"/>
      <c r="G2364" s="13">
        <v>41.7</v>
      </c>
    </row>
    <row r="2365" spans="1:7" hidden="1" x14ac:dyDescent="0.75">
      <c r="A2365" s="51">
        <v>44947</v>
      </c>
      <c r="B2365" s="52">
        <v>1508</v>
      </c>
      <c r="C2365" s="8" t="s">
        <v>2925</v>
      </c>
      <c r="D2365" s="8" t="s">
        <v>83</v>
      </c>
      <c r="E2365" s="52">
        <v>408</v>
      </c>
      <c r="F2365" s="13">
        <v>1518.8</v>
      </c>
      <c r="G2365" s="13"/>
    </row>
    <row r="2366" spans="1:7" hidden="1" x14ac:dyDescent="0.75">
      <c r="A2366" s="51">
        <v>44947</v>
      </c>
      <c r="B2366" s="52">
        <v>1508</v>
      </c>
      <c r="C2366" s="8" t="s">
        <v>2926</v>
      </c>
      <c r="D2366" s="8" t="s">
        <v>83</v>
      </c>
      <c r="E2366" s="52">
        <v>408</v>
      </c>
      <c r="F2366" s="13">
        <v>3840.9</v>
      </c>
      <c r="G2366" s="13"/>
    </row>
    <row r="2367" spans="1:7" hidden="1" x14ac:dyDescent="0.75">
      <c r="A2367" s="51">
        <v>44949</v>
      </c>
      <c r="B2367" s="52">
        <v>1508</v>
      </c>
      <c r="C2367" s="8" t="s">
        <v>2927</v>
      </c>
      <c r="D2367" s="8" t="s">
        <v>83</v>
      </c>
      <c r="E2367" s="52">
        <v>408</v>
      </c>
      <c r="F2367" s="13">
        <v>1608.8</v>
      </c>
      <c r="G2367" s="13"/>
    </row>
    <row r="2368" spans="1:7" hidden="1" x14ac:dyDescent="0.75">
      <c r="A2368" s="51">
        <v>44949</v>
      </c>
      <c r="B2368" s="52">
        <v>1508</v>
      </c>
      <c r="C2368" s="8" t="s">
        <v>2928</v>
      </c>
      <c r="D2368" s="8" t="s">
        <v>83</v>
      </c>
      <c r="E2368" s="52">
        <v>408</v>
      </c>
      <c r="F2368" s="13">
        <v>4032.1</v>
      </c>
      <c r="G2368" s="13"/>
    </row>
    <row r="2369" spans="1:7" hidden="1" x14ac:dyDescent="0.75">
      <c r="A2369" s="51">
        <v>44949</v>
      </c>
      <c r="B2369" s="52">
        <v>1508</v>
      </c>
      <c r="C2369" s="8" t="s">
        <v>2929</v>
      </c>
      <c r="D2369" s="8" t="s">
        <v>83</v>
      </c>
      <c r="E2369" s="52">
        <v>417</v>
      </c>
      <c r="F2369" s="13"/>
      <c r="G2369" s="13">
        <v>1221.25</v>
      </c>
    </row>
    <row r="2370" spans="1:7" hidden="1" x14ac:dyDescent="0.75">
      <c r="A2370" s="51">
        <v>44949</v>
      </c>
      <c r="B2370" s="52">
        <v>1508</v>
      </c>
      <c r="C2370" s="8" t="s">
        <v>2930</v>
      </c>
      <c r="D2370" s="8" t="s">
        <v>83</v>
      </c>
      <c r="E2370" s="52">
        <v>417</v>
      </c>
      <c r="F2370" s="13"/>
      <c r="G2370" s="13">
        <v>20.9</v>
      </c>
    </row>
    <row r="2371" spans="1:7" hidden="1" x14ac:dyDescent="0.75">
      <c r="A2371" s="51">
        <v>44949</v>
      </c>
      <c r="B2371" s="52">
        <v>1508</v>
      </c>
      <c r="C2371" s="8" t="s">
        <v>2931</v>
      </c>
      <c r="D2371" s="8" t="s">
        <v>83</v>
      </c>
      <c r="E2371" s="52">
        <v>417</v>
      </c>
      <c r="F2371" s="13"/>
      <c r="G2371" s="13">
        <v>35</v>
      </c>
    </row>
    <row r="2372" spans="1:7" hidden="1" x14ac:dyDescent="0.75">
      <c r="A2372" s="51">
        <v>44949</v>
      </c>
      <c r="B2372" s="52">
        <v>1508</v>
      </c>
      <c r="C2372" s="8" t="s">
        <v>2932</v>
      </c>
      <c r="D2372" s="8" t="s">
        <v>83</v>
      </c>
      <c r="E2372" s="52">
        <v>417</v>
      </c>
      <c r="F2372" s="13"/>
      <c r="G2372" s="13">
        <v>87.6</v>
      </c>
    </row>
    <row r="2373" spans="1:7" hidden="1" x14ac:dyDescent="0.75">
      <c r="A2373" s="51">
        <v>44950</v>
      </c>
      <c r="B2373" s="52">
        <v>1508</v>
      </c>
      <c r="C2373" s="8" t="s">
        <v>2933</v>
      </c>
      <c r="D2373" s="8" t="s">
        <v>83</v>
      </c>
      <c r="E2373" s="52">
        <v>417</v>
      </c>
      <c r="F2373" s="13"/>
      <c r="G2373" s="13">
        <v>14.04</v>
      </c>
    </row>
    <row r="2374" spans="1:7" hidden="1" x14ac:dyDescent="0.75">
      <c r="A2374" s="51">
        <v>44950</v>
      </c>
      <c r="B2374" s="52">
        <v>1508</v>
      </c>
      <c r="C2374" s="8" t="s">
        <v>2934</v>
      </c>
      <c r="D2374" s="8" t="s">
        <v>83</v>
      </c>
      <c r="E2374" s="52">
        <v>417</v>
      </c>
      <c r="F2374" s="13"/>
      <c r="G2374" s="13">
        <v>17.149999999999999</v>
      </c>
    </row>
    <row r="2375" spans="1:7" hidden="1" x14ac:dyDescent="0.75">
      <c r="A2375" s="51">
        <v>44950</v>
      </c>
      <c r="B2375" s="52">
        <v>1508</v>
      </c>
      <c r="C2375" s="8" t="s">
        <v>2935</v>
      </c>
      <c r="D2375" s="8" t="s">
        <v>83</v>
      </c>
      <c r="E2375" s="52">
        <v>417</v>
      </c>
      <c r="F2375" s="13"/>
      <c r="G2375" s="13">
        <v>9.0500000000000007</v>
      </c>
    </row>
    <row r="2376" spans="1:7" hidden="1" x14ac:dyDescent="0.75">
      <c r="A2376" s="51">
        <v>44950</v>
      </c>
      <c r="B2376" s="52">
        <v>1508</v>
      </c>
      <c r="C2376" s="8" t="s">
        <v>2936</v>
      </c>
      <c r="D2376" s="8" t="s">
        <v>83</v>
      </c>
      <c r="E2376" s="52">
        <v>417</v>
      </c>
      <c r="F2376" s="13"/>
      <c r="G2376" s="13">
        <v>35.9</v>
      </c>
    </row>
    <row r="2377" spans="1:7" hidden="1" x14ac:dyDescent="0.75">
      <c r="A2377" s="51">
        <v>44950</v>
      </c>
      <c r="B2377" s="52">
        <v>1508</v>
      </c>
      <c r="C2377" s="8" t="s">
        <v>1222</v>
      </c>
      <c r="D2377" s="8" t="s">
        <v>83</v>
      </c>
      <c r="E2377" s="52">
        <v>417</v>
      </c>
      <c r="F2377" s="13"/>
      <c r="G2377" s="13">
        <v>28</v>
      </c>
    </row>
    <row r="2378" spans="1:7" hidden="1" x14ac:dyDescent="0.75">
      <c r="A2378" s="51">
        <v>44950</v>
      </c>
      <c r="B2378" s="52">
        <v>1508</v>
      </c>
      <c r="C2378" s="8" t="s">
        <v>1223</v>
      </c>
      <c r="D2378" s="8" t="s">
        <v>83</v>
      </c>
      <c r="E2378" s="52">
        <v>417</v>
      </c>
      <c r="F2378" s="13"/>
      <c r="G2378" s="13">
        <v>16.95</v>
      </c>
    </row>
    <row r="2379" spans="1:7" hidden="1" x14ac:dyDescent="0.75">
      <c r="A2379" s="51">
        <v>44950</v>
      </c>
      <c r="B2379" s="52">
        <v>1508</v>
      </c>
      <c r="C2379" s="8" t="s">
        <v>2937</v>
      </c>
      <c r="D2379" s="8" t="s">
        <v>83</v>
      </c>
      <c r="E2379" s="52">
        <v>417</v>
      </c>
      <c r="F2379" s="13"/>
      <c r="G2379" s="13">
        <v>10.1</v>
      </c>
    </row>
    <row r="2380" spans="1:7" hidden="1" x14ac:dyDescent="0.75">
      <c r="A2380" s="51">
        <v>44950</v>
      </c>
      <c r="B2380" s="52">
        <v>1508</v>
      </c>
      <c r="C2380" s="8" t="s">
        <v>2938</v>
      </c>
      <c r="D2380" s="8" t="s">
        <v>83</v>
      </c>
      <c r="E2380" s="52">
        <v>417</v>
      </c>
      <c r="F2380" s="13"/>
      <c r="G2380" s="13">
        <v>57</v>
      </c>
    </row>
    <row r="2381" spans="1:7" hidden="1" x14ac:dyDescent="0.75">
      <c r="A2381" s="51">
        <v>44951</v>
      </c>
      <c r="B2381" s="52">
        <v>1508</v>
      </c>
      <c r="C2381" s="8" t="s">
        <v>2939</v>
      </c>
      <c r="D2381" s="8" t="s">
        <v>83</v>
      </c>
      <c r="E2381" s="52">
        <v>408</v>
      </c>
      <c r="F2381" s="13">
        <v>1422.5</v>
      </c>
      <c r="G2381" s="13"/>
    </row>
    <row r="2382" spans="1:7" hidden="1" x14ac:dyDescent="0.75">
      <c r="A2382" s="51">
        <v>44951</v>
      </c>
      <c r="B2382" s="52">
        <v>1508</v>
      </c>
      <c r="C2382" s="8" t="s">
        <v>2940</v>
      </c>
      <c r="D2382" s="8" t="s">
        <v>83</v>
      </c>
      <c r="E2382" s="52">
        <v>408</v>
      </c>
      <c r="F2382" s="13">
        <v>1471.5</v>
      </c>
      <c r="G2382" s="13"/>
    </row>
    <row r="2383" spans="1:7" hidden="1" x14ac:dyDescent="0.75">
      <c r="A2383" s="51">
        <v>44951</v>
      </c>
      <c r="B2383" s="52">
        <v>1508</v>
      </c>
      <c r="C2383" s="8" t="s">
        <v>2876</v>
      </c>
      <c r="D2383" s="8" t="s">
        <v>83</v>
      </c>
      <c r="E2383" s="52">
        <v>1362</v>
      </c>
      <c r="F2383" s="13"/>
      <c r="G2383" s="13">
        <v>1588.7</v>
      </c>
    </row>
    <row r="2384" spans="1:7" hidden="1" x14ac:dyDescent="0.75">
      <c r="A2384" s="51">
        <v>44951</v>
      </c>
      <c r="B2384" s="52">
        <v>1508</v>
      </c>
      <c r="C2384" s="8" t="s">
        <v>2876</v>
      </c>
      <c r="D2384" s="8" t="s">
        <v>83</v>
      </c>
      <c r="E2384" s="52">
        <v>1362</v>
      </c>
      <c r="F2384" s="13"/>
      <c r="G2384" s="13">
        <v>3340.4</v>
      </c>
    </row>
    <row r="2385" spans="1:7" hidden="1" x14ac:dyDescent="0.75">
      <c r="A2385" s="51">
        <v>44951</v>
      </c>
      <c r="B2385" s="52">
        <v>1508</v>
      </c>
      <c r="C2385" s="8" t="s">
        <v>2876</v>
      </c>
      <c r="D2385" s="8" t="s">
        <v>83</v>
      </c>
      <c r="E2385" s="52">
        <v>1362</v>
      </c>
      <c r="F2385" s="13"/>
      <c r="G2385" s="13">
        <v>4071.6</v>
      </c>
    </row>
    <row r="2386" spans="1:7" hidden="1" x14ac:dyDescent="0.75">
      <c r="A2386" s="51">
        <v>44951</v>
      </c>
      <c r="B2386" s="52">
        <v>1508</v>
      </c>
      <c r="C2386" s="8" t="s">
        <v>2876</v>
      </c>
      <c r="D2386" s="8" t="s">
        <v>83</v>
      </c>
      <c r="E2386" s="52">
        <v>1362</v>
      </c>
      <c r="F2386" s="13"/>
      <c r="G2386" s="13">
        <v>4036.1</v>
      </c>
    </row>
    <row r="2387" spans="1:7" hidden="1" x14ac:dyDescent="0.75">
      <c r="A2387" s="51">
        <v>44951</v>
      </c>
      <c r="B2387" s="52">
        <v>1508</v>
      </c>
      <c r="C2387" s="8" t="s">
        <v>2941</v>
      </c>
      <c r="D2387" s="8" t="s">
        <v>83</v>
      </c>
      <c r="E2387" s="52">
        <v>1362</v>
      </c>
      <c r="F2387" s="13"/>
      <c r="G2387" s="13">
        <v>1642.84</v>
      </c>
    </row>
    <row r="2388" spans="1:7" hidden="1" x14ac:dyDescent="0.75">
      <c r="A2388" s="51">
        <v>44951</v>
      </c>
      <c r="B2388" s="52">
        <v>1508</v>
      </c>
      <c r="C2388" s="8" t="s">
        <v>2942</v>
      </c>
      <c r="D2388" s="8" t="s">
        <v>83</v>
      </c>
      <c r="E2388" s="52">
        <v>1362</v>
      </c>
      <c r="F2388" s="13"/>
      <c r="G2388" s="13">
        <v>1156.53</v>
      </c>
    </row>
    <row r="2389" spans="1:7" hidden="1" x14ac:dyDescent="0.75">
      <c r="A2389" s="51">
        <v>44951</v>
      </c>
      <c r="B2389" s="52">
        <v>1508</v>
      </c>
      <c r="C2389" s="8" t="s">
        <v>2943</v>
      </c>
      <c r="D2389" s="8" t="s">
        <v>83</v>
      </c>
      <c r="E2389" s="52">
        <v>1362</v>
      </c>
      <c r="F2389" s="13"/>
      <c r="G2389" s="13">
        <v>1371.8</v>
      </c>
    </row>
    <row r="2390" spans="1:7" hidden="1" x14ac:dyDescent="0.75">
      <c r="A2390" s="51">
        <v>44951</v>
      </c>
      <c r="B2390" s="52">
        <v>1508</v>
      </c>
      <c r="C2390" s="8" t="s">
        <v>2944</v>
      </c>
      <c r="D2390" s="8" t="s">
        <v>83</v>
      </c>
      <c r="E2390" s="52">
        <v>1362</v>
      </c>
      <c r="F2390" s="13"/>
      <c r="G2390" s="13">
        <v>986.1</v>
      </c>
    </row>
    <row r="2391" spans="1:7" hidden="1" x14ac:dyDescent="0.75">
      <c r="A2391" s="51">
        <v>44951</v>
      </c>
      <c r="B2391" s="52">
        <v>1508</v>
      </c>
      <c r="C2391" s="8" t="s">
        <v>2945</v>
      </c>
      <c r="D2391" s="8" t="s">
        <v>83</v>
      </c>
      <c r="E2391" s="52">
        <v>1362</v>
      </c>
      <c r="F2391" s="13"/>
      <c r="G2391" s="13">
        <v>1535.4</v>
      </c>
    </row>
    <row r="2392" spans="1:7" hidden="1" x14ac:dyDescent="0.75">
      <c r="A2392" s="51">
        <v>44951</v>
      </c>
      <c r="B2392" s="52">
        <v>1508</v>
      </c>
      <c r="C2392" s="8" t="s">
        <v>2945</v>
      </c>
      <c r="D2392" s="8" t="s">
        <v>83</v>
      </c>
      <c r="E2392" s="52">
        <v>1362</v>
      </c>
      <c r="F2392" s="13"/>
      <c r="G2392" s="13">
        <v>1538.4</v>
      </c>
    </row>
    <row r="2393" spans="1:7" hidden="1" x14ac:dyDescent="0.75">
      <c r="A2393" s="51">
        <v>44952</v>
      </c>
      <c r="B2393" s="52">
        <v>1508</v>
      </c>
      <c r="C2393" s="8" t="s">
        <v>2946</v>
      </c>
      <c r="D2393" s="8" t="s">
        <v>83</v>
      </c>
      <c r="E2393" s="52">
        <v>417</v>
      </c>
      <c r="F2393" s="13"/>
      <c r="G2393" s="13">
        <v>24.55</v>
      </c>
    </row>
    <row r="2394" spans="1:7" hidden="1" x14ac:dyDescent="0.75">
      <c r="A2394" s="51">
        <v>44952</v>
      </c>
      <c r="B2394" s="52">
        <v>1508</v>
      </c>
      <c r="C2394" s="8" t="s">
        <v>2947</v>
      </c>
      <c r="D2394" s="8" t="s">
        <v>83</v>
      </c>
      <c r="E2394" s="52">
        <v>417</v>
      </c>
      <c r="F2394" s="13"/>
      <c r="G2394" s="13">
        <v>16.95</v>
      </c>
    </row>
    <row r="2395" spans="1:7" hidden="1" x14ac:dyDescent="0.75">
      <c r="A2395" s="51">
        <v>44952</v>
      </c>
      <c r="B2395" s="52">
        <v>1508</v>
      </c>
      <c r="C2395" s="8" t="s">
        <v>1221</v>
      </c>
      <c r="D2395" s="8" t="s">
        <v>83</v>
      </c>
      <c r="E2395" s="52">
        <v>417</v>
      </c>
      <c r="F2395" s="13"/>
      <c r="G2395" s="13">
        <v>10.4</v>
      </c>
    </row>
    <row r="2396" spans="1:7" hidden="1" x14ac:dyDescent="0.75">
      <c r="A2396" s="51">
        <v>44953</v>
      </c>
      <c r="B2396" s="52">
        <v>1508</v>
      </c>
      <c r="C2396" s="8" t="s">
        <v>2948</v>
      </c>
      <c r="D2396" s="8" t="s">
        <v>83</v>
      </c>
      <c r="E2396" s="52">
        <v>408</v>
      </c>
      <c r="F2396" s="13">
        <v>1758.5</v>
      </c>
      <c r="G2396" s="13"/>
    </row>
    <row r="2397" spans="1:7" hidden="1" x14ac:dyDescent="0.75">
      <c r="A2397" s="51">
        <v>44953</v>
      </c>
      <c r="B2397" s="52">
        <v>1508</v>
      </c>
      <c r="C2397" s="8" t="s">
        <v>2949</v>
      </c>
      <c r="D2397" s="8" t="s">
        <v>83</v>
      </c>
      <c r="E2397" s="52">
        <v>408</v>
      </c>
      <c r="F2397" s="13">
        <v>1675</v>
      </c>
      <c r="G2397" s="13"/>
    </row>
    <row r="2398" spans="1:7" hidden="1" x14ac:dyDescent="0.75">
      <c r="A2398" s="51">
        <v>44953</v>
      </c>
      <c r="B2398" s="52">
        <v>1508</v>
      </c>
      <c r="C2398" s="8" t="s">
        <v>2950</v>
      </c>
      <c r="D2398" s="8" t="s">
        <v>83</v>
      </c>
      <c r="E2398" s="52">
        <v>417</v>
      </c>
      <c r="F2398" s="13"/>
      <c r="G2398" s="13">
        <v>8.9</v>
      </c>
    </row>
    <row r="2399" spans="1:7" hidden="1" x14ac:dyDescent="0.75">
      <c r="A2399" s="51">
        <v>44953</v>
      </c>
      <c r="B2399" s="52">
        <v>1508</v>
      </c>
      <c r="C2399" s="8" t="s">
        <v>2951</v>
      </c>
      <c r="D2399" s="8" t="s">
        <v>83</v>
      </c>
      <c r="E2399" s="52">
        <v>417</v>
      </c>
      <c r="F2399" s="13"/>
      <c r="G2399" s="13">
        <v>15.5</v>
      </c>
    </row>
    <row r="2400" spans="1:7" hidden="1" x14ac:dyDescent="0.75">
      <c r="A2400" s="51">
        <v>44953</v>
      </c>
      <c r="B2400" s="52">
        <v>1508</v>
      </c>
      <c r="C2400" s="8" t="s">
        <v>2952</v>
      </c>
      <c r="D2400" s="8" t="s">
        <v>83</v>
      </c>
      <c r="E2400" s="52">
        <v>417</v>
      </c>
      <c r="F2400" s="13"/>
      <c r="G2400" s="13">
        <v>14.45</v>
      </c>
    </row>
    <row r="2401" spans="1:7" hidden="1" x14ac:dyDescent="0.75">
      <c r="A2401" s="51">
        <v>44953</v>
      </c>
      <c r="B2401" s="52">
        <v>1508</v>
      </c>
      <c r="C2401" s="8" t="s">
        <v>2953</v>
      </c>
      <c r="D2401" s="8" t="s">
        <v>83</v>
      </c>
      <c r="E2401" s="52">
        <v>417</v>
      </c>
      <c r="F2401" s="13"/>
      <c r="G2401" s="13">
        <v>24.55</v>
      </c>
    </row>
    <row r="2402" spans="1:7" hidden="1" x14ac:dyDescent="0.75">
      <c r="A2402" s="51">
        <v>44953</v>
      </c>
      <c r="B2402" s="52">
        <v>1508</v>
      </c>
      <c r="C2402" s="8" t="s">
        <v>2954</v>
      </c>
      <c r="D2402" s="8" t="s">
        <v>83</v>
      </c>
      <c r="E2402" s="52">
        <v>417</v>
      </c>
      <c r="F2402" s="13"/>
      <c r="G2402" s="13">
        <v>35.9</v>
      </c>
    </row>
    <row r="2403" spans="1:7" hidden="1" x14ac:dyDescent="0.75">
      <c r="A2403" s="51">
        <v>44956</v>
      </c>
      <c r="B2403" s="52">
        <v>1508</v>
      </c>
      <c r="C2403" s="8" t="s">
        <v>2955</v>
      </c>
      <c r="D2403" s="8" t="s">
        <v>83</v>
      </c>
      <c r="E2403" s="52">
        <v>408</v>
      </c>
      <c r="F2403" s="13">
        <v>1872.1</v>
      </c>
      <c r="G2403" s="13"/>
    </row>
    <row r="2404" spans="1:7" hidden="1" x14ac:dyDescent="0.75">
      <c r="A2404" s="51">
        <v>44956</v>
      </c>
      <c r="B2404" s="52">
        <v>1508</v>
      </c>
      <c r="C2404" s="8" t="s">
        <v>2956</v>
      </c>
      <c r="D2404" s="8" t="s">
        <v>83</v>
      </c>
      <c r="E2404" s="52">
        <v>408</v>
      </c>
      <c r="F2404" s="13">
        <v>3550.1</v>
      </c>
      <c r="G2404" s="13"/>
    </row>
    <row r="2405" spans="1:7" hidden="1" x14ac:dyDescent="0.75">
      <c r="A2405" s="51">
        <v>44957</v>
      </c>
      <c r="B2405" s="52">
        <v>1508</v>
      </c>
      <c r="C2405" s="8" t="s">
        <v>2957</v>
      </c>
      <c r="D2405" s="8" t="s">
        <v>83</v>
      </c>
      <c r="E2405" s="52">
        <v>408</v>
      </c>
      <c r="F2405" s="13">
        <v>1586.1</v>
      </c>
      <c r="G2405" s="13"/>
    </row>
    <row r="2406" spans="1:7" hidden="1" x14ac:dyDescent="0.75">
      <c r="A2406" s="51">
        <v>44957</v>
      </c>
      <c r="B2406" s="52">
        <v>1508</v>
      </c>
      <c r="C2406" s="8" t="s">
        <v>2958</v>
      </c>
      <c r="D2406" s="8" t="s">
        <v>83</v>
      </c>
      <c r="E2406" s="52">
        <v>408</v>
      </c>
      <c r="F2406" s="13">
        <v>3997.2</v>
      </c>
      <c r="G2406" s="13"/>
    </row>
    <row r="2407" spans="1:7" hidden="1" x14ac:dyDescent="0.75">
      <c r="A2407" s="51">
        <v>44957</v>
      </c>
      <c r="B2407" s="52">
        <v>1508</v>
      </c>
      <c r="C2407" s="8" t="s">
        <v>2959</v>
      </c>
      <c r="D2407" s="8" t="s">
        <v>83</v>
      </c>
      <c r="E2407" s="52">
        <v>417</v>
      </c>
      <c r="F2407" s="13"/>
      <c r="G2407" s="13">
        <v>35</v>
      </c>
    </row>
    <row r="2408" spans="1:7" hidden="1" x14ac:dyDescent="0.75">
      <c r="A2408" s="51">
        <v>44957</v>
      </c>
      <c r="B2408" s="52">
        <v>1508</v>
      </c>
      <c r="C2408" s="8" t="s">
        <v>2960</v>
      </c>
      <c r="D2408" s="8" t="s">
        <v>83</v>
      </c>
      <c r="E2408" s="52">
        <v>417</v>
      </c>
      <c r="F2408" s="13"/>
      <c r="G2408" s="13">
        <v>2.2000000000000002</v>
      </c>
    </row>
    <row r="2409" spans="1:7" hidden="1" x14ac:dyDescent="0.75">
      <c r="A2409" s="51">
        <v>44957</v>
      </c>
      <c r="B2409" s="52">
        <v>1508</v>
      </c>
      <c r="C2409" s="8" t="s">
        <v>2961</v>
      </c>
      <c r="D2409" s="8" t="s">
        <v>83</v>
      </c>
      <c r="E2409" s="52">
        <v>417</v>
      </c>
      <c r="F2409" s="13"/>
      <c r="G2409" s="13">
        <v>16.95</v>
      </c>
    </row>
    <row r="2410" spans="1:7" hidden="1" x14ac:dyDescent="0.75">
      <c r="A2410" s="51">
        <v>44957</v>
      </c>
      <c r="B2410" s="52">
        <v>1508</v>
      </c>
      <c r="C2410" s="8" t="s">
        <v>2962</v>
      </c>
      <c r="D2410" s="8" t="s">
        <v>83</v>
      </c>
      <c r="E2410" s="52">
        <v>417</v>
      </c>
      <c r="F2410" s="13"/>
      <c r="G2410" s="13">
        <v>34.200000000000003</v>
      </c>
    </row>
    <row r="2411" spans="1:7" hidden="1" x14ac:dyDescent="0.75">
      <c r="A2411" s="51">
        <v>44928</v>
      </c>
      <c r="B2411" s="52">
        <v>1765</v>
      </c>
      <c r="C2411" s="8" t="s">
        <v>2963</v>
      </c>
      <c r="D2411" s="8" t="s">
        <v>85</v>
      </c>
      <c r="E2411" s="52">
        <v>408</v>
      </c>
      <c r="F2411" s="13">
        <v>1686.35</v>
      </c>
      <c r="G2411" s="13"/>
    </row>
    <row r="2412" spans="1:7" hidden="1" x14ac:dyDescent="0.75">
      <c r="A2412" s="51">
        <v>44930</v>
      </c>
      <c r="B2412" s="52">
        <v>1765</v>
      </c>
      <c r="C2412" s="8" t="s">
        <v>2964</v>
      </c>
      <c r="D2412" s="8" t="s">
        <v>85</v>
      </c>
      <c r="E2412" s="52">
        <v>408</v>
      </c>
      <c r="F2412" s="13">
        <v>2039</v>
      </c>
      <c r="G2412" s="13"/>
    </row>
    <row r="2413" spans="1:7" hidden="1" x14ac:dyDescent="0.75">
      <c r="A2413" s="51">
        <v>44932</v>
      </c>
      <c r="B2413" s="52">
        <v>1765</v>
      </c>
      <c r="C2413" s="8" t="s">
        <v>2965</v>
      </c>
      <c r="D2413" s="8" t="s">
        <v>85</v>
      </c>
      <c r="E2413" s="52">
        <v>408</v>
      </c>
      <c r="F2413" s="13">
        <v>2285.85</v>
      </c>
      <c r="G2413" s="13"/>
    </row>
    <row r="2414" spans="1:7" hidden="1" x14ac:dyDescent="0.75">
      <c r="A2414" s="51">
        <v>44935</v>
      </c>
      <c r="B2414" s="52">
        <v>1765</v>
      </c>
      <c r="C2414" s="8" t="s">
        <v>2966</v>
      </c>
      <c r="D2414" s="8" t="s">
        <v>85</v>
      </c>
      <c r="E2414" s="52">
        <v>408</v>
      </c>
      <c r="F2414" s="13">
        <v>2089.75</v>
      </c>
      <c r="G2414" s="13"/>
    </row>
    <row r="2415" spans="1:7" hidden="1" x14ac:dyDescent="0.75">
      <c r="A2415" s="51">
        <v>44937</v>
      </c>
      <c r="B2415" s="52">
        <v>1765</v>
      </c>
      <c r="C2415" s="8" t="s">
        <v>2967</v>
      </c>
      <c r="D2415" s="8" t="s">
        <v>85</v>
      </c>
      <c r="E2415" s="52">
        <v>408</v>
      </c>
      <c r="F2415" s="13">
        <v>2037</v>
      </c>
      <c r="G2415" s="13"/>
    </row>
    <row r="2416" spans="1:7" hidden="1" x14ac:dyDescent="0.75">
      <c r="A2416" s="51">
        <v>44940</v>
      </c>
      <c r="B2416" s="52">
        <v>1765</v>
      </c>
      <c r="C2416" s="8" t="s">
        <v>2968</v>
      </c>
      <c r="D2416" s="8" t="s">
        <v>85</v>
      </c>
      <c r="E2416" s="52">
        <v>408</v>
      </c>
      <c r="F2416" s="13">
        <v>700</v>
      </c>
      <c r="G2416" s="13"/>
    </row>
    <row r="2417" spans="1:7" hidden="1" x14ac:dyDescent="0.75">
      <c r="A2417" s="51">
        <v>44940</v>
      </c>
      <c r="B2417" s="52">
        <v>1765</v>
      </c>
      <c r="C2417" s="8" t="s">
        <v>2969</v>
      </c>
      <c r="D2417" s="8" t="s">
        <v>85</v>
      </c>
      <c r="E2417" s="52">
        <v>408</v>
      </c>
      <c r="F2417" s="13">
        <v>3233.25</v>
      </c>
      <c r="G2417" s="13"/>
    </row>
    <row r="2418" spans="1:7" hidden="1" x14ac:dyDescent="0.75">
      <c r="A2418" s="51">
        <v>44943</v>
      </c>
      <c r="B2418" s="52">
        <v>1765</v>
      </c>
      <c r="C2418" s="8" t="s">
        <v>2970</v>
      </c>
      <c r="D2418" s="8" t="s">
        <v>85</v>
      </c>
      <c r="E2418" s="52">
        <v>408</v>
      </c>
      <c r="F2418" s="13">
        <v>2545</v>
      </c>
      <c r="G2418" s="13"/>
    </row>
    <row r="2419" spans="1:7" hidden="1" x14ac:dyDescent="0.75">
      <c r="A2419" s="51">
        <v>44945</v>
      </c>
      <c r="B2419" s="52">
        <v>1765</v>
      </c>
      <c r="C2419" s="8" t="s">
        <v>2971</v>
      </c>
      <c r="D2419" s="8" t="s">
        <v>85</v>
      </c>
      <c r="E2419" s="52">
        <v>408</v>
      </c>
      <c r="F2419" s="13">
        <v>2825.6</v>
      </c>
      <c r="G2419" s="13"/>
    </row>
    <row r="2420" spans="1:7" hidden="1" x14ac:dyDescent="0.75">
      <c r="A2420" s="51">
        <v>44947</v>
      </c>
      <c r="B2420" s="52">
        <v>1765</v>
      </c>
      <c r="C2420" s="8" t="s">
        <v>2972</v>
      </c>
      <c r="D2420" s="8" t="s">
        <v>85</v>
      </c>
      <c r="E2420" s="52">
        <v>408</v>
      </c>
      <c r="F2420" s="13">
        <v>2601.35</v>
      </c>
      <c r="G2420" s="13"/>
    </row>
    <row r="2421" spans="1:7" hidden="1" x14ac:dyDescent="0.75">
      <c r="A2421" s="51">
        <v>44949</v>
      </c>
      <c r="B2421" s="52">
        <v>1765</v>
      </c>
      <c r="C2421" s="8" t="s">
        <v>1921</v>
      </c>
      <c r="D2421" s="8" t="s">
        <v>85</v>
      </c>
      <c r="E2421" s="52">
        <v>1949</v>
      </c>
      <c r="F2421" s="13"/>
      <c r="G2421" s="13">
        <v>1705.91</v>
      </c>
    </row>
    <row r="2422" spans="1:7" hidden="1" x14ac:dyDescent="0.75">
      <c r="A2422" s="51">
        <v>44950</v>
      </c>
      <c r="B2422" s="52">
        <v>1765</v>
      </c>
      <c r="C2422" s="8" t="s">
        <v>2973</v>
      </c>
      <c r="D2422" s="8" t="s">
        <v>85</v>
      </c>
      <c r="E2422" s="52">
        <v>408</v>
      </c>
      <c r="F2422" s="13">
        <v>1785.6</v>
      </c>
      <c r="G2422" s="13"/>
    </row>
    <row r="2423" spans="1:7" hidden="1" x14ac:dyDescent="0.75">
      <c r="A2423" s="51">
        <v>44950</v>
      </c>
      <c r="B2423" s="52">
        <v>1765</v>
      </c>
      <c r="C2423" s="8" t="s">
        <v>1922</v>
      </c>
      <c r="D2423" s="8" t="s">
        <v>85</v>
      </c>
      <c r="E2423" s="52">
        <v>1949</v>
      </c>
      <c r="F2423" s="13"/>
      <c r="G2423" s="13">
        <v>1973.63</v>
      </c>
    </row>
    <row r="2424" spans="1:7" hidden="1" x14ac:dyDescent="0.75">
      <c r="A2424" s="51">
        <v>44951</v>
      </c>
      <c r="B2424" s="52">
        <v>1765</v>
      </c>
      <c r="C2424" s="8" t="s">
        <v>1923</v>
      </c>
      <c r="D2424" s="8" t="s">
        <v>85</v>
      </c>
      <c r="E2424" s="52">
        <v>1949</v>
      </c>
      <c r="F2424" s="13"/>
      <c r="G2424" s="13">
        <v>2690.93</v>
      </c>
    </row>
    <row r="2425" spans="1:7" hidden="1" x14ac:dyDescent="0.75">
      <c r="A2425" s="51">
        <v>44952</v>
      </c>
      <c r="B2425" s="52">
        <v>1765</v>
      </c>
      <c r="C2425" s="8" t="s">
        <v>2974</v>
      </c>
      <c r="D2425" s="8" t="s">
        <v>85</v>
      </c>
      <c r="E2425" s="52">
        <v>408</v>
      </c>
      <c r="F2425" s="13">
        <v>1933.05</v>
      </c>
      <c r="G2425" s="13"/>
    </row>
    <row r="2426" spans="1:7" hidden="1" x14ac:dyDescent="0.75">
      <c r="A2426" s="51">
        <v>44954</v>
      </c>
      <c r="B2426" s="52">
        <v>1765</v>
      </c>
      <c r="C2426" s="8" t="s">
        <v>2975</v>
      </c>
      <c r="D2426" s="8" t="s">
        <v>85</v>
      </c>
      <c r="E2426" s="52">
        <v>408</v>
      </c>
      <c r="F2426" s="13">
        <v>2080.5500000000002</v>
      </c>
      <c r="G2426" s="13"/>
    </row>
    <row r="2427" spans="1:7" hidden="1" x14ac:dyDescent="0.75">
      <c r="A2427" s="51">
        <v>44956</v>
      </c>
      <c r="B2427" s="52">
        <v>1765</v>
      </c>
      <c r="C2427" s="8" t="s">
        <v>1949</v>
      </c>
      <c r="D2427" s="8" t="s">
        <v>85</v>
      </c>
      <c r="E2427" s="52">
        <v>1949</v>
      </c>
      <c r="F2427" s="13"/>
      <c r="G2427" s="13">
        <v>2982.58</v>
      </c>
    </row>
    <row r="2428" spans="1:7" hidden="1" x14ac:dyDescent="0.75">
      <c r="A2428" s="51">
        <v>44957</v>
      </c>
      <c r="B2428" s="52">
        <v>1765</v>
      </c>
      <c r="C2428" s="8" t="s">
        <v>1952</v>
      </c>
      <c r="D2428" s="8" t="s">
        <v>85</v>
      </c>
      <c r="E2428" s="52">
        <v>1949</v>
      </c>
      <c r="F2428" s="13"/>
      <c r="G2428" s="13">
        <v>3855.96</v>
      </c>
    </row>
    <row r="2429" spans="1:7" hidden="1" x14ac:dyDescent="0.75">
      <c r="A2429" s="51">
        <v>44928</v>
      </c>
      <c r="B2429" s="52">
        <v>1751</v>
      </c>
      <c r="C2429" s="8" t="s">
        <v>2976</v>
      </c>
      <c r="D2429" s="8" t="s">
        <v>88</v>
      </c>
      <c r="E2429" s="52">
        <v>408</v>
      </c>
      <c r="F2429" s="13">
        <v>858.95</v>
      </c>
      <c r="G2429" s="13"/>
    </row>
    <row r="2430" spans="1:7" hidden="1" x14ac:dyDescent="0.75">
      <c r="A2430" s="51">
        <v>44929</v>
      </c>
      <c r="B2430" s="52">
        <v>1751</v>
      </c>
      <c r="C2430" s="8" t="s">
        <v>2977</v>
      </c>
      <c r="D2430" s="8" t="s">
        <v>88</v>
      </c>
      <c r="E2430" s="52">
        <v>408</v>
      </c>
      <c r="F2430" s="13">
        <v>39</v>
      </c>
      <c r="G2430" s="13"/>
    </row>
    <row r="2431" spans="1:7" hidden="1" x14ac:dyDescent="0.75">
      <c r="A2431" s="51">
        <v>44929</v>
      </c>
      <c r="B2431" s="52">
        <v>1751</v>
      </c>
      <c r="C2431" s="8" t="s">
        <v>2978</v>
      </c>
      <c r="D2431" s="8" t="s">
        <v>88</v>
      </c>
      <c r="E2431" s="52">
        <v>408</v>
      </c>
      <c r="F2431" s="13">
        <v>1533.8</v>
      </c>
      <c r="G2431" s="13"/>
    </row>
    <row r="2432" spans="1:7" hidden="1" x14ac:dyDescent="0.75">
      <c r="A2432" s="51">
        <v>44931</v>
      </c>
      <c r="B2432" s="52">
        <v>1751</v>
      </c>
      <c r="C2432" s="8" t="s">
        <v>2979</v>
      </c>
      <c r="D2432" s="8" t="s">
        <v>88</v>
      </c>
      <c r="E2432" s="52">
        <v>408</v>
      </c>
      <c r="F2432" s="13">
        <v>39</v>
      </c>
      <c r="G2432" s="13"/>
    </row>
    <row r="2433" spans="1:7" hidden="1" x14ac:dyDescent="0.75">
      <c r="A2433" s="51">
        <v>44931</v>
      </c>
      <c r="B2433" s="52">
        <v>1751</v>
      </c>
      <c r="C2433" s="8" t="s">
        <v>2980</v>
      </c>
      <c r="D2433" s="8" t="s">
        <v>88</v>
      </c>
      <c r="E2433" s="52">
        <v>408</v>
      </c>
      <c r="F2433" s="13">
        <v>1492.15</v>
      </c>
      <c r="G2433" s="13"/>
    </row>
    <row r="2434" spans="1:7" hidden="1" x14ac:dyDescent="0.75">
      <c r="A2434" s="51">
        <v>44933</v>
      </c>
      <c r="B2434" s="52">
        <v>1751</v>
      </c>
      <c r="C2434" s="8" t="s">
        <v>2981</v>
      </c>
      <c r="D2434" s="8" t="s">
        <v>88</v>
      </c>
      <c r="E2434" s="52">
        <v>408</v>
      </c>
      <c r="F2434" s="13">
        <v>1138.4000000000001</v>
      </c>
      <c r="G2434" s="13"/>
    </row>
    <row r="2435" spans="1:7" hidden="1" x14ac:dyDescent="0.75">
      <c r="A2435" s="51">
        <v>44935</v>
      </c>
      <c r="B2435" s="52">
        <v>1751</v>
      </c>
      <c r="C2435" s="8" t="s">
        <v>2982</v>
      </c>
      <c r="D2435" s="8" t="s">
        <v>88</v>
      </c>
      <c r="E2435" s="52">
        <v>408</v>
      </c>
      <c r="F2435" s="13">
        <v>1190.5999999999999</v>
      </c>
      <c r="G2435" s="13"/>
    </row>
    <row r="2436" spans="1:7" hidden="1" x14ac:dyDescent="0.75">
      <c r="A2436" s="51">
        <v>44936</v>
      </c>
      <c r="B2436" s="52">
        <v>1751</v>
      </c>
      <c r="C2436" s="8" t="s">
        <v>2983</v>
      </c>
      <c r="D2436" s="8" t="s">
        <v>88</v>
      </c>
      <c r="E2436" s="52">
        <v>408</v>
      </c>
      <c r="F2436" s="13">
        <v>1016</v>
      </c>
      <c r="G2436" s="13"/>
    </row>
    <row r="2437" spans="1:7" hidden="1" x14ac:dyDescent="0.75">
      <c r="A2437" s="51">
        <v>44936</v>
      </c>
      <c r="B2437" s="52">
        <v>1751</v>
      </c>
      <c r="C2437" s="8" t="s">
        <v>2984</v>
      </c>
      <c r="D2437" s="8" t="s">
        <v>88</v>
      </c>
      <c r="E2437" s="52">
        <v>408</v>
      </c>
      <c r="F2437" s="13">
        <v>1007.7</v>
      </c>
      <c r="G2437" s="13"/>
    </row>
    <row r="2438" spans="1:7" hidden="1" x14ac:dyDescent="0.75">
      <c r="A2438" s="51">
        <v>44936</v>
      </c>
      <c r="B2438" s="52">
        <v>1751</v>
      </c>
      <c r="C2438" s="8" t="s">
        <v>1885</v>
      </c>
      <c r="D2438" s="8" t="s">
        <v>88</v>
      </c>
      <c r="E2438" s="52">
        <v>1949</v>
      </c>
      <c r="F2438" s="13"/>
      <c r="G2438" s="13">
        <v>716.75</v>
      </c>
    </row>
    <row r="2439" spans="1:7" hidden="1" x14ac:dyDescent="0.75">
      <c r="A2439" s="51">
        <v>44938</v>
      </c>
      <c r="B2439" s="52">
        <v>1751</v>
      </c>
      <c r="C2439" s="8" t="s">
        <v>2985</v>
      </c>
      <c r="D2439" s="8" t="s">
        <v>88</v>
      </c>
      <c r="E2439" s="52">
        <v>408</v>
      </c>
      <c r="F2439" s="13">
        <v>309.5</v>
      </c>
      <c r="G2439" s="13"/>
    </row>
    <row r="2440" spans="1:7" hidden="1" x14ac:dyDescent="0.75">
      <c r="A2440" s="51">
        <v>44938</v>
      </c>
      <c r="B2440" s="52">
        <v>1751</v>
      </c>
      <c r="C2440" s="8" t="s">
        <v>2986</v>
      </c>
      <c r="D2440" s="8" t="s">
        <v>88</v>
      </c>
      <c r="E2440" s="52">
        <v>408</v>
      </c>
      <c r="F2440" s="13">
        <v>1434.8</v>
      </c>
      <c r="G2440" s="13"/>
    </row>
    <row r="2441" spans="1:7" hidden="1" x14ac:dyDescent="0.75">
      <c r="A2441" s="51">
        <v>44938</v>
      </c>
      <c r="B2441" s="52">
        <v>1751</v>
      </c>
      <c r="C2441" s="8" t="s">
        <v>1890</v>
      </c>
      <c r="D2441" s="8" t="s">
        <v>88</v>
      </c>
      <c r="E2441" s="52">
        <v>1949</v>
      </c>
      <c r="F2441" s="13"/>
      <c r="G2441" s="13">
        <v>1320.45</v>
      </c>
    </row>
    <row r="2442" spans="1:7" hidden="1" x14ac:dyDescent="0.75">
      <c r="A2442" s="51">
        <v>44938</v>
      </c>
      <c r="B2442" s="52">
        <v>1751</v>
      </c>
      <c r="C2442" s="8" t="s">
        <v>1897</v>
      </c>
      <c r="D2442" s="8" t="s">
        <v>88</v>
      </c>
      <c r="E2442" s="52">
        <v>1949</v>
      </c>
      <c r="F2442" s="13"/>
      <c r="G2442" s="13">
        <v>858.6</v>
      </c>
    </row>
    <row r="2443" spans="1:7" hidden="1" x14ac:dyDescent="0.75">
      <c r="A2443" s="51">
        <v>44940</v>
      </c>
      <c r="B2443" s="52">
        <v>1751</v>
      </c>
      <c r="C2443" s="8" t="s">
        <v>2987</v>
      </c>
      <c r="D2443" s="8" t="s">
        <v>88</v>
      </c>
      <c r="E2443" s="52">
        <v>408</v>
      </c>
      <c r="F2443" s="13">
        <v>1116.1500000000001</v>
      </c>
      <c r="G2443" s="13"/>
    </row>
    <row r="2444" spans="1:7" hidden="1" x14ac:dyDescent="0.75">
      <c r="A2444" s="51">
        <v>44942</v>
      </c>
      <c r="B2444" s="52">
        <v>1751</v>
      </c>
      <c r="C2444" s="8" t="s">
        <v>2988</v>
      </c>
      <c r="D2444" s="8" t="s">
        <v>88</v>
      </c>
      <c r="E2444" s="52">
        <v>408</v>
      </c>
      <c r="F2444" s="13">
        <v>1431.5</v>
      </c>
      <c r="G2444" s="13"/>
    </row>
    <row r="2445" spans="1:7" hidden="1" x14ac:dyDescent="0.75">
      <c r="A2445" s="51">
        <v>44943</v>
      </c>
      <c r="B2445" s="52">
        <v>1751</v>
      </c>
      <c r="C2445" s="8" t="s">
        <v>2989</v>
      </c>
      <c r="D2445" s="8" t="s">
        <v>88</v>
      </c>
      <c r="E2445" s="52">
        <v>408</v>
      </c>
      <c r="F2445" s="13">
        <v>356.1</v>
      </c>
      <c r="G2445" s="13"/>
    </row>
    <row r="2446" spans="1:7" hidden="1" x14ac:dyDescent="0.75">
      <c r="A2446" s="51">
        <v>44943</v>
      </c>
      <c r="B2446" s="52">
        <v>1751</v>
      </c>
      <c r="C2446" s="8" t="s">
        <v>2990</v>
      </c>
      <c r="D2446" s="8" t="s">
        <v>88</v>
      </c>
      <c r="E2446" s="52">
        <v>408</v>
      </c>
      <c r="F2446" s="13">
        <v>514</v>
      </c>
      <c r="G2446" s="13"/>
    </row>
    <row r="2447" spans="1:7" hidden="1" x14ac:dyDescent="0.75">
      <c r="A2447" s="51">
        <v>44943</v>
      </c>
      <c r="B2447" s="52">
        <v>1751</v>
      </c>
      <c r="C2447" s="8" t="s">
        <v>1910</v>
      </c>
      <c r="D2447" s="8" t="s">
        <v>88</v>
      </c>
      <c r="E2447" s="52">
        <v>1949</v>
      </c>
      <c r="F2447" s="13"/>
      <c r="G2447" s="13">
        <v>614.65</v>
      </c>
    </row>
    <row r="2448" spans="1:7" hidden="1" x14ac:dyDescent="0.75">
      <c r="A2448" s="51">
        <v>44944</v>
      </c>
      <c r="B2448" s="52">
        <v>1751</v>
      </c>
      <c r="C2448" s="8" t="s">
        <v>1913</v>
      </c>
      <c r="D2448" s="8" t="s">
        <v>88</v>
      </c>
      <c r="E2448" s="52">
        <v>1949</v>
      </c>
      <c r="F2448" s="13"/>
      <c r="G2448" s="13">
        <v>858.95</v>
      </c>
    </row>
    <row r="2449" spans="1:7" hidden="1" x14ac:dyDescent="0.75">
      <c r="A2449" s="51">
        <v>44945</v>
      </c>
      <c r="B2449" s="52">
        <v>1751</v>
      </c>
      <c r="C2449" s="8" t="s">
        <v>2991</v>
      </c>
      <c r="D2449" s="8" t="s">
        <v>88</v>
      </c>
      <c r="E2449" s="52">
        <v>408</v>
      </c>
      <c r="F2449" s="13">
        <v>1538.5</v>
      </c>
      <c r="G2449" s="13"/>
    </row>
    <row r="2450" spans="1:7" hidden="1" x14ac:dyDescent="0.75">
      <c r="A2450" s="51">
        <v>44945</v>
      </c>
      <c r="B2450" s="52">
        <v>1751</v>
      </c>
      <c r="C2450" s="8" t="s">
        <v>2992</v>
      </c>
      <c r="D2450" s="8" t="s">
        <v>88</v>
      </c>
      <c r="E2450" s="52">
        <v>408</v>
      </c>
      <c r="F2450" s="13">
        <v>1199.4000000000001</v>
      </c>
      <c r="G2450" s="13"/>
    </row>
    <row r="2451" spans="1:7" hidden="1" x14ac:dyDescent="0.75">
      <c r="A2451" s="51">
        <v>44945</v>
      </c>
      <c r="B2451" s="52">
        <v>1751</v>
      </c>
      <c r="C2451" s="8" t="s">
        <v>2993</v>
      </c>
      <c r="D2451" s="8" t="s">
        <v>88</v>
      </c>
      <c r="E2451" s="52">
        <v>408</v>
      </c>
      <c r="F2451" s="13">
        <v>48.75</v>
      </c>
      <c r="G2451" s="13"/>
    </row>
    <row r="2452" spans="1:7" hidden="1" x14ac:dyDescent="0.75">
      <c r="A2452" s="51">
        <v>44945</v>
      </c>
      <c r="B2452" s="52">
        <v>1751</v>
      </c>
      <c r="C2452" s="8" t="s">
        <v>1919</v>
      </c>
      <c r="D2452" s="8" t="s">
        <v>88</v>
      </c>
      <c r="E2452" s="52">
        <v>1949</v>
      </c>
      <c r="F2452" s="13"/>
      <c r="G2452" s="13">
        <v>39</v>
      </c>
    </row>
    <row r="2453" spans="1:7" hidden="1" x14ac:dyDescent="0.75">
      <c r="A2453" s="51">
        <v>44947</v>
      </c>
      <c r="B2453" s="52">
        <v>1751</v>
      </c>
      <c r="C2453" s="8" t="s">
        <v>2994</v>
      </c>
      <c r="D2453" s="8" t="s">
        <v>88</v>
      </c>
      <c r="E2453" s="52">
        <v>408</v>
      </c>
      <c r="F2453" s="13">
        <v>1099.5</v>
      </c>
      <c r="G2453" s="13"/>
    </row>
    <row r="2454" spans="1:7" hidden="1" x14ac:dyDescent="0.75">
      <c r="A2454" s="51">
        <v>44949</v>
      </c>
      <c r="B2454" s="52">
        <v>1751</v>
      </c>
      <c r="C2454" s="8" t="s">
        <v>2995</v>
      </c>
      <c r="D2454" s="8" t="s">
        <v>88</v>
      </c>
      <c r="E2454" s="52">
        <v>408</v>
      </c>
      <c r="F2454" s="13">
        <v>932.45</v>
      </c>
      <c r="G2454" s="13"/>
    </row>
    <row r="2455" spans="1:7" hidden="1" x14ac:dyDescent="0.75">
      <c r="A2455" s="51">
        <v>44950</v>
      </c>
      <c r="B2455" s="52">
        <v>1751</v>
      </c>
      <c r="C2455" s="8" t="s">
        <v>2996</v>
      </c>
      <c r="D2455" s="8" t="s">
        <v>88</v>
      </c>
      <c r="E2455" s="52">
        <v>408</v>
      </c>
      <c r="F2455" s="13">
        <v>812.1</v>
      </c>
      <c r="G2455" s="13"/>
    </row>
    <row r="2456" spans="1:7" hidden="1" x14ac:dyDescent="0.75">
      <c r="A2456" s="51">
        <v>44950</v>
      </c>
      <c r="B2456" s="52">
        <v>1751</v>
      </c>
      <c r="C2456" s="8" t="s">
        <v>2997</v>
      </c>
      <c r="D2456" s="8" t="s">
        <v>88</v>
      </c>
      <c r="E2456" s="52">
        <v>408</v>
      </c>
      <c r="F2456" s="13">
        <v>33</v>
      </c>
      <c r="G2456" s="13"/>
    </row>
    <row r="2457" spans="1:7" hidden="1" x14ac:dyDescent="0.75">
      <c r="A2457" s="51">
        <v>44952</v>
      </c>
      <c r="B2457" s="52">
        <v>1751</v>
      </c>
      <c r="C2457" s="8" t="s">
        <v>2998</v>
      </c>
      <c r="D2457" s="8" t="s">
        <v>88</v>
      </c>
      <c r="E2457" s="52">
        <v>408</v>
      </c>
      <c r="F2457" s="13">
        <v>1462.8</v>
      </c>
      <c r="G2457" s="13"/>
    </row>
    <row r="2458" spans="1:7" hidden="1" x14ac:dyDescent="0.75">
      <c r="A2458" s="51">
        <v>44952</v>
      </c>
      <c r="B2458" s="52">
        <v>1751</v>
      </c>
      <c r="C2458" s="8" t="s">
        <v>2999</v>
      </c>
      <c r="D2458" s="8" t="s">
        <v>88</v>
      </c>
      <c r="E2458" s="52">
        <v>408</v>
      </c>
      <c r="F2458" s="13">
        <v>1170.2</v>
      </c>
      <c r="G2458" s="13"/>
    </row>
    <row r="2459" spans="1:7" hidden="1" x14ac:dyDescent="0.75">
      <c r="A2459" s="51">
        <v>44953</v>
      </c>
      <c r="B2459" s="52">
        <v>1751</v>
      </c>
      <c r="C2459" s="8" t="s">
        <v>1929</v>
      </c>
      <c r="D2459" s="8" t="s">
        <v>88</v>
      </c>
      <c r="E2459" s="52">
        <v>1949</v>
      </c>
      <c r="F2459" s="13"/>
      <c r="G2459" s="13">
        <v>39.840000000000003</v>
      </c>
    </row>
    <row r="2460" spans="1:7" hidden="1" x14ac:dyDescent="0.75">
      <c r="A2460" s="51">
        <v>44953</v>
      </c>
      <c r="B2460" s="52">
        <v>1751</v>
      </c>
      <c r="C2460" s="8" t="s">
        <v>1934</v>
      </c>
      <c r="D2460" s="8" t="s">
        <v>88</v>
      </c>
      <c r="E2460" s="52">
        <v>1949</v>
      </c>
      <c r="F2460" s="13"/>
      <c r="G2460" s="13">
        <v>1162.3</v>
      </c>
    </row>
    <row r="2461" spans="1:7" hidden="1" x14ac:dyDescent="0.75">
      <c r="A2461" s="51">
        <v>44953</v>
      </c>
      <c r="B2461" s="52">
        <v>1751</v>
      </c>
      <c r="C2461" s="8" t="s">
        <v>1937</v>
      </c>
      <c r="D2461" s="8" t="s">
        <v>88</v>
      </c>
      <c r="E2461" s="52">
        <v>1949</v>
      </c>
      <c r="F2461" s="13"/>
      <c r="G2461" s="13">
        <v>1215.21</v>
      </c>
    </row>
    <row r="2462" spans="1:7" hidden="1" x14ac:dyDescent="0.75">
      <c r="A2462" s="51">
        <v>44953</v>
      </c>
      <c r="B2462" s="52">
        <v>1751</v>
      </c>
      <c r="C2462" s="8" t="s">
        <v>1947</v>
      </c>
      <c r="D2462" s="8" t="s">
        <v>88</v>
      </c>
      <c r="E2462" s="52">
        <v>1949</v>
      </c>
      <c r="F2462" s="13"/>
      <c r="G2462" s="13">
        <v>1517.09</v>
      </c>
    </row>
    <row r="2463" spans="1:7" hidden="1" x14ac:dyDescent="0.75">
      <c r="A2463" s="51">
        <v>44954</v>
      </c>
      <c r="B2463" s="52">
        <v>1751</v>
      </c>
      <c r="C2463" s="8" t="s">
        <v>3000</v>
      </c>
      <c r="D2463" s="8" t="s">
        <v>88</v>
      </c>
      <c r="E2463" s="52">
        <v>408</v>
      </c>
      <c r="F2463" s="13">
        <v>961.75</v>
      </c>
      <c r="G2463" s="13"/>
    </row>
    <row r="2464" spans="1:7" hidden="1" x14ac:dyDescent="0.75">
      <c r="A2464" s="51">
        <v>44956</v>
      </c>
      <c r="B2464" s="52">
        <v>1751</v>
      </c>
      <c r="C2464" s="8" t="s">
        <v>3001</v>
      </c>
      <c r="D2464" s="8" t="s">
        <v>88</v>
      </c>
      <c r="E2464" s="52">
        <v>408</v>
      </c>
      <c r="F2464" s="13">
        <v>394.8</v>
      </c>
      <c r="G2464" s="13"/>
    </row>
    <row r="2465" spans="1:7" hidden="1" x14ac:dyDescent="0.75">
      <c r="A2465" s="51">
        <v>44957</v>
      </c>
      <c r="B2465" s="52">
        <v>1751</v>
      </c>
      <c r="C2465" s="8" t="s">
        <v>3002</v>
      </c>
      <c r="D2465" s="8" t="s">
        <v>88</v>
      </c>
      <c r="E2465" s="52">
        <v>408</v>
      </c>
      <c r="F2465" s="13">
        <v>1101.6500000000001</v>
      </c>
      <c r="G2465" s="13"/>
    </row>
    <row r="2466" spans="1:7" hidden="1" x14ac:dyDescent="0.75">
      <c r="A2466" s="51">
        <v>44957</v>
      </c>
      <c r="B2466" s="52">
        <v>1751</v>
      </c>
      <c r="C2466" s="8" t="s">
        <v>3003</v>
      </c>
      <c r="D2466" s="8" t="s">
        <v>88</v>
      </c>
      <c r="E2466" s="52">
        <v>408</v>
      </c>
      <c r="F2466" s="13">
        <v>834.6</v>
      </c>
      <c r="G2466" s="13"/>
    </row>
    <row r="2467" spans="1:7" hidden="1" x14ac:dyDescent="0.75">
      <c r="A2467" s="51">
        <v>44928</v>
      </c>
      <c r="B2467" s="52">
        <v>1748</v>
      </c>
      <c r="C2467" s="8" t="s">
        <v>3004</v>
      </c>
      <c r="D2467" s="8" t="s">
        <v>89</v>
      </c>
      <c r="E2467" s="52">
        <v>408</v>
      </c>
      <c r="F2467" s="13">
        <v>532.9</v>
      </c>
      <c r="G2467" s="13"/>
    </row>
    <row r="2468" spans="1:7" hidden="1" x14ac:dyDescent="0.75">
      <c r="A2468" s="51">
        <v>44929</v>
      </c>
      <c r="B2468" s="52">
        <v>1748</v>
      </c>
      <c r="C2468" s="8" t="s">
        <v>3005</v>
      </c>
      <c r="D2468" s="8" t="s">
        <v>89</v>
      </c>
      <c r="E2468" s="52">
        <v>408</v>
      </c>
      <c r="F2468" s="13">
        <v>943.95</v>
      </c>
      <c r="G2468" s="13"/>
    </row>
    <row r="2469" spans="1:7" hidden="1" x14ac:dyDescent="0.75">
      <c r="A2469" s="51">
        <v>44931</v>
      </c>
      <c r="B2469" s="52">
        <v>1748</v>
      </c>
      <c r="C2469" s="8" t="s">
        <v>3006</v>
      </c>
      <c r="D2469" s="8" t="s">
        <v>89</v>
      </c>
      <c r="E2469" s="52">
        <v>408</v>
      </c>
      <c r="F2469" s="13">
        <v>326.10000000000002</v>
      </c>
      <c r="G2469" s="13"/>
    </row>
    <row r="2470" spans="1:7" hidden="1" x14ac:dyDescent="0.75">
      <c r="A2470" s="51">
        <v>44931</v>
      </c>
      <c r="B2470" s="52">
        <v>1748</v>
      </c>
      <c r="C2470" s="8" t="s">
        <v>3007</v>
      </c>
      <c r="D2470" s="8" t="s">
        <v>89</v>
      </c>
      <c r="E2470" s="52">
        <v>408</v>
      </c>
      <c r="F2470" s="13">
        <v>980.25</v>
      </c>
      <c r="G2470" s="13"/>
    </row>
    <row r="2471" spans="1:7" hidden="1" x14ac:dyDescent="0.75">
      <c r="A2471" s="51">
        <v>44933</v>
      </c>
      <c r="B2471" s="52">
        <v>1748</v>
      </c>
      <c r="C2471" s="8" t="s">
        <v>3008</v>
      </c>
      <c r="D2471" s="8" t="s">
        <v>89</v>
      </c>
      <c r="E2471" s="52">
        <v>408</v>
      </c>
      <c r="F2471" s="13">
        <v>733.55</v>
      </c>
      <c r="G2471" s="13"/>
    </row>
    <row r="2472" spans="1:7" hidden="1" x14ac:dyDescent="0.75">
      <c r="A2472" s="51">
        <v>44935</v>
      </c>
      <c r="B2472" s="52">
        <v>1748</v>
      </c>
      <c r="C2472" s="8" t="s">
        <v>3009</v>
      </c>
      <c r="D2472" s="8" t="s">
        <v>89</v>
      </c>
      <c r="E2472" s="52">
        <v>408</v>
      </c>
      <c r="F2472" s="13">
        <v>599.4</v>
      </c>
      <c r="G2472" s="13"/>
    </row>
    <row r="2473" spans="1:7" hidden="1" x14ac:dyDescent="0.75">
      <c r="A2473" s="51">
        <v>44935</v>
      </c>
      <c r="B2473" s="52">
        <v>1748</v>
      </c>
      <c r="C2473" s="8" t="s">
        <v>1877</v>
      </c>
      <c r="D2473" s="8" t="s">
        <v>89</v>
      </c>
      <c r="E2473" s="52">
        <v>1949</v>
      </c>
      <c r="F2473" s="13"/>
      <c r="G2473" s="13">
        <v>194.4</v>
      </c>
    </row>
    <row r="2474" spans="1:7" hidden="1" x14ac:dyDescent="0.75">
      <c r="A2474" s="51">
        <v>44935</v>
      </c>
      <c r="B2474" s="52">
        <v>1748</v>
      </c>
      <c r="C2474" s="8" t="s">
        <v>1879</v>
      </c>
      <c r="D2474" s="8" t="s">
        <v>89</v>
      </c>
      <c r="E2474" s="52">
        <v>1949</v>
      </c>
      <c r="F2474" s="13"/>
      <c r="G2474" s="13">
        <v>912.3</v>
      </c>
    </row>
    <row r="2475" spans="1:7" hidden="1" x14ac:dyDescent="0.75">
      <c r="A2475" s="51">
        <v>44936</v>
      </c>
      <c r="B2475" s="52">
        <v>1748</v>
      </c>
      <c r="C2475" s="8" t="s">
        <v>3010</v>
      </c>
      <c r="D2475" s="8" t="s">
        <v>89</v>
      </c>
      <c r="E2475" s="52">
        <v>408</v>
      </c>
      <c r="F2475" s="13">
        <v>385.1</v>
      </c>
      <c r="G2475" s="13"/>
    </row>
    <row r="2476" spans="1:7" hidden="1" x14ac:dyDescent="0.75">
      <c r="A2476" s="51">
        <v>44936</v>
      </c>
      <c r="B2476" s="52">
        <v>1748</v>
      </c>
      <c r="C2476" s="8" t="s">
        <v>3011</v>
      </c>
      <c r="D2476" s="8" t="s">
        <v>89</v>
      </c>
      <c r="E2476" s="52">
        <v>408</v>
      </c>
      <c r="F2476" s="13">
        <v>731.5</v>
      </c>
      <c r="G2476" s="13"/>
    </row>
    <row r="2477" spans="1:7" hidden="1" x14ac:dyDescent="0.75">
      <c r="A2477" s="51">
        <v>44936</v>
      </c>
      <c r="B2477" s="52">
        <v>1748</v>
      </c>
      <c r="C2477" s="8" t="s">
        <v>1884</v>
      </c>
      <c r="D2477" s="8" t="s">
        <v>89</v>
      </c>
      <c r="E2477" s="52">
        <v>1949</v>
      </c>
      <c r="F2477" s="13"/>
      <c r="G2477" s="13">
        <v>530.70000000000005</v>
      </c>
    </row>
    <row r="2478" spans="1:7" hidden="1" x14ac:dyDescent="0.75">
      <c r="A2478" s="51">
        <v>44937</v>
      </c>
      <c r="B2478" s="52">
        <v>1748</v>
      </c>
      <c r="C2478" s="8" t="s">
        <v>1887</v>
      </c>
      <c r="D2478" s="8" t="s">
        <v>89</v>
      </c>
      <c r="E2478" s="52">
        <v>1949</v>
      </c>
      <c r="F2478" s="13"/>
      <c r="G2478" s="13">
        <v>283.75</v>
      </c>
    </row>
    <row r="2479" spans="1:7" hidden="1" x14ac:dyDescent="0.75">
      <c r="A2479" s="51">
        <v>44938</v>
      </c>
      <c r="B2479" s="52">
        <v>1748</v>
      </c>
      <c r="C2479" s="8" t="s">
        <v>3012</v>
      </c>
      <c r="D2479" s="8" t="s">
        <v>89</v>
      </c>
      <c r="E2479" s="52">
        <v>408</v>
      </c>
      <c r="F2479" s="13">
        <v>148.80000000000001</v>
      </c>
      <c r="G2479" s="13"/>
    </row>
    <row r="2480" spans="1:7" hidden="1" x14ac:dyDescent="0.75">
      <c r="A2480" s="51">
        <v>44938</v>
      </c>
      <c r="B2480" s="52">
        <v>1748</v>
      </c>
      <c r="C2480" s="8" t="s">
        <v>3013</v>
      </c>
      <c r="D2480" s="8" t="s">
        <v>89</v>
      </c>
      <c r="E2480" s="52">
        <v>408</v>
      </c>
      <c r="F2480" s="13">
        <v>1016.7</v>
      </c>
      <c r="G2480" s="13"/>
    </row>
    <row r="2481" spans="1:7" hidden="1" x14ac:dyDescent="0.75">
      <c r="A2481" s="51">
        <v>44938</v>
      </c>
      <c r="B2481" s="52">
        <v>1748</v>
      </c>
      <c r="C2481" s="8" t="s">
        <v>1893</v>
      </c>
      <c r="D2481" s="8" t="s">
        <v>89</v>
      </c>
      <c r="E2481" s="52">
        <v>1949</v>
      </c>
      <c r="F2481" s="13"/>
      <c r="G2481" s="13">
        <v>1234.4000000000001</v>
      </c>
    </row>
    <row r="2482" spans="1:7" hidden="1" x14ac:dyDescent="0.75">
      <c r="A2482" s="51">
        <v>44938</v>
      </c>
      <c r="B2482" s="52">
        <v>1748</v>
      </c>
      <c r="C2482" s="8" t="s">
        <v>1896</v>
      </c>
      <c r="D2482" s="8" t="s">
        <v>89</v>
      </c>
      <c r="E2482" s="52">
        <v>1949</v>
      </c>
      <c r="F2482" s="13"/>
      <c r="G2482" s="13">
        <v>786.6</v>
      </c>
    </row>
    <row r="2483" spans="1:7" hidden="1" x14ac:dyDescent="0.75">
      <c r="A2483" s="51">
        <v>44940</v>
      </c>
      <c r="B2483" s="52">
        <v>1748</v>
      </c>
      <c r="C2483" s="8" t="s">
        <v>3014</v>
      </c>
      <c r="D2483" s="8" t="s">
        <v>89</v>
      </c>
      <c r="E2483" s="52">
        <v>408</v>
      </c>
      <c r="F2483" s="13">
        <v>736</v>
      </c>
      <c r="G2483" s="13"/>
    </row>
    <row r="2484" spans="1:7" hidden="1" x14ac:dyDescent="0.75">
      <c r="A2484" s="51">
        <v>44942</v>
      </c>
      <c r="B2484" s="52">
        <v>1748</v>
      </c>
      <c r="C2484" s="8" t="s">
        <v>3015</v>
      </c>
      <c r="D2484" s="8" t="s">
        <v>89</v>
      </c>
      <c r="E2484" s="52">
        <v>408</v>
      </c>
      <c r="F2484" s="13">
        <v>928.55</v>
      </c>
      <c r="G2484" s="13"/>
    </row>
    <row r="2485" spans="1:7" hidden="1" x14ac:dyDescent="0.75">
      <c r="A2485" s="51">
        <v>44942</v>
      </c>
      <c r="B2485" s="52">
        <v>1748</v>
      </c>
      <c r="C2485" s="8" t="s">
        <v>1900</v>
      </c>
      <c r="D2485" s="8" t="s">
        <v>89</v>
      </c>
      <c r="E2485" s="52">
        <v>1949</v>
      </c>
      <c r="F2485" s="13"/>
      <c r="G2485" s="13">
        <v>1381.8</v>
      </c>
    </row>
    <row r="2486" spans="1:7" hidden="1" x14ac:dyDescent="0.75">
      <c r="A2486" s="51">
        <v>44942</v>
      </c>
      <c r="B2486" s="52">
        <v>1748</v>
      </c>
      <c r="C2486" s="8" t="s">
        <v>1904</v>
      </c>
      <c r="D2486" s="8" t="s">
        <v>89</v>
      </c>
      <c r="E2486" s="52">
        <v>1949</v>
      </c>
      <c r="F2486" s="13"/>
      <c r="G2486" s="13">
        <v>1186.3499999999999</v>
      </c>
    </row>
    <row r="2487" spans="1:7" hidden="1" x14ac:dyDescent="0.75">
      <c r="A2487" s="51">
        <v>44943</v>
      </c>
      <c r="B2487" s="52">
        <v>1748</v>
      </c>
      <c r="C2487" s="8" t="s">
        <v>3016</v>
      </c>
      <c r="D2487" s="8" t="s">
        <v>89</v>
      </c>
      <c r="E2487" s="52">
        <v>408</v>
      </c>
      <c r="F2487" s="13">
        <v>323.10000000000002</v>
      </c>
      <c r="G2487" s="13"/>
    </row>
    <row r="2488" spans="1:7" hidden="1" x14ac:dyDescent="0.75">
      <c r="A2488" s="51">
        <v>44943</v>
      </c>
      <c r="B2488" s="52">
        <v>1748</v>
      </c>
      <c r="C2488" s="8" t="s">
        <v>3017</v>
      </c>
      <c r="D2488" s="8" t="s">
        <v>89</v>
      </c>
      <c r="E2488" s="52">
        <v>408</v>
      </c>
      <c r="F2488" s="13">
        <v>277.39999999999998</v>
      </c>
      <c r="G2488" s="13"/>
    </row>
    <row r="2489" spans="1:7" hidden="1" x14ac:dyDescent="0.75">
      <c r="A2489" s="51">
        <v>44943</v>
      </c>
      <c r="B2489" s="52">
        <v>1748</v>
      </c>
      <c r="C2489" s="8" t="s">
        <v>1909</v>
      </c>
      <c r="D2489" s="8" t="s">
        <v>89</v>
      </c>
      <c r="E2489" s="52">
        <v>1949</v>
      </c>
      <c r="F2489" s="13"/>
      <c r="G2489" s="13">
        <v>538.35</v>
      </c>
    </row>
    <row r="2490" spans="1:7" hidden="1" x14ac:dyDescent="0.75">
      <c r="A2490" s="51">
        <v>44944</v>
      </c>
      <c r="B2490" s="52">
        <v>1748</v>
      </c>
      <c r="C2490" s="8" t="s">
        <v>1912</v>
      </c>
      <c r="D2490" s="8" t="s">
        <v>89</v>
      </c>
      <c r="E2490" s="52">
        <v>1949</v>
      </c>
      <c r="F2490" s="13"/>
      <c r="G2490" s="13">
        <v>532.9</v>
      </c>
    </row>
    <row r="2491" spans="1:7" hidden="1" x14ac:dyDescent="0.75">
      <c r="A2491" s="51">
        <v>44945</v>
      </c>
      <c r="B2491" s="52">
        <v>1748</v>
      </c>
      <c r="C2491" s="8" t="s">
        <v>3018</v>
      </c>
      <c r="D2491" s="8" t="s">
        <v>89</v>
      </c>
      <c r="E2491" s="52">
        <v>408</v>
      </c>
      <c r="F2491" s="13">
        <v>614.35</v>
      </c>
      <c r="G2491" s="13"/>
    </row>
    <row r="2492" spans="1:7" hidden="1" x14ac:dyDescent="0.75">
      <c r="A2492" s="51">
        <v>44945</v>
      </c>
      <c r="B2492" s="52">
        <v>1748</v>
      </c>
      <c r="C2492" s="8" t="s">
        <v>3019</v>
      </c>
      <c r="D2492" s="8" t="s">
        <v>89</v>
      </c>
      <c r="E2492" s="52">
        <v>408</v>
      </c>
      <c r="F2492" s="13">
        <v>1142.7</v>
      </c>
      <c r="G2492" s="13"/>
    </row>
    <row r="2493" spans="1:7" hidden="1" x14ac:dyDescent="0.75">
      <c r="A2493" s="51">
        <v>44945</v>
      </c>
      <c r="B2493" s="52">
        <v>1748</v>
      </c>
      <c r="C2493" s="8" t="s">
        <v>1916</v>
      </c>
      <c r="D2493" s="8" t="s">
        <v>89</v>
      </c>
      <c r="E2493" s="52">
        <v>1949</v>
      </c>
      <c r="F2493" s="13"/>
      <c r="G2493" s="13">
        <v>943.95</v>
      </c>
    </row>
    <row r="2494" spans="1:7" hidden="1" x14ac:dyDescent="0.75">
      <c r="A2494" s="51">
        <v>44947</v>
      </c>
      <c r="B2494" s="52">
        <v>1748</v>
      </c>
      <c r="C2494" s="8" t="s">
        <v>3020</v>
      </c>
      <c r="D2494" s="8" t="s">
        <v>89</v>
      </c>
      <c r="E2494" s="52">
        <v>408</v>
      </c>
      <c r="F2494" s="13">
        <v>709.55</v>
      </c>
      <c r="G2494" s="13"/>
    </row>
    <row r="2495" spans="1:7" hidden="1" x14ac:dyDescent="0.75">
      <c r="A2495" s="51">
        <v>44949</v>
      </c>
      <c r="B2495" s="52">
        <v>1748</v>
      </c>
      <c r="C2495" s="8" t="s">
        <v>3021</v>
      </c>
      <c r="D2495" s="8" t="s">
        <v>89</v>
      </c>
      <c r="E2495" s="52">
        <v>408</v>
      </c>
      <c r="F2495" s="13">
        <v>666.65</v>
      </c>
      <c r="G2495" s="13"/>
    </row>
    <row r="2496" spans="1:7" hidden="1" x14ac:dyDescent="0.75">
      <c r="A2496" s="51">
        <v>44950</v>
      </c>
      <c r="B2496" s="52">
        <v>1748</v>
      </c>
      <c r="C2496" s="8" t="s">
        <v>3022</v>
      </c>
      <c r="D2496" s="8" t="s">
        <v>89</v>
      </c>
      <c r="E2496" s="52">
        <v>408</v>
      </c>
      <c r="F2496" s="13">
        <v>592.6</v>
      </c>
      <c r="G2496" s="13"/>
    </row>
    <row r="2497" spans="1:7" hidden="1" x14ac:dyDescent="0.75">
      <c r="A2497" s="51">
        <v>44952</v>
      </c>
      <c r="B2497" s="52">
        <v>1748</v>
      </c>
      <c r="C2497" s="8" t="s">
        <v>3023</v>
      </c>
      <c r="D2497" s="8" t="s">
        <v>89</v>
      </c>
      <c r="E2497" s="52">
        <v>408</v>
      </c>
      <c r="F2497" s="13">
        <v>801.6</v>
      </c>
      <c r="G2497" s="13"/>
    </row>
    <row r="2498" spans="1:7" hidden="1" x14ac:dyDescent="0.75">
      <c r="A2498" s="51">
        <v>44952</v>
      </c>
      <c r="B2498" s="52">
        <v>1748</v>
      </c>
      <c r="C2498" s="8" t="s">
        <v>3024</v>
      </c>
      <c r="D2498" s="8" t="s">
        <v>89</v>
      </c>
      <c r="E2498" s="52">
        <v>408</v>
      </c>
      <c r="F2498" s="13">
        <v>576.70000000000005</v>
      </c>
      <c r="G2498" s="13"/>
    </row>
    <row r="2499" spans="1:7" hidden="1" x14ac:dyDescent="0.75">
      <c r="A2499" s="51">
        <v>44953</v>
      </c>
      <c r="B2499" s="52">
        <v>1748</v>
      </c>
      <c r="C2499" s="8" t="s">
        <v>1930</v>
      </c>
      <c r="D2499" s="8" t="s">
        <v>89</v>
      </c>
      <c r="E2499" s="52">
        <v>1949</v>
      </c>
      <c r="F2499" s="13"/>
      <c r="G2499" s="13">
        <v>333.28</v>
      </c>
    </row>
    <row r="2500" spans="1:7" hidden="1" x14ac:dyDescent="0.75">
      <c r="A2500" s="51">
        <v>44953</v>
      </c>
      <c r="B2500" s="52">
        <v>1748</v>
      </c>
      <c r="C2500" s="8" t="s">
        <v>1932</v>
      </c>
      <c r="D2500" s="8" t="s">
        <v>89</v>
      </c>
      <c r="E2500" s="52">
        <v>1949</v>
      </c>
      <c r="F2500" s="13"/>
      <c r="G2500" s="13">
        <v>1001.83</v>
      </c>
    </row>
    <row r="2501" spans="1:7" hidden="1" x14ac:dyDescent="0.75">
      <c r="A2501" s="51">
        <v>44953</v>
      </c>
      <c r="B2501" s="52">
        <v>1748</v>
      </c>
      <c r="C2501" s="8" t="s">
        <v>1935</v>
      </c>
      <c r="D2501" s="8" t="s">
        <v>89</v>
      </c>
      <c r="E2501" s="52">
        <v>1949</v>
      </c>
      <c r="F2501" s="13"/>
      <c r="G2501" s="13">
        <v>748.94</v>
      </c>
    </row>
    <row r="2502" spans="1:7" hidden="1" x14ac:dyDescent="0.75">
      <c r="A2502" s="51">
        <v>44953</v>
      </c>
      <c r="B2502" s="52">
        <v>1748</v>
      </c>
      <c r="C2502" s="8" t="s">
        <v>1938</v>
      </c>
      <c r="D2502" s="8" t="s">
        <v>89</v>
      </c>
      <c r="E2502" s="52">
        <v>1949</v>
      </c>
      <c r="F2502" s="13"/>
      <c r="G2502" s="13">
        <v>611.78</v>
      </c>
    </row>
    <row r="2503" spans="1:7" hidden="1" x14ac:dyDescent="0.75">
      <c r="A2503" s="51">
        <v>44954</v>
      </c>
      <c r="B2503" s="52">
        <v>1748</v>
      </c>
      <c r="C2503" s="8" t="s">
        <v>3025</v>
      </c>
      <c r="D2503" s="8" t="s">
        <v>89</v>
      </c>
      <c r="E2503" s="52">
        <v>408</v>
      </c>
      <c r="F2503" s="13">
        <v>450.5</v>
      </c>
      <c r="G2503" s="13"/>
    </row>
    <row r="2504" spans="1:7" hidden="1" x14ac:dyDescent="0.75">
      <c r="A2504" s="51">
        <v>44956</v>
      </c>
      <c r="B2504" s="52">
        <v>1748</v>
      </c>
      <c r="C2504" s="8" t="s">
        <v>3026</v>
      </c>
      <c r="D2504" s="8" t="s">
        <v>89</v>
      </c>
      <c r="E2504" s="52">
        <v>408</v>
      </c>
      <c r="F2504" s="13">
        <v>698.05</v>
      </c>
      <c r="G2504" s="13"/>
    </row>
    <row r="2505" spans="1:7" hidden="1" x14ac:dyDescent="0.75">
      <c r="A2505" s="51">
        <v>44957</v>
      </c>
      <c r="B2505" s="52">
        <v>1748</v>
      </c>
      <c r="C2505" s="8" t="s">
        <v>3027</v>
      </c>
      <c r="D2505" s="8" t="s">
        <v>89</v>
      </c>
      <c r="E2505" s="52">
        <v>408</v>
      </c>
      <c r="F2505" s="13">
        <v>608.45000000000005</v>
      </c>
      <c r="G2505" s="13"/>
    </row>
    <row r="2506" spans="1:7" hidden="1" x14ac:dyDescent="0.75">
      <c r="A2506" s="51">
        <v>44957</v>
      </c>
      <c r="B2506" s="52">
        <v>1748</v>
      </c>
      <c r="C2506" s="8" t="s">
        <v>3028</v>
      </c>
      <c r="D2506" s="8" t="s">
        <v>89</v>
      </c>
      <c r="E2506" s="52">
        <v>408</v>
      </c>
      <c r="F2506" s="13">
        <v>323.10000000000002</v>
      </c>
      <c r="G2506" s="13"/>
    </row>
    <row r="2507" spans="1:7" hidden="1" x14ac:dyDescent="0.75">
      <c r="A2507" s="51">
        <v>44928</v>
      </c>
      <c r="B2507" s="52">
        <v>1752</v>
      </c>
      <c r="C2507" s="8" t="s">
        <v>3029</v>
      </c>
      <c r="D2507" s="8" t="s">
        <v>90</v>
      </c>
      <c r="E2507" s="52">
        <v>408</v>
      </c>
      <c r="F2507" s="13">
        <v>479.55</v>
      </c>
      <c r="G2507" s="13"/>
    </row>
    <row r="2508" spans="1:7" hidden="1" x14ac:dyDescent="0.75">
      <c r="A2508" s="51">
        <v>44929</v>
      </c>
      <c r="B2508" s="52">
        <v>1752</v>
      </c>
      <c r="C2508" s="8" t="s">
        <v>3030</v>
      </c>
      <c r="D2508" s="8" t="s">
        <v>90</v>
      </c>
      <c r="E2508" s="52">
        <v>408</v>
      </c>
      <c r="F2508" s="13">
        <v>586.45000000000005</v>
      </c>
      <c r="G2508" s="13"/>
    </row>
    <row r="2509" spans="1:7" hidden="1" x14ac:dyDescent="0.75">
      <c r="A2509" s="51">
        <v>44931</v>
      </c>
      <c r="B2509" s="52">
        <v>1752</v>
      </c>
      <c r="C2509" s="8" t="s">
        <v>3031</v>
      </c>
      <c r="D2509" s="8" t="s">
        <v>90</v>
      </c>
      <c r="E2509" s="52">
        <v>408</v>
      </c>
      <c r="F2509" s="13">
        <v>326.10000000000002</v>
      </c>
      <c r="G2509" s="13"/>
    </row>
    <row r="2510" spans="1:7" hidden="1" x14ac:dyDescent="0.75">
      <c r="A2510" s="51">
        <v>44931</v>
      </c>
      <c r="B2510" s="52">
        <v>1752</v>
      </c>
      <c r="C2510" s="8" t="s">
        <v>3032</v>
      </c>
      <c r="D2510" s="8" t="s">
        <v>90</v>
      </c>
      <c r="E2510" s="52">
        <v>408</v>
      </c>
      <c r="F2510" s="13">
        <v>785.25</v>
      </c>
      <c r="G2510" s="13"/>
    </row>
    <row r="2511" spans="1:7" hidden="1" x14ac:dyDescent="0.75">
      <c r="A2511" s="51">
        <v>44933</v>
      </c>
      <c r="B2511" s="52">
        <v>1752</v>
      </c>
      <c r="C2511" s="8" t="s">
        <v>3033</v>
      </c>
      <c r="D2511" s="8" t="s">
        <v>90</v>
      </c>
      <c r="E2511" s="52">
        <v>408</v>
      </c>
      <c r="F2511" s="13">
        <v>429.95</v>
      </c>
      <c r="G2511" s="13"/>
    </row>
    <row r="2512" spans="1:7" hidden="1" x14ac:dyDescent="0.75">
      <c r="A2512" s="51">
        <v>44935</v>
      </c>
      <c r="B2512" s="52">
        <v>1752</v>
      </c>
      <c r="C2512" s="8" t="s">
        <v>3034</v>
      </c>
      <c r="D2512" s="8" t="s">
        <v>90</v>
      </c>
      <c r="E2512" s="52">
        <v>408</v>
      </c>
      <c r="F2512" s="13">
        <v>503.9</v>
      </c>
      <c r="G2512" s="13"/>
    </row>
    <row r="2513" spans="1:7" hidden="1" x14ac:dyDescent="0.75">
      <c r="A2513" s="51">
        <v>44935</v>
      </c>
      <c r="B2513" s="52">
        <v>1752</v>
      </c>
      <c r="C2513" s="8" t="s">
        <v>1880</v>
      </c>
      <c r="D2513" s="8" t="s">
        <v>90</v>
      </c>
      <c r="E2513" s="52">
        <v>1949</v>
      </c>
      <c r="F2513" s="13"/>
      <c r="G2513" s="13">
        <v>155.4</v>
      </c>
    </row>
    <row r="2514" spans="1:7" hidden="1" x14ac:dyDescent="0.75">
      <c r="A2514" s="51">
        <v>44935</v>
      </c>
      <c r="B2514" s="52">
        <v>1752</v>
      </c>
      <c r="C2514" s="8" t="s">
        <v>1882</v>
      </c>
      <c r="D2514" s="8" t="s">
        <v>90</v>
      </c>
      <c r="E2514" s="52">
        <v>1949</v>
      </c>
      <c r="F2514" s="13"/>
      <c r="G2514" s="13">
        <v>619.95000000000005</v>
      </c>
    </row>
    <row r="2515" spans="1:7" hidden="1" x14ac:dyDescent="0.75">
      <c r="A2515" s="51">
        <v>44936</v>
      </c>
      <c r="B2515" s="52">
        <v>1752</v>
      </c>
      <c r="C2515" s="8" t="s">
        <v>3035</v>
      </c>
      <c r="D2515" s="8" t="s">
        <v>90</v>
      </c>
      <c r="E2515" s="52">
        <v>408</v>
      </c>
      <c r="F2515" s="13">
        <v>556.75</v>
      </c>
      <c r="G2515" s="13"/>
    </row>
    <row r="2516" spans="1:7" hidden="1" x14ac:dyDescent="0.75">
      <c r="A2516" s="51">
        <v>44936</v>
      </c>
      <c r="B2516" s="52">
        <v>1752</v>
      </c>
      <c r="C2516" s="8" t="s">
        <v>3036</v>
      </c>
      <c r="D2516" s="8" t="s">
        <v>90</v>
      </c>
      <c r="E2516" s="52">
        <v>408</v>
      </c>
      <c r="F2516" s="13">
        <v>155.4</v>
      </c>
      <c r="G2516" s="13"/>
    </row>
    <row r="2517" spans="1:7" hidden="1" x14ac:dyDescent="0.75">
      <c r="A2517" s="51">
        <v>44936</v>
      </c>
      <c r="B2517" s="52">
        <v>1752</v>
      </c>
      <c r="C2517" s="8" t="s">
        <v>1886</v>
      </c>
      <c r="D2517" s="8" t="s">
        <v>90</v>
      </c>
      <c r="E2517" s="52">
        <v>1949</v>
      </c>
      <c r="F2517" s="13"/>
      <c r="G2517" s="13">
        <v>394.85</v>
      </c>
    </row>
    <row r="2518" spans="1:7" hidden="1" x14ac:dyDescent="0.75">
      <c r="A2518" s="51">
        <v>44937</v>
      </c>
      <c r="B2518" s="52">
        <v>1752</v>
      </c>
      <c r="C2518" s="8" t="s">
        <v>1888</v>
      </c>
      <c r="D2518" s="8" t="s">
        <v>90</v>
      </c>
      <c r="E2518" s="52">
        <v>1949</v>
      </c>
      <c r="F2518" s="13"/>
      <c r="G2518" s="13">
        <v>316.2</v>
      </c>
    </row>
    <row r="2519" spans="1:7" hidden="1" x14ac:dyDescent="0.75">
      <c r="A2519" s="51">
        <v>44938</v>
      </c>
      <c r="B2519" s="52">
        <v>1752</v>
      </c>
      <c r="C2519" s="8" t="s">
        <v>3037</v>
      </c>
      <c r="D2519" s="8" t="s">
        <v>90</v>
      </c>
      <c r="E2519" s="52">
        <v>408</v>
      </c>
      <c r="F2519" s="13">
        <v>147.15</v>
      </c>
      <c r="G2519" s="13"/>
    </row>
    <row r="2520" spans="1:7" hidden="1" x14ac:dyDescent="0.75">
      <c r="A2520" s="51">
        <v>44938</v>
      </c>
      <c r="B2520" s="52">
        <v>1752</v>
      </c>
      <c r="C2520" s="8" t="s">
        <v>3038</v>
      </c>
      <c r="D2520" s="8" t="s">
        <v>90</v>
      </c>
      <c r="E2520" s="52">
        <v>408</v>
      </c>
      <c r="F2520" s="13">
        <v>1016.7</v>
      </c>
      <c r="G2520" s="13"/>
    </row>
    <row r="2521" spans="1:7" hidden="1" x14ac:dyDescent="0.75">
      <c r="A2521" s="51">
        <v>44938</v>
      </c>
      <c r="B2521" s="52">
        <v>1752</v>
      </c>
      <c r="C2521" s="8" t="s">
        <v>1891</v>
      </c>
      <c r="D2521" s="8" t="s">
        <v>90</v>
      </c>
      <c r="E2521" s="52">
        <v>1949</v>
      </c>
      <c r="F2521" s="13"/>
      <c r="G2521" s="13">
        <v>421.05</v>
      </c>
    </row>
    <row r="2522" spans="1:7" hidden="1" x14ac:dyDescent="0.75">
      <c r="A2522" s="51">
        <v>44939</v>
      </c>
      <c r="B2522" s="52">
        <v>1752</v>
      </c>
      <c r="C2522" s="8" t="s">
        <v>1899</v>
      </c>
      <c r="D2522" s="8" t="s">
        <v>90</v>
      </c>
      <c r="E2522" s="52">
        <v>1949</v>
      </c>
      <c r="F2522" s="13"/>
      <c r="G2522" s="13">
        <v>91.45</v>
      </c>
    </row>
    <row r="2523" spans="1:7" hidden="1" x14ac:dyDescent="0.75">
      <c r="A2523" s="51">
        <v>44940</v>
      </c>
      <c r="B2523" s="52">
        <v>1752</v>
      </c>
      <c r="C2523" s="8" t="s">
        <v>3039</v>
      </c>
      <c r="D2523" s="8" t="s">
        <v>90</v>
      </c>
      <c r="E2523" s="52">
        <v>408</v>
      </c>
      <c r="F2523" s="13">
        <v>869.55</v>
      </c>
      <c r="G2523" s="13"/>
    </row>
    <row r="2524" spans="1:7" hidden="1" x14ac:dyDescent="0.75">
      <c r="A2524" s="51">
        <v>44942</v>
      </c>
      <c r="B2524" s="52">
        <v>1752</v>
      </c>
      <c r="C2524" s="8" t="s">
        <v>3040</v>
      </c>
      <c r="D2524" s="8" t="s">
        <v>90</v>
      </c>
      <c r="E2524" s="52">
        <v>408</v>
      </c>
      <c r="F2524" s="13">
        <v>782.15</v>
      </c>
      <c r="G2524" s="13"/>
    </row>
    <row r="2525" spans="1:7" hidden="1" x14ac:dyDescent="0.75">
      <c r="A2525" s="51">
        <v>44942</v>
      </c>
      <c r="B2525" s="52">
        <v>1752</v>
      </c>
      <c r="C2525" s="8" t="s">
        <v>1905</v>
      </c>
      <c r="D2525" s="8" t="s">
        <v>90</v>
      </c>
      <c r="E2525" s="52">
        <v>1949</v>
      </c>
      <c r="F2525" s="13"/>
      <c r="G2525" s="13">
        <v>762.45</v>
      </c>
    </row>
    <row r="2526" spans="1:7" hidden="1" x14ac:dyDescent="0.75">
      <c r="A2526" s="51">
        <v>44943</v>
      </c>
      <c r="B2526" s="52">
        <v>1752</v>
      </c>
      <c r="C2526" s="8" t="s">
        <v>3041</v>
      </c>
      <c r="D2526" s="8" t="s">
        <v>90</v>
      </c>
      <c r="E2526" s="52">
        <v>408</v>
      </c>
      <c r="F2526" s="13">
        <v>208.5</v>
      </c>
      <c r="G2526" s="13"/>
    </row>
    <row r="2527" spans="1:7" hidden="1" x14ac:dyDescent="0.75">
      <c r="A2527" s="51">
        <v>44943</v>
      </c>
      <c r="B2527" s="52">
        <v>1752</v>
      </c>
      <c r="C2527" s="8" t="s">
        <v>1907</v>
      </c>
      <c r="D2527" s="8" t="s">
        <v>90</v>
      </c>
      <c r="E2527" s="52">
        <v>1949</v>
      </c>
      <c r="F2527" s="13"/>
      <c r="G2527" s="13">
        <v>342.8</v>
      </c>
    </row>
    <row r="2528" spans="1:7" hidden="1" x14ac:dyDescent="0.75">
      <c r="A2528" s="51">
        <v>44945</v>
      </c>
      <c r="B2528" s="52">
        <v>1752</v>
      </c>
      <c r="C2528" s="8" t="s">
        <v>3042</v>
      </c>
      <c r="D2528" s="8" t="s">
        <v>90</v>
      </c>
      <c r="E2528" s="52">
        <v>408</v>
      </c>
      <c r="F2528" s="13">
        <v>644.6</v>
      </c>
      <c r="G2528" s="13"/>
    </row>
    <row r="2529" spans="1:7" hidden="1" x14ac:dyDescent="0.75">
      <c r="A2529" s="51">
        <v>44945</v>
      </c>
      <c r="B2529" s="52">
        <v>1752</v>
      </c>
      <c r="C2529" s="8" t="s">
        <v>3043</v>
      </c>
      <c r="D2529" s="8" t="s">
        <v>90</v>
      </c>
      <c r="E2529" s="52">
        <v>408</v>
      </c>
      <c r="F2529" s="13">
        <v>323.10000000000002</v>
      </c>
      <c r="G2529" s="13"/>
    </row>
    <row r="2530" spans="1:7" hidden="1" x14ac:dyDescent="0.75">
      <c r="A2530" s="51">
        <v>44945</v>
      </c>
      <c r="B2530" s="52">
        <v>1752</v>
      </c>
      <c r="C2530" s="8" t="s">
        <v>1914</v>
      </c>
      <c r="D2530" s="8" t="s">
        <v>90</v>
      </c>
      <c r="E2530" s="52">
        <v>1949</v>
      </c>
      <c r="F2530" s="13"/>
      <c r="G2530" s="13">
        <v>586.45000000000005</v>
      </c>
    </row>
    <row r="2531" spans="1:7" hidden="1" x14ac:dyDescent="0.75">
      <c r="A2531" s="51">
        <v>44947</v>
      </c>
      <c r="B2531" s="52">
        <v>1752</v>
      </c>
      <c r="C2531" s="8" t="s">
        <v>3044</v>
      </c>
      <c r="D2531" s="8" t="s">
        <v>90</v>
      </c>
      <c r="E2531" s="52">
        <v>408</v>
      </c>
      <c r="F2531" s="13">
        <v>605.65</v>
      </c>
      <c r="G2531" s="13"/>
    </row>
    <row r="2532" spans="1:7" hidden="1" x14ac:dyDescent="0.75">
      <c r="A2532" s="51">
        <v>44949</v>
      </c>
      <c r="B2532" s="52">
        <v>1752</v>
      </c>
      <c r="C2532" s="8" t="s">
        <v>3045</v>
      </c>
      <c r="D2532" s="8" t="s">
        <v>90</v>
      </c>
      <c r="E2532" s="52">
        <v>408</v>
      </c>
      <c r="F2532" s="13">
        <v>587.95000000000005</v>
      </c>
      <c r="G2532" s="13"/>
    </row>
    <row r="2533" spans="1:7" hidden="1" x14ac:dyDescent="0.75">
      <c r="A2533" s="51">
        <v>44950</v>
      </c>
      <c r="B2533" s="52">
        <v>1752</v>
      </c>
      <c r="C2533" s="8" t="s">
        <v>3046</v>
      </c>
      <c r="D2533" s="8" t="s">
        <v>90</v>
      </c>
      <c r="E2533" s="52">
        <v>408</v>
      </c>
      <c r="F2533" s="13">
        <v>360.6</v>
      </c>
      <c r="G2533" s="13"/>
    </row>
    <row r="2534" spans="1:7" hidden="1" x14ac:dyDescent="0.75">
      <c r="A2534" s="51">
        <v>44950</v>
      </c>
      <c r="B2534" s="52">
        <v>1752</v>
      </c>
      <c r="C2534" s="8" t="s">
        <v>3047</v>
      </c>
      <c r="D2534" s="8" t="s">
        <v>90</v>
      </c>
      <c r="E2534" s="52">
        <v>408</v>
      </c>
      <c r="F2534" s="13">
        <v>173.4</v>
      </c>
      <c r="G2534" s="13"/>
    </row>
    <row r="2535" spans="1:7" hidden="1" x14ac:dyDescent="0.75">
      <c r="A2535" s="51">
        <v>44952</v>
      </c>
      <c r="B2535" s="52">
        <v>1752</v>
      </c>
      <c r="C2535" s="8" t="s">
        <v>3048</v>
      </c>
      <c r="D2535" s="8" t="s">
        <v>90</v>
      </c>
      <c r="E2535" s="52">
        <v>408</v>
      </c>
      <c r="F2535" s="13">
        <v>622.65</v>
      </c>
      <c r="G2535" s="13"/>
    </row>
    <row r="2536" spans="1:7" hidden="1" x14ac:dyDescent="0.75">
      <c r="A2536" s="51">
        <v>44952</v>
      </c>
      <c r="B2536" s="52">
        <v>1752</v>
      </c>
      <c r="C2536" s="8" t="s">
        <v>3049</v>
      </c>
      <c r="D2536" s="8" t="s">
        <v>90</v>
      </c>
      <c r="E2536" s="52">
        <v>408</v>
      </c>
      <c r="F2536" s="13">
        <v>801.6</v>
      </c>
      <c r="G2536" s="13"/>
    </row>
    <row r="2537" spans="1:7" hidden="1" x14ac:dyDescent="0.75">
      <c r="A2537" s="51">
        <v>44953</v>
      </c>
      <c r="B2537" s="52">
        <v>1752</v>
      </c>
      <c r="C2537" s="8" t="s">
        <v>1927</v>
      </c>
      <c r="D2537" s="8" t="s">
        <v>90</v>
      </c>
      <c r="E2537" s="52">
        <v>1949</v>
      </c>
      <c r="F2537" s="13"/>
      <c r="G2537" s="13">
        <v>333.28</v>
      </c>
    </row>
    <row r="2538" spans="1:7" hidden="1" x14ac:dyDescent="0.75">
      <c r="A2538" s="51">
        <v>44953</v>
      </c>
      <c r="B2538" s="52">
        <v>1752</v>
      </c>
      <c r="C2538" s="8" t="s">
        <v>1928</v>
      </c>
      <c r="D2538" s="8" t="s">
        <v>90</v>
      </c>
      <c r="E2538" s="52">
        <v>1949</v>
      </c>
      <c r="F2538" s="13"/>
      <c r="G2538" s="13">
        <v>802.51</v>
      </c>
    </row>
    <row r="2539" spans="1:7" hidden="1" x14ac:dyDescent="0.75">
      <c r="A2539" s="51">
        <v>44953</v>
      </c>
      <c r="B2539" s="52">
        <v>1752</v>
      </c>
      <c r="C2539" s="8" t="s">
        <v>1940</v>
      </c>
      <c r="D2539" s="8" t="s">
        <v>90</v>
      </c>
      <c r="E2539" s="52">
        <v>1949</v>
      </c>
      <c r="F2539" s="13"/>
      <c r="G2539" s="13">
        <v>514.30999999999995</v>
      </c>
    </row>
    <row r="2540" spans="1:7" hidden="1" x14ac:dyDescent="0.75">
      <c r="A2540" s="51">
        <v>44953</v>
      </c>
      <c r="B2540" s="52">
        <v>1752</v>
      </c>
      <c r="C2540" s="8" t="s">
        <v>1943</v>
      </c>
      <c r="D2540" s="8" t="s">
        <v>90</v>
      </c>
      <c r="E2540" s="52">
        <v>1949</v>
      </c>
      <c r="F2540" s="13"/>
      <c r="G2540" s="13">
        <v>208.5</v>
      </c>
    </row>
    <row r="2541" spans="1:7" hidden="1" x14ac:dyDescent="0.75">
      <c r="A2541" s="51">
        <v>44954</v>
      </c>
      <c r="B2541" s="52">
        <v>1752</v>
      </c>
      <c r="C2541" s="8" t="s">
        <v>3050</v>
      </c>
      <c r="D2541" s="8" t="s">
        <v>90</v>
      </c>
      <c r="E2541" s="52">
        <v>408</v>
      </c>
      <c r="F2541" s="13">
        <v>362.55</v>
      </c>
      <c r="G2541" s="13"/>
    </row>
    <row r="2542" spans="1:7" hidden="1" x14ac:dyDescent="0.75">
      <c r="A2542" s="51">
        <v>44956</v>
      </c>
      <c r="B2542" s="52">
        <v>1752</v>
      </c>
      <c r="C2542" s="8" t="s">
        <v>3051</v>
      </c>
      <c r="D2542" s="8" t="s">
        <v>90</v>
      </c>
      <c r="E2542" s="52">
        <v>408</v>
      </c>
      <c r="F2542" s="13">
        <v>427.55</v>
      </c>
      <c r="G2542" s="13"/>
    </row>
    <row r="2543" spans="1:7" hidden="1" x14ac:dyDescent="0.75">
      <c r="A2543" s="51">
        <v>44957</v>
      </c>
      <c r="B2543" s="52">
        <v>1752</v>
      </c>
      <c r="C2543" s="8" t="s">
        <v>3052</v>
      </c>
      <c r="D2543" s="8" t="s">
        <v>90</v>
      </c>
      <c r="E2543" s="52">
        <v>408</v>
      </c>
      <c r="F2543" s="13">
        <v>268.35000000000002</v>
      </c>
      <c r="G2543" s="13"/>
    </row>
    <row r="2544" spans="1:7" hidden="1" x14ac:dyDescent="0.75">
      <c r="A2544" s="51">
        <v>44957</v>
      </c>
      <c r="B2544" s="52">
        <v>1752</v>
      </c>
      <c r="C2544" s="8" t="s">
        <v>3053</v>
      </c>
      <c r="D2544" s="8" t="s">
        <v>90</v>
      </c>
      <c r="E2544" s="52">
        <v>408</v>
      </c>
      <c r="F2544" s="13">
        <v>305.10000000000002</v>
      </c>
      <c r="G2544" s="13"/>
    </row>
    <row r="2545" spans="1:7" hidden="1" x14ac:dyDescent="0.75">
      <c r="A2545" s="51">
        <v>44928</v>
      </c>
      <c r="B2545" s="52">
        <v>1696</v>
      </c>
      <c r="C2545" s="8" t="s">
        <v>3054</v>
      </c>
      <c r="D2545" s="8" t="s">
        <v>92</v>
      </c>
      <c r="E2545" s="52">
        <v>408</v>
      </c>
      <c r="F2545" s="13">
        <v>398.45</v>
      </c>
      <c r="G2545" s="13"/>
    </row>
    <row r="2546" spans="1:7" hidden="1" x14ac:dyDescent="0.75">
      <c r="A2546" s="51">
        <v>44929</v>
      </c>
      <c r="B2546" s="52">
        <v>1696</v>
      </c>
      <c r="C2546" s="8" t="s">
        <v>3055</v>
      </c>
      <c r="D2546" s="8" t="s">
        <v>92</v>
      </c>
      <c r="E2546" s="52">
        <v>408</v>
      </c>
      <c r="F2546" s="13">
        <v>287.10000000000002</v>
      </c>
      <c r="G2546" s="13"/>
    </row>
    <row r="2547" spans="1:7" hidden="1" x14ac:dyDescent="0.75">
      <c r="A2547" s="51">
        <v>44929</v>
      </c>
      <c r="B2547" s="52">
        <v>1696</v>
      </c>
      <c r="C2547" s="8" t="s">
        <v>3056</v>
      </c>
      <c r="D2547" s="8" t="s">
        <v>92</v>
      </c>
      <c r="E2547" s="52">
        <v>408</v>
      </c>
      <c r="F2547" s="13">
        <v>500.8</v>
      </c>
      <c r="G2547" s="13"/>
    </row>
    <row r="2548" spans="1:7" hidden="1" x14ac:dyDescent="0.75">
      <c r="A2548" s="51">
        <v>44931</v>
      </c>
      <c r="B2548" s="52">
        <v>1696</v>
      </c>
      <c r="C2548" s="8" t="s">
        <v>3057</v>
      </c>
      <c r="D2548" s="8" t="s">
        <v>92</v>
      </c>
      <c r="E2548" s="52">
        <v>408</v>
      </c>
      <c r="F2548" s="13">
        <v>181.45</v>
      </c>
      <c r="G2548" s="13"/>
    </row>
    <row r="2549" spans="1:7" hidden="1" x14ac:dyDescent="0.75">
      <c r="A2549" s="51">
        <v>44931</v>
      </c>
      <c r="B2549" s="52">
        <v>1696</v>
      </c>
      <c r="C2549" s="8" t="s">
        <v>3058</v>
      </c>
      <c r="D2549" s="8" t="s">
        <v>92</v>
      </c>
      <c r="E2549" s="52">
        <v>408</v>
      </c>
      <c r="F2549" s="13">
        <v>644.85</v>
      </c>
      <c r="G2549" s="13"/>
    </row>
    <row r="2550" spans="1:7" hidden="1" x14ac:dyDescent="0.75">
      <c r="A2550" s="51">
        <v>44933</v>
      </c>
      <c r="B2550" s="52">
        <v>1696</v>
      </c>
      <c r="C2550" s="8" t="s">
        <v>3059</v>
      </c>
      <c r="D2550" s="8" t="s">
        <v>92</v>
      </c>
      <c r="E2550" s="52">
        <v>408</v>
      </c>
      <c r="F2550" s="13">
        <v>612.20000000000005</v>
      </c>
      <c r="G2550" s="13"/>
    </row>
    <row r="2551" spans="1:7" hidden="1" x14ac:dyDescent="0.75">
      <c r="A2551" s="51">
        <v>44935</v>
      </c>
      <c r="B2551" s="52">
        <v>1696</v>
      </c>
      <c r="C2551" s="8" t="s">
        <v>3060</v>
      </c>
      <c r="D2551" s="8" t="s">
        <v>92</v>
      </c>
      <c r="E2551" s="52">
        <v>408</v>
      </c>
      <c r="F2551" s="13">
        <v>602.15</v>
      </c>
      <c r="G2551" s="13"/>
    </row>
    <row r="2552" spans="1:7" hidden="1" x14ac:dyDescent="0.75">
      <c r="A2552" s="51">
        <v>44936</v>
      </c>
      <c r="B2552" s="52">
        <v>1696</v>
      </c>
      <c r="C2552" s="8" t="s">
        <v>3061</v>
      </c>
      <c r="D2552" s="8" t="s">
        <v>92</v>
      </c>
      <c r="E2552" s="52">
        <v>408</v>
      </c>
      <c r="F2552" s="13">
        <v>287.10000000000002</v>
      </c>
      <c r="G2552" s="13"/>
    </row>
    <row r="2553" spans="1:7" hidden="1" x14ac:dyDescent="0.75">
      <c r="A2553" s="51">
        <v>44936</v>
      </c>
      <c r="B2553" s="52">
        <v>1696</v>
      </c>
      <c r="C2553" s="8" t="s">
        <v>3062</v>
      </c>
      <c r="D2553" s="8" t="s">
        <v>92</v>
      </c>
      <c r="E2553" s="52">
        <v>408</v>
      </c>
      <c r="F2553" s="13">
        <v>425.1</v>
      </c>
      <c r="G2553" s="13"/>
    </row>
    <row r="2554" spans="1:7" hidden="1" x14ac:dyDescent="0.75">
      <c r="A2554" s="51">
        <v>44938</v>
      </c>
      <c r="B2554" s="52">
        <v>1696</v>
      </c>
      <c r="C2554" s="8" t="s">
        <v>3063</v>
      </c>
      <c r="D2554" s="8" t="s">
        <v>92</v>
      </c>
      <c r="E2554" s="52">
        <v>408</v>
      </c>
      <c r="F2554" s="13">
        <v>209.45</v>
      </c>
      <c r="G2554" s="13"/>
    </row>
    <row r="2555" spans="1:7" hidden="1" x14ac:dyDescent="0.75">
      <c r="A2555" s="51">
        <v>44938</v>
      </c>
      <c r="B2555" s="52">
        <v>1696</v>
      </c>
      <c r="C2555" s="8" t="s">
        <v>3064</v>
      </c>
      <c r="D2555" s="8" t="s">
        <v>92</v>
      </c>
      <c r="E2555" s="52">
        <v>408</v>
      </c>
      <c r="F2555" s="13">
        <v>729.6</v>
      </c>
      <c r="G2555" s="13"/>
    </row>
    <row r="2556" spans="1:7" hidden="1" x14ac:dyDescent="0.75">
      <c r="A2556" s="51">
        <v>44940</v>
      </c>
      <c r="B2556" s="52">
        <v>1696</v>
      </c>
      <c r="C2556" s="8" t="s">
        <v>3065</v>
      </c>
      <c r="D2556" s="8" t="s">
        <v>92</v>
      </c>
      <c r="E2556" s="52">
        <v>408</v>
      </c>
      <c r="F2556" s="13">
        <v>542.70000000000005</v>
      </c>
      <c r="G2556" s="13"/>
    </row>
    <row r="2557" spans="1:7" hidden="1" x14ac:dyDescent="0.75">
      <c r="A2557" s="51">
        <v>44942</v>
      </c>
      <c r="B2557" s="52">
        <v>1696</v>
      </c>
      <c r="C2557" s="8" t="s">
        <v>3066</v>
      </c>
      <c r="D2557" s="8" t="s">
        <v>92</v>
      </c>
      <c r="E2557" s="52">
        <v>408</v>
      </c>
      <c r="F2557" s="13">
        <v>583.9</v>
      </c>
      <c r="G2557" s="13"/>
    </row>
    <row r="2558" spans="1:7" hidden="1" x14ac:dyDescent="0.75">
      <c r="A2558" s="51">
        <v>44943</v>
      </c>
      <c r="B2558" s="52">
        <v>1696</v>
      </c>
      <c r="C2558" s="8" t="s">
        <v>3067</v>
      </c>
      <c r="D2558" s="8" t="s">
        <v>92</v>
      </c>
      <c r="E2558" s="52">
        <v>408</v>
      </c>
      <c r="F2558" s="13">
        <v>646.20000000000005</v>
      </c>
      <c r="G2558" s="13"/>
    </row>
    <row r="2559" spans="1:7" hidden="1" x14ac:dyDescent="0.75">
      <c r="A2559" s="51">
        <v>44943</v>
      </c>
      <c r="B2559" s="52">
        <v>1696</v>
      </c>
      <c r="C2559" s="8" t="s">
        <v>3068</v>
      </c>
      <c r="D2559" s="8" t="s">
        <v>92</v>
      </c>
      <c r="E2559" s="52">
        <v>408</v>
      </c>
      <c r="F2559" s="13">
        <v>396.15</v>
      </c>
      <c r="G2559" s="13"/>
    </row>
    <row r="2560" spans="1:7" hidden="1" x14ac:dyDescent="0.75">
      <c r="A2560" s="51">
        <v>44945</v>
      </c>
      <c r="B2560" s="52">
        <v>1696</v>
      </c>
      <c r="C2560" s="8" t="s">
        <v>3069</v>
      </c>
      <c r="D2560" s="8" t="s">
        <v>92</v>
      </c>
      <c r="E2560" s="52">
        <v>408</v>
      </c>
      <c r="F2560" s="13">
        <v>581.20000000000005</v>
      </c>
      <c r="G2560" s="13"/>
    </row>
    <row r="2561" spans="1:7" hidden="1" x14ac:dyDescent="0.75">
      <c r="A2561" s="51">
        <v>44945</v>
      </c>
      <c r="B2561" s="52">
        <v>1696</v>
      </c>
      <c r="C2561" s="8" t="s">
        <v>3070</v>
      </c>
      <c r="D2561" s="8" t="s">
        <v>92</v>
      </c>
      <c r="E2561" s="52">
        <v>408</v>
      </c>
      <c r="F2561" s="13">
        <v>496.5</v>
      </c>
      <c r="G2561" s="13"/>
    </row>
    <row r="2562" spans="1:7" hidden="1" x14ac:dyDescent="0.75">
      <c r="A2562" s="51">
        <v>44947</v>
      </c>
      <c r="B2562" s="52">
        <v>1696</v>
      </c>
      <c r="C2562" s="8" t="s">
        <v>3071</v>
      </c>
      <c r="D2562" s="8" t="s">
        <v>92</v>
      </c>
      <c r="E2562" s="52">
        <v>408</v>
      </c>
      <c r="F2562" s="13">
        <v>562.85</v>
      </c>
      <c r="G2562" s="13"/>
    </row>
    <row r="2563" spans="1:7" hidden="1" x14ac:dyDescent="0.75">
      <c r="A2563" s="51">
        <v>44949</v>
      </c>
      <c r="B2563" s="52">
        <v>1696</v>
      </c>
      <c r="C2563" s="8" t="s">
        <v>3072</v>
      </c>
      <c r="D2563" s="8" t="s">
        <v>92</v>
      </c>
      <c r="E2563" s="52">
        <v>408</v>
      </c>
      <c r="F2563" s="13">
        <v>531.79999999999995</v>
      </c>
      <c r="G2563" s="13"/>
    </row>
    <row r="2564" spans="1:7" hidden="1" x14ac:dyDescent="0.75">
      <c r="A2564" s="51">
        <v>44950</v>
      </c>
      <c r="B2564" s="52">
        <v>1696</v>
      </c>
      <c r="C2564" s="8" t="s">
        <v>3073</v>
      </c>
      <c r="D2564" s="8" t="s">
        <v>92</v>
      </c>
      <c r="E2564" s="52">
        <v>408</v>
      </c>
      <c r="F2564" s="13">
        <v>560.29999999999995</v>
      </c>
      <c r="G2564" s="13"/>
    </row>
    <row r="2565" spans="1:7" hidden="1" x14ac:dyDescent="0.75">
      <c r="A2565" s="51">
        <v>44950</v>
      </c>
      <c r="B2565" s="52">
        <v>1696</v>
      </c>
      <c r="C2565" s="8" t="s">
        <v>3074</v>
      </c>
      <c r="D2565" s="8" t="s">
        <v>92</v>
      </c>
      <c r="E2565" s="52">
        <v>408</v>
      </c>
      <c r="F2565" s="13">
        <v>496.5</v>
      </c>
      <c r="G2565" s="13"/>
    </row>
    <row r="2566" spans="1:7" hidden="1" x14ac:dyDescent="0.75">
      <c r="A2566" s="51">
        <v>44952</v>
      </c>
      <c r="B2566" s="52">
        <v>1696</v>
      </c>
      <c r="C2566" s="8" t="s">
        <v>3075</v>
      </c>
      <c r="D2566" s="8" t="s">
        <v>92</v>
      </c>
      <c r="E2566" s="52">
        <v>408</v>
      </c>
      <c r="F2566" s="13">
        <v>469</v>
      </c>
      <c r="G2566" s="13"/>
    </row>
    <row r="2567" spans="1:7" hidden="1" x14ac:dyDescent="0.75">
      <c r="A2567" s="51">
        <v>44952</v>
      </c>
      <c r="B2567" s="52">
        <v>1696</v>
      </c>
      <c r="C2567" s="8" t="s">
        <v>3076</v>
      </c>
      <c r="D2567" s="8" t="s">
        <v>92</v>
      </c>
      <c r="E2567" s="52">
        <v>408</v>
      </c>
      <c r="F2567" s="13">
        <v>305.10000000000002</v>
      </c>
      <c r="G2567" s="13"/>
    </row>
    <row r="2568" spans="1:7" hidden="1" x14ac:dyDescent="0.75">
      <c r="A2568" s="51">
        <v>44954</v>
      </c>
      <c r="B2568" s="52">
        <v>1696</v>
      </c>
      <c r="C2568" s="8" t="s">
        <v>3077</v>
      </c>
      <c r="D2568" s="8" t="s">
        <v>92</v>
      </c>
      <c r="E2568" s="52">
        <v>408</v>
      </c>
      <c r="F2568" s="13">
        <v>269.5</v>
      </c>
      <c r="G2568" s="13"/>
    </row>
    <row r="2569" spans="1:7" hidden="1" x14ac:dyDescent="0.75">
      <c r="A2569" s="51">
        <v>44956</v>
      </c>
      <c r="B2569" s="52">
        <v>1696</v>
      </c>
      <c r="C2569" s="8" t="s">
        <v>3078</v>
      </c>
      <c r="D2569" s="8" t="s">
        <v>92</v>
      </c>
      <c r="E2569" s="52">
        <v>408</v>
      </c>
      <c r="F2569" s="13">
        <v>297.60000000000002</v>
      </c>
      <c r="G2569" s="13"/>
    </row>
    <row r="2570" spans="1:7" hidden="1" x14ac:dyDescent="0.75">
      <c r="A2570" s="51">
        <v>44957</v>
      </c>
      <c r="B2570" s="52">
        <v>1696</v>
      </c>
      <c r="C2570" s="8" t="s">
        <v>3079</v>
      </c>
      <c r="D2570" s="8" t="s">
        <v>92</v>
      </c>
      <c r="E2570" s="52">
        <v>408</v>
      </c>
      <c r="F2570" s="13">
        <v>568.65</v>
      </c>
      <c r="G2570" s="13"/>
    </row>
    <row r="2571" spans="1:7" hidden="1" x14ac:dyDescent="0.75">
      <c r="A2571" s="51">
        <v>44928</v>
      </c>
      <c r="B2571" s="52">
        <v>1747</v>
      </c>
      <c r="C2571" s="8" t="s">
        <v>3080</v>
      </c>
      <c r="D2571" s="8" t="s">
        <v>93</v>
      </c>
      <c r="E2571" s="52">
        <v>408</v>
      </c>
      <c r="F2571" s="13">
        <v>912.7</v>
      </c>
      <c r="G2571" s="13"/>
    </row>
    <row r="2572" spans="1:7" hidden="1" x14ac:dyDescent="0.75">
      <c r="A2572" s="51">
        <v>44929</v>
      </c>
      <c r="B2572" s="52">
        <v>1747</v>
      </c>
      <c r="C2572" s="8" t="s">
        <v>3081</v>
      </c>
      <c r="D2572" s="8" t="s">
        <v>93</v>
      </c>
      <c r="E2572" s="52">
        <v>408</v>
      </c>
      <c r="F2572" s="13">
        <v>424.5</v>
      </c>
      <c r="G2572" s="13"/>
    </row>
    <row r="2573" spans="1:7" hidden="1" x14ac:dyDescent="0.75">
      <c r="A2573" s="51">
        <v>44929</v>
      </c>
      <c r="B2573" s="52">
        <v>1747</v>
      </c>
      <c r="C2573" s="8" t="s">
        <v>3082</v>
      </c>
      <c r="D2573" s="8" t="s">
        <v>93</v>
      </c>
      <c r="E2573" s="52">
        <v>408</v>
      </c>
      <c r="F2573" s="13">
        <v>1742.6</v>
      </c>
      <c r="G2573" s="13"/>
    </row>
    <row r="2574" spans="1:7" hidden="1" x14ac:dyDescent="0.75">
      <c r="A2574" s="51">
        <v>44930</v>
      </c>
      <c r="B2574" s="52">
        <v>1747</v>
      </c>
      <c r="C2574" s="8" t="s">
        <v>3083</v>
      </c>
      <c r="D2574" s="8" t="s">
        <v>93</v>
      </c>
      <c r="E2574" s="52">
        <v>408</v>
      </c>
      <c r="F2574" s="13">
        <v>3540</v>
      </c>
      <c r="G2574" s="13"/>
    </row>
    <row r="2575" spans="1:7" hidden="1" x14ac:dyDescent="0.75">
      <c r="A2575" s="51">
        <v>44930</v>
      </c>
      <c r="B2575" s="52">
        <v>1747</v>
      </c>
      <c r="C2575" s="8" t="s">
        <v>3084</v>
      </c>
      <c r="D2575" s="8" t="s">
        <v>93</v>
      </c>
      <c r="E2575" s="52">
        <v>408</v>
      </c>
      <c r="F2575" s="13">
        <v>750.7</v>
      </c>
      <c r="G2575" s="13"/>
    </row>
    <row r="2576" spans="1:7" hidden="1" x14ac:dyDescent="0.75">
      <c r="A2576" s="51">
        <v>44931</v>
      </c>
      <c r="B2576" s="52">
        <v>1747</v>
      </c>
      <c r="C2576" s="8" t="s">
        <v>3085</v>
      </c>
      <c r="D2576" s="8" t="s">
        <v>93</v>
      </c>
      <c r="E2576" s="52">
        <v>408</v>
      </c>
      <c r="F2576" s="13">
        <v>1126.55</v>
      </c>
      <c r="G2576" s="13"/>
    </row>
    <row r="2577" spans="1:7" hidden="1" x14ac:dyDescent="0.75">
      <c r="A2577" s="51">
        <v>44931</v>
      </c>
      <c r="B2577" s="52">
        <v>1747</v>
      </c>
      <c r="C2577" s="8" t="s">
        <v>3086</v>
      </c>
      <c r="D2577" s="8" t="s">
        <v>93</v>
      </c>
      <c r="E2577" s="52">
        <v>408</v>
      </c>
      <c r="F2577" s="13">
        <v>272.39999999999998</v>
      </c>
      <c r="G2577" s="13"/>
    </row>
    <row r="2578" spans="1:7" hidden="1" x14ac:dyDescent="0.75">
      <c r="A2578" s="51">
        <v>44932</v>
      </c>
      <c r="B2578" s="52">
        <v>1747</v>
      </c>
      <c r="C2578" s="8" t="s">
        <v>1874</v>
      </c>
      <c r="D2578" s="8" t="s">
        <v>93</v>
      </c>
      <c r="E2578" s="52">
        <v>1949</v>
      </c>
      <c r="F2578" s="13"/>
      <c r="G2578" s="13">
        <v>4821</v>
      </c>
    </row>
    <row r="2579" spans="1:7" hidden="1" x14ac:dyDescent="0.75">
      <c r="A2579" s="51">
        <v>44933</v>
      </c>
      <c r="B2579" s="52">
        <v>1747</v>
      </c>
      <c r="C2579" s="8" t="s">
        <v>3087</v>
      </c>
      <c r="D2579" s="8" t="s">
        <v>93</v>
      </c>
      <c r="E2579" s="52">
        <v>408</v>
      </c>
      <c r="F2579" s="13">
        <v>1342.8</v>
      </c>
      <c r="G2579" s="13"/>
    </row>
    <row r="2580" spans="1:7" hidden="1" x14ac:dyDescent="0.75">
      <c r="A2580" s="51">
        <v>44935</v>
      </c>
      <c r="B2580" s="52">
        <v>1747</v>
      </c>
      <c r="C2580" s="8" t="s">
        <v>3088</v>
      </c>
      <c r="D2580" s="8" t="s">
        <v>93</v>
      </c>
      <c r="E2580" s="52">
        <v>408</v>
      </c>
      <c r="F2580" s="13">
        <v>1456.45</v>
      </c>
      <c r="G2580" s="13"/>
    </row>
    <row r="2581" spans="1:7" hidden="1" x14ac:dyDescent="0.75">
      <c r="A2581" s="51">
        <v>44935</v>
      </c>
      <c r="B2581" s="52">
        <v>1747</v>
      </c>
      <c r="C2581" s="8" t="s">
        <v>1881</v>
      </c>
      <c r="D2581" s="8" t="s">
        <v>93</v>
      </c>
      <c r="E2581" s="52">
        <v>1949</v>
      </c>
      <c r="F2581" s="13"/>
      <c r="G2581" s="13">
        <v>1037.7</v>
      </c>
    </row>
    <row r="2582" spans="1:7" hidden="1" x14ac:dyDescent="0.75">
      <c r="A2582" s="51">
        <v>44936</v>
      </c>
      <c r="B2582" s="52">
        <v>1747</v>
      </c>
      <c r="C2582" s="8" t="s">
        <v>3089</v>
      </c>
      <c r="D2582" s="8" t="s">
        <v>93</v>
      </c>
      <c r="E2582" s="52">
        <v>408</v>
      </c>
      <c r="F2582" s="13">
        <v>1361.2</v>
      </c>
      <c r="G2582" s="13"/>
    </row>
    <row r="2583" spans="1:7" hidden="1" x14ac:dyDescent="0.75">
      <c r="A2583" s="51">
        <v>44936</v>
      </c>
      <c r="B2583" s="52">
        <v>1747</v>
      </c>
      <c r="C2583" s="8" t="s">
        <v>3090</v>
      </c>
      <c r="D2583" s="8" t="s">
        <v>93</v>
      </c>
      <c r="E2583" s="52">
        <v>408</v>
      </c>
      <c r="F2583" s="13">
        <v>1114.7</v>
      </c>
      <c r="G2583" s="13"/>
    </row>
    <row r="2584" spans="1:7" hidden="1" x14ac:dyDescent="0.75">
      <c r="A2584" s="51">
        <v>44938</v>
      </c>
      <c r="B2584" s="52">
        <v>1747</v>
      </c>
      <c r="C2584" s="8" t="s">
        <v>3091</v>
      </c>
      <c r="D2584" s="8" t="s">
        <v>93</v>
      </c>
      <c r="E2584" s="52">
        <v>408</v>
      </c>
      <c r="F2584" s="13">
        <v>497</v>
      </c>
      <c r="G2584" s="13"/>
    </row>
    <row r="2585" spans="1:7" hidden="1" x14ac:dyDescent="0.75">
      <c r="A2585" s="51">
        <v>44938</v>
      </c>
      <c r="B2585" s="52">
        <v>1747</v>
      </c>
      <c r="C2585" s="8" t="s">
        <v>3092</v>
      </c>
      <c r="D2585" s="8" t="s">
        <v>93</v>
      </c>
      <c r="E2585" s="52">
        <v>408</v>
      </c>
      <c r="F2585" s="13">
        <v>1859.6</v>
      </c>
      <c r="G2585" s="13"/>
    </row>
    <row r="2586" spans="1:7" hidden="1" x14ac:dyDescent="0.75">
      <c r="A2586" s="51">
        <v>44938</v>
      </c>
      <c r="B2586" s="52">
        <v>1747</v>
      </c>
      <c r="C2586" s="8" t="s">
        <v>1894</v>
      </c>
      <c r="D2586" s="8" t="s">
        <v>93</v>
      </c>
      <c r="E2586" s="52">
        <v>1949</v>
      </c>
      <c r="F2586" s="13"/>
      <c r="G2586" s="13">
        <v>422.1</v>
      </c>
    </row>
    <row r="2587" spans="1:7" hidden="1" x14ac:dyDescent="0.75">
      <c r="A2587" s="51">
        <v>44940</v>
      </c>
      <c r="B2587" s="52">
        <v>1747</v>
      </c>
      <c r="C2587" s="8" t="s">
        <v>3093</v>
      </c>
      <c r="D2587" s="8" t="s">
        <v>93</v>
      </c>
      <c r="E2587" s="52">
        <v>408</v>
      </c>
      <c r="F2587" s="13">
        <v>1600.35</v>
      </c>
      <c r="G2587" s="13"/>
    </row>
    <row r="2588" spans="1:7" hidden="1" x14ac:dyDescent="0.75">
      <c r="A2588" s="51">
        <v>44942</v>
      </c>
      <c r="B2588" s="52">
        <v>1747</v>
      </c>
      <c r="C2588" s="8" t="s">
        <v>3094</v>
      </c>
      <c r="D2588" s="8" t="s">
        <v>93</v>
      </c>
      <c r="E2588" s="52">
        <v>408</v>
      </c>
      <c r="F2588" s="13">
        <v>1666.45</v>
      </c>
      <c r="G2588" s="13"/>
    </row>
    <row r="2589" spans="1:7" hidden="1" x14ac:dyDescent="0.75">
      <c r="A2589" s="51">
        <v>44942</v>
      </c>
      <c r="B2589" s="52">
        <v>1747</v>
      </c>
      <c r="C2589" s="8" t="s">
        <v>1901</v>
      </c>
      <c r="D2589" s="8" t="s">
        <v>93</v>
      </c>
      <c r="E2589" s="52">
        <v>1949</v>
      </c>
      <c r="F2589" s="13"/>
      <c r="G2589" s="13">
        <v>1707.9</v>
      </c>
    </row>
    <row r="2590" spans="1:7" hidden="1" x14ac:dyDescent="0.75">
      <c r="A2590" s="51">
        <v>44942</v>
      </c>
      <c r="B2590" s="52">
        <v>1747</v>
      </c>
      <c r="C2590" s="8" t="s">
        <v>1906</v>
      </c>
      <c r="D2590" s="8" t="s">
        <v>93</v>
      </c>
      <c r="E2590" s="52">
        <v>1949</v>
      </c>
      <c r="F2590" s="13"/>
      <c r="G2590" s="13">
        <v>1820.75</v>
      </c>
    </row>
    <row r="2591" spans="1:7" hidden="1" x14ac:dyDescent="0.75">
      <c r="A2591" s="51">
        <v>44943</v>
      </c>
      <c r="B2591" s="52">
        <v>1747</v>
      </c>
      <c r="C2591" s="8" t="s">
        <v>3095</v>
      </c>
      <c r="D2591" s="8" t="s">
        <v>93</v>
      </c>
      <c r="E2591" s="52">
        <v>408</v>
      </c>
      <c r="F2591" s="13">
        <v>843.6</v>
      </c>
      <c r="G2591" s="13"/>
    </row>
    <row r="2592" spans="1:7" hidden="1" x14ac:dyDescent="0.75">
      <c r="A2592" s="51">
        <v>44943</v>
      </c>
      <c r="B2592" s="52">
        <v>1747</v>
      </c>
      <c r="C2592" s="8" t="s">
        <v>3096</v>
      </c>
      <c r="D2592" s="8" t="s">
        <v>93</v>
      </c>
      <c r="E2592" s="52">
        <v>408</v>
      </c>
      <c r="F2592" s="13">
        <v>803.95</v>
      </c>
      <c r="G2592" s="13"/>
    </row>
    <row r="2593" spans="1:7" hidden="1" x14ac:dyDescent="0.75">
      <c r="A2593" s="51">
        <v>44945</v>
      </c>
      <c r="B2593" s="52">
        <v>1747</v>
      </c>
      <c r="C2593" s="8" t="s">
        <v>3097</v>
      </c>
      <c r="D2593" s="8" t="s">
        <v>93</v>
      </c>
      <c r="E2593" s="52">
        <v>408</v>
      </c>
      <c r="F2593" s="13">
        <v>1970.5</v>
      </c>
      <c r="G2593" s="13"/>
    </row>
    <row r="2594" spans="1:7" hidden="1" x14ac:dyDescent="0.75">
      <c r="A2594" s="51">
        <v>44945</v>
      </c>
      <c r="B2594" s="52">
        <v>1747</v>
      </c>
      <c r="C2594" s="8" t="s">
        <v>3098</v>
      </c>
      <c r="D2594" s="8" t="s">
        <v>93</v>
      </c>
      <c r="E2594" s="52">
        <v>408</v>
      </c>
      <c r="F2594" s="13">
        <v>993</v>
      </c>
      <c r="G2594" s="13"/>
    </row>
    <row r="2595" spans="1:7" hidden="1" x14ac:dyDescent="0.75">
      <c r="A2595" s="51">
        <v>44945</v>
      </c>
      <c r="B2595" s="52">
        <v>1747</v>
      </c>
      <c r="C2595" s="8" t="s">
        <v>3099</v>
      </c>
      <c r="D2595" s="8" t="s">
        <v>93</v>
      </c>
      <c r="E2595" s="52">
        <v>408</v>
      </c>
      <c r="F2595" s="13">
        <v>87.6</v>
      </c>
      <c r="G2595" s="13"/>
    </row>
    <row r="2596" spans="1:7" hidden="1" x14ac:dyDescent="0.75">
      <c r="A2596" s="51">
        <v>44945</v>
      </c>
      <c r="B2596" s="52">
        <v>1747</v>
      </c>
      <c r="C2596" s="8" t="s">
        <v>1917</v>
      </c>
      <c r="D2596" s="8" t="s">
        <v>93</v>
      </c>
      <c r="E2596" s="52">
        <v>1949</v>
      </c>
      <c r="F2596" s="13"/>
      <c r="G2596" s="13">
        <v>424.5</v>
      </c>
    </row>
    <row r="2597" spans="1:7" hidden="1" x14ac:dyDescent="0.75">
      <c r="A2597" s="51">
        <v>44947</v>
      </c>
      <c r="B2597" s="52">
        <v>1747</v>
      </c>
      <c r="C2597" s="8" t="s">
        <v>3100</v>
      </c>
      <c r="D2597" s="8" t="s">
        <v>93</v>
      </c>
      <c r="E2597" s="52">
        <v>408</v>
      </c>
      <c r="F2597" s="13">
        <v>1473.45</v>
      </c>
      <c r="G2597" s="13"/>
    </row>
    <row r="2598" spans="1:7" hidden="1" x14ac:dyDescent="0.75">
      <c r="A2598" s="51">
        <v>44949</v>
      </c>
      <c r="B2598" s="52">
        <v>1747</v>
      </c>
      <c r="C2598" s="8" t="s">
        <v>3101</v>
      </c>
      <c r="D2598" s="8" t="s">
        <v>93</v>
      </c>
      <c r="E2598" s="52">
        <v>408</v>
      </c>
      <c r="F2598" s="13">
        <v>1349.6</v>
      </c>
      <c r="G2598" s="13"/>
    </row>
    <row r="2599" spans="1:7" hidden="1" x14ac:dyDescent="0.75">
      <c r="A2599" s="51">
        <v>44950</v>
      </c>
      <c r="B2599" s="52">
        <v>1747</v>
      </c>
      <c r="C2599" s="8" t="s">
        <v>3102</v>
      </c>
      <c r="D2599" s="8" t="s">
        <v>93</v>
      </c>
      <c r="E2599" s="52">
        <v>408</v>
      </c>
      <c r="F2599" s="13">
        <v>995.4</v>
      </c>
      <c r="G2599" s="13"/>
    </row>
    <row r="2600" spans="1:7" hidden="1" x14ac:dyDescent="0.75">
      <c r="A2600" s="51">
        <v>44950</v>
      </c>
      <c r="B2600" s="52">
        <v>1747</v>
      </c>
      <c r="C2600" s="8" t="s">
        <v>3103</v>
      </c>
      <c r="D2600" s="8" t="s">
        <v>93</v>
      </c>
      <c r="E2600" s="52">
        <v>408</v>
      </c>
      <c r="F2600" s="13">
        <v>1124.7</v>
      </c>
      <c r="G2600" s="13"/>
    </row>
    <row r="2601" spans="1:7" hidden="1" x14ac:dyDescent="0.75">
      <c r="A2601" s="51">
        <v>44952</v>
      </c>
      <c r="B2601" s="52">
        <v>1747</v>
      </c>
      <c r="C2601" s="8" t="s">
        <v>3104</v>
      </c>
      <c r="D2601" s="8" t="s">
        <v>93</v>
      </c>
      <c r="E2601" s="52">
        <v>408</v>
      </c>
      <c r="F2601" s="13">
        <v>801.6</v>
      </c>
      <c r="G2601" s="13"/>
    </row>
    <row r="2602" spans="1:7" hidden="1" x14ac:dyDescent="0.75">
      <c r="A2602" s="51">
        <v>44952</v>
      </c>
      <c r="B2602" s="52">
        <v>1747</v>
      </c>
      <c r="C2602" s="8" t="s">
        <v>3105</v>
      </c>
      <c r="D2602" s="8" t="s">
        <v>93</v>
      </c>
      <c r="E2602" s="52">
        <v>408</v>
      </c>
      <c r="F2602" s="13">
        <v>1412.7</v>
      </c>
      <c r="G2602" s="13"/>
    </row>
    <row r="2603" spans="1:7" hidden="1" x14ac:dyDescent="0.75">
      <c r="A2603" s="51">
        <v>44953</v>
      </c>
      <c r="B2603" s="52">
        <v>1747</v>
      </c>
      <c r="C2603" s="8" t="s">
        <v>1924</v>
      </c>
      <c r="D2603" s="8" t="s">
        <v>93</v>
      </c>
      <c r="E2603" s="52">
        <v>1949</v>
      </c>
      <c r="F2603" s="13"/>
      <c r="G2603" s="13">
        <v>1151.3599999999999</v>
      </c>
    </row>
    <row r="2604" spans="1:7" hidden="1" x14ac:dyDescent="0.75">
      <c r="A2604" s="51">
        <v>44953</v>
      </c>
      <c r="B2604" s="52">
        <v>1747</v>
      </c>
      <c r="C2604" s="8" t="s">
        <v>1925</v>
      </c>
      <c r="D2604" s="8" t="s">
        <v>93</v>
      </c>
      <c r="E2604" s="52">
        <v>1949</v>
      </c>
      <c r="F2604" s="13"/>
      <c r="G2604" s="13">
        <v>715.12</v>
      </c>
    </row>
    <row r="2605" spans="1:7" hidden="1" x14ac:dyDescent="0.75">
      <c r="A2605" s="51">
        <v>44953</v>
      </c>
      <c r="B2605" s="52">
        <v>1747</v>
      </c>
      <c r="C2605" s="8" t="s">
        <v>1944</v>
      </c>
      <c r="D2605" s="8" t="s">
        <v>93</v>
      </c>
      <c r="E2605" s="52">
        <v>1949</v>
      </c>
      <c r="F2605" s="13"/>
      <c r="G2605" s="13">
        <v>1433.86</v>
      </c>
    </row>
    <row r="2606" spans="1:7" hidden="1" x14ac:dyDescent="0.75">
      <c r="A2606" s="51">
        <v>44953</v>
      </c>
      <c r="B2606" s="52">
        <v>1747</v>
      </c>
      <c r="C2606" s="8" t="s">
        <v>1945</v>
      </c>
      <c r="D2606" s="8" t="s">
        <v>93</v>
      </c>
      <c r="E2606" s="52">
        <v>1949</v>
      </c>
      <c r="F2606" s="13"/>
      <c r="G2606" s="13">
        <v>3619.06</v>
      </c>
    </row>
    <row r="2607" spans="1:7" hidden="1" x14ac:dyDescent="0.75">
      <c r="A2607" s="51">
        <v>44953</v>
      </c>
      <c r="B2607" s="52">
        <v>1747</v>
      </c>
      <c r="C2607" s="8" t="s">
        <v>1946</v>
      </c>
      <c r="D2607" s="8" t="s">
        <v>93</v>
      </c>
      <c r="E2607" s="52">
        <v>1949</v>
      </c>
      <c r="F2607" s="13"/>
      <c r="G2607" s="13">
        <v>278.38</v>
      </c>
    </row>
    <row r="2608" spans="1:7" hidden="1" x14ac:dyDescent="0.75">
      <c r="A2608" s="51">
        <v>44953</v>
      </c>
      <c r="B2608" s="52">
        <v>1747</v>
      </c>
      <c r="C2608" s="8" t="s">
        <v>1948</v>
      </c>
      <c r="D2608" s="8" t="s">
        <v>93</v>
      </c>
      <c r="E2608" s="52">
        <v>1949</v>
      </c>
      <c r="F2608" s="13"/>
      <c r="G2608" s="13">
        <v>1362.95</v>
      </c>
    </row>
    <row r="2609" spans="1:7" hidden="1" x14ac:dyDescent="0.75">
      <c r="A2609" s="51">
        <v>44954</v>
      </c>
      <c r="B2609" s="52">
        <v>1747</v>
      </c>
      <c r="C2609" s="8" t="s">
        <v>3106</v>
      </c>
      <c r="D2609" s="8" t="s">
        <v>93</v>
      </c>
      <c r="E2609" s="52">
        <v>408</v>
      </c>
      <c r="F2609" s="13">
        <v>898.35</v>
      </c>
      <c r="G2609" s="13"/>
    </row>
    <row r="2610" spans="1:7" hidden="1" x14ac:dyDescent="0.75">
      <c r="A2610" s="51">
        <v>44956</v>
      </c>
      <c r="B2610" s="52">
        <v>1747</v>
      </c>
      <c r="C2610" s="8" t="s">
        <v>3107</v>
      </c>
      <c r="D2610" s="8" t="s">
        <v>93</v>
      </c>
      <c r="E2610" s="52">
        <v>408</v>
      </c>
      <c r="F2610" s="13">
        <v>649.70000000000005</v>
      </c>
      <c r="G2610" s="13"/>
    </row>
    <row r="2611" spans="1:7" hidden="1" x14ac:dyDescent="0.75">
      <c r="A2611" s="51">
        <v>44957</v>
      </c>
      <c r="B2611" s="52">
        <v>1747</v>
      </c>
      <c r="C2611" s="8" t="s">
        <v>3108</v>
      </c>
      <c r="D2611" s="8" t="s">
        <v>93</v>
      </c>
      <c r="E2611" s="52">
        <v>408</v>
      </c>
      <c r="F2611" s="13">
        <v>1147.55</v>
      </c>
      <c r="G2611" s="13"/>
    </row>
    <row r="2612" spans="1:7" hidden="1" x14ac:dyDescent="0.75">
      <c r="A2612" s="51">
        <v>44957</v>
      </c>
      <c r="B2612" s="52">
        <v>1747</v>
      </c>
      <c r="C2612" s="8" t="s">
        <v>3109</v>
      </c>
      <c r="D2612" s="8" t="s">
        <v>93</v>
      </c>
      <c r="E2612" s="52">
        <v>408</v>
      </c>
      <c r="F2612" s="13">
        <v>1429.8</v>
      </c>
      <c r="G2612" s="13"/>
    </row>
    <row r="2613" spans="1:7" hidden="1" x14ac:dyDescent="0.75">
      <c r="A2613" s="51">
        <v>44928</v>
      </c>
      <c r="B2613" s="52">
        <v>1789</v>
      </c>
      <c r="C2613" s="8" t="s">
        <v>3110</v>
      </c>
      <c r="D2613" s="8" t="s">
        <v>95</v>
      </c>
      <c r="E2613" s="52">
        <v>408</v>
      </c>
      <c r="F2613" s="13">
        <v>364.5</v>
      </c>
      <c r="G2613" s="13"/>
    </row>
    <row r="2614" spans="1:7" hidden="1" x14ac:dyDescent="0.75">
      <c r="A2614" s="51">
        <v>44930</v>
      </c>
      <c r="B2614" s="52">
        <v>1789</v>
      </c>
      <c r="C2614" s="8" t="s">
        <v>3111</v>
      </c>
      <c r="D2614" s="8" t="s">
        <v>95</v>
      </c>
      <c r="E2614" s="52">
        <v>408</v>
      </c>
      <c r="F2614" s="13">
        <v>306</v>
      </c>
      <c r="G2614" s="13"/>
    </row>
    <row r="2615" spans="1:7" hidden="1" x14ac:dyDescent="0.75">
      <c r="A2615" s="51">
        <v>44932</v>
      </c>
      <c r="B2615" s="52">
        <v>1789</v>
      </c>
      <c r="C2615" s="8" t="s">
        <v>3112</v>
      </c>
      <c r="D2615" s="8" t="s">
        <v>95</v>
      </c>
      <c r="E2615" s="52">
        <v>408</v>
      </c>
      <c r="F2615" s="13">
        <v>384.5</v>
      </c>
      <c r="G2615" s="13"/>
    </row>
    <row r="2616" spans="1:7" hidden="1" x14ac:dyDescent="0.75">
      <c r="A2616" s="51">
        <v>44935</v>
      </c>
      <c r="B2616" s="52">
        <v>1789</v>
      </c>
      <c r="C2616" s="8" t="s">
        <v>3113</v>
      </c>
      <c r="D2616" s="8" t="s">
        <v>95</v>
      </c>
      <c r="E2616" s="52">
        <v>408</v>
      </c>
      <c r="F2616" s="13">
        <v>306</v>
      </c>
      <c r="G2616" s="13"/>
    </row>
    <row r="2617" spans="1:7" hidden="1" x14ac:dyDescent="0.75">
      <c r="A2617" s="51">
        <v>44937</v>
      </c>
      <c r="B2617" s="52">
        <v>1789</v>
      </c>
      <c r="C2617" s="8" t="s">
        <v>3114</v>
      </c>
      <c r="D2617" s="8" t="s">
        <v>95</v>
      </c>
      <c r="E2617" s="52">
        <v>408</v>
      </c>
      <c r="F2617" s="13">
        <v>350.5</v>
      </c>
      <c r="G2617" s="13"/>
    </row>
    <row r="2618" spans="1:7" hidden="1" x14ac:dyDescent="0.75">
      <c r="A2618" s="51">
        <v>44938</v>
      </c>
      <c r="B2618" s="52">
        <v>1789</v>
      </c>
      <c r="C2618" s="8" t="s">
        <v>1403</v>
      </c>
      <c r="D2618" s="8" t="s">
        <v>95</v>
      </c>
      <c r="E2618" s="52">
        <v>5</v>
      </c>
      <c r="F2618" s="13"/>
      <c r="G2618" s="13">
        <v>298.5</v>
      </c>
    </row>
    <row r="2619" spans="1:7" hidden="1" x14ac:dyDescent="0.75">
      <c r="A2619" s="51">
        <v>44938</v>
      </c>
      <c r="B2619" s="52">
        <v>1789</v>
      </c>
      <c r="C2619" s="8" t="s">
        <v>1404</v>
      </c>
      <c r="D2619" s="8" t="s">
        <v>95</v>
      </c>
      <c r="E2619" s="52">
        <v>5</v>
      </c>
      <c r="F2619" s="13"/>
      <c r="G2619" s="13">
        <v>680.5</v>
      </c>
    </row>
    <row r="2620" spans="1:7" hidden="1" x14ac:dyDescent="0.75">
      <c r="A2620" s="51">
        <v>44938</v>
      </c>
      <c r="B2620" s="52">
        <v>1789</v>
      </c>
      <c r="C2620" s="8" t="s">
        <v>1405</v>
      </c>
      <c r="D2620" s="8" t="s">
        <v>95</v>
      </c>
      <c r="E2620" s="52">
        <v>5</v>
      </c>
      <c r="F2620" s="13"/>
      <c r="G2620" s="13">
        <v>364.5</v>
      </c>
    </row>
    <row r="2621" spans="1:7" hidden="1" x14ac:dyDescent="0.75">
      <c r="A2621" s="51">
        <v>44938</v>
      </c>
      <c r="B2621" s="52">
        <v>1789</v>
      </c>
      <c r="C2621" s="8" t="s">
        <v>1406</v>
      </c>
      <c r="D2621" s="8" t="s">
        <v>95</v>
      </c>
      <c r="E2621" s="52">
        <v>5</v>
      </c>
      <c r="F2621" s="13"/>
      <c r="G2621" s="13">
        <v>314.5</v>
      </c>
    </row>
    <row r="2622" spans="1:7" hidden="1" x14ac:dyDescent="0.75">
      <c r="A2622" s="51">
        <v>44938</v>
      </c>
      <c r="B2622" s="52">
        <v>1789</v>
      </c>
      <c r="C2622" s="8" t="s">
        <v>1407</v>
      </c>
      <c r="D2622" s="8" t="s">
        <v>95</v>
      </c>
      <c r="E2622" s="52">
        <v>5</v>
      </c>
      <c r="F2622" s="13"/>
      <c r="G2622" s="13">
        <v>314.5</v>
      </c>
    </row>
    <row r="2623" spans="1:7" hidden="1" x14ac:dyDescent="0.75">
      <c r="A2623" s="51">
        <v>44938</v>
      </c>
      <c r="B2623" s="52">
        <v>1789</v>
      </c>
      <c r="C2623" s="8" t="s">
        <v>1408</v>
      </c>
      <c r="D2623" s="8" t="s">
        <v>95</v>
      </c>
      <c r="E2623" s="52">
        <v>5</v>
      </c>
      <c r="F2623" s="13"/>
      <c r="G2623" s="13">
        <v>314.5</v>
      </c>
    </row>
    <row r="2624" spans="1:7" hidden="1" x14ac:dyDescent="0.75">
      <c r="A2624" s="51">
        <v>44938</v>
      </c>
      <c r="B2624" s="52">
        <v>1789</v>
      </c>
      <c r="C2624" s="8" t="s">
        <v>1409</v>
      </c>
      <c r="D2624" s="8" t="s">
        <v>95</v>
      </c>
      <c r="E2624" s="52">
        <v>5</v>
      </c>
      <c r="F2624" s="13"/>
      <c r="G2624" s="13">
        <v>364.5</v>
      </c>
    </row>
    <row r="2625" spans="1:7" hidden="1" x14ac:dyDescent="0.75">
      <c r="A2625" s="51">
        <v>44938</v>
      </c>
      <c r="B2625" s="52">
        <v>1789</v>
      </c>
      <c r="C2625" s="8" t="s">
        <v>1410</v>
      </c>
      <c r="D2625" s="8" t="s">
        <v>95</v>
      </c>
      <c r="E2625" s="52">
        <v>5</v>
      </c>
      <c r="F2625" s="13"/>
      <c r="G2625" s="13">
        <v>306</v>
      </c>
    </row>
    <row r="2626" spans="1:7" hidden="1" x14ac:dyDescent="0.75">
      <c r="A2626" s="51">
        <v>44938</v>
      </c>
      <c r="B2626" s="52">
        <v>1789</v>
      </c>
      <c r="C2626" s="8" t="s">
        <v>1411</v>
      </c>
      <c r="D2626" s="8" t="s">
        <v>95</v>
      </c>
      <c r="E2626" s="52">
        <v>5</v>
      </c>
      <c r="F2626" s="13"/>
      <c r="G2626" s="13">
        <v>384.5</v>
      </c>
    </row>
    <row r="2627" spans="1:7" hidden="1" x14ac:dyDescent="0.75">
      <c r="A2627" s="51">
        <v>44940</v>
      </c>
      <c r="B2627" s="52">
        <v>1789</v>
      </c>
      <c r="C2627" s="8" t="s">
        <v>3115</v>
      </c>
      <c r="D2627" s="8" t="s">
        <v>95</v>
      </c>
      <c r="E2627" s="52">
        <v>408</v>
      </c>
      <c r="F2627" s="13">
        <v>325</v>
      </c>
      <c r="G2627" s="13"/>
    </row>
    <row r="2628" spans="1:7" hidden="1" x14ac:dyDescent="0.75">
      <c r="A2628" s="51">
        <v>44943</v>
      </c>
      <c r="B2628" s="52">
        <v>1789</v>
      </c>
      <c r="C2628" s="8" t="s">
        <v>3116</v>
      </c>
      <c r="D2628" s="8" t="s">
        <v>95</v>
      </c>
      <c r="E2628" s="52">
        <v>408</v>
      </c>
      <c r="F2628" s="13">
        <v>325</v>
      </c>
      <c r="G2628" s="13"/>
    </row>
    <row r="2629" spans="1:7" hidden="1" x14ac:dyDescent="0.75">
      <c r="A2629" s="51">
        <v>44945</v>
      </c>
      <c r="B2629" s="52">
        <v>1789</v>
      </c>
      <c r="C2629" s="8" t="s">
        <v>3117</v>
      </c>
      <c r="D2629" s="8" t="s">
        <v>95</v>
      </c>
      <c r="E2629" s="52">
        <v>408</v>
      </c>
      <c r="F2629" s="13">
        <v>325</v>
      </c>
      <c r="G2629" s="13"/>
    </row>
    <row r="2630" spans="1:7" hidden="1" x14ac:dyDescent="0.75">
      <c r="A2630" s="51">
        <v>44947</v>
      </c>
      <c r="B2630" s="52">
        <v>1789</v>
      </c>
      <c r="C2630" s="8" t="s">
        <v>3118</v>
      </c>
      <c r="D2630" s="8" t="s">
        <v>95</v>
      </c>
      <c r="E2630" s="52">
        <v>408</v>
      </c>
      <c r="F2630" s="13">
        <v>384.5</v>
      </c>
      <c r="G2630" s="13"/>
    </row>
    <row r="2631" spans="1:7" hidden="1" x14ac:dyDescent="0.75">
      <c r="A2631" s="51">
        <v>44950</v>
      </c>
      <c r="B2631" s="52">
        <v>1789</v>
      </c>
      <c r="C2631" s="8" t="s">
        <v>3119</v>
      </c>
      <c r="D2631" s="8" t="s">
        <v>95</v>
      </c>
      <c r="E2631" s="52">
        <v>408</v>
      </c>
      <c r="F2631" s="13">
        <v>384.5</v>
      </c>
      <c r="G2631" s="13"/>
    </row>
    <row r="2632" spans="1:7" hidden="1" x14ac:dyDescent="0.75">
      <c r="A2632" s="51">
        <v>44952</v>
      </c>
      <c r="B2632" s="52">
        <v>1789</v>
      </c>
      <c r="C2632" s="8" t="s">
        <v>3120</v>
      </c>
      <c r="D2632" s="8" t="s">
        <v>95</v>
      </c>
      <c r="E2632" s="52">
        <v>408</v>
      </c>
      <c r="F2632" s="13">
        <v>384.5</v>
      </c>
      <c r="G2632" s="13"/>
    </row>
    <row r="2633" spans="1:7" hidden="1" x14ac:dyDescent="0.75">
      <c r="A2633" s="51">
        <v>44954</v>
      </c>
      <c r="B2633" s="52">
        <v>1789</v>
      </c>
      <c r="C2633" s="8" t="s">
        <v>3121</v>
      </c>
      <c r="D2633" s="8" t="s">
        <v>95</v>
      </c>
      <c r="E2633" s="52">
        <v>408</v>
      </c>
      <c r="F2633" s="13">
        <v>384.5</v>
      </c>
      <c r="G2633" s="13"/>
    </row>
    <row r="2634" spans="1:7" hidden="1" x14ac:dyDescent="0.75">
      <c r="A2634" s="51">
        <v>44957</v>
      </c>
      <c r="B2634" s="52">
        <v>1789</v>
      </c>
      <c r="C2634" s="8" t="s">
        <v>3122</v>
      </c>
      <c r="D2634" s="8" t="s">
        <v>95</v>
      </c>
      <c r="E2634" s="52">
        <v>408</v>
      </c>
      <c r="F2634" s="13">
        <v>374</v>
      </c>
      <c r="G2634" s="13"/>
    </row>
    <row r="2635" spans="1:7" hidden="1" x14ac:dyDescent="0.75">
      <c r="A2635" s="51">
        <v>44957</v>
      </c>
      <c r="B2635" s="52">
        <v>1789</v>
      </c>
      <c r="C2635" s="8" t="s">
        <v>1458</v>
      </c>
      <c r="D2635" s="8" t="s">
        <v>95</v>
      </c>
      <c r="E2635" s="52">
        <v>5</v>
      </c>
      <c r="F2635" s="13"/>
      <c r="G2635" s="13">
        <v>297</v>
      </c>
    </row>
    <row r="2636" spans="1:7" hidden="1" x14ac:dyDescent="0.75">
      <c r="A2636" s="51">
        <v>44957</v>
      </c>
      <c r="B2636" s="52">
        <v>1789</v>
      </c>
      <c r="C2636" s="8" t="s">
        <v>1459</v>
      </c>
      <c r="D2636" s="8" t="s">
        <v>95</v>
      </c>
      <c r="E2636" s="52">
        <v>5</v>
      </c>
      <c r="F2636" s="13"/>
      <c r="G2636" s="13">
        <v>350.5</v>
      </c>
    </row>
    <row r="2637" spans="1:7" hidden="1" x14ac:dyDescent="0.75">
      <c r="A2637" s="51">
        <v>44957</v>
      </c>
      <c r="B2637" s="52">
        <v>1789</v>
      </c>
      <c r="C2637" s="8" t="s">
        <v>1460</v>
      </c>
      <c r="D2637" s="8" t="s">
        <v>95</v>
      </c>
      <c r="E2637" s="52">
        <v>5</v>
      </c>
      <c r="F2637" s="13"/>
      <c r="G2637" s="13">
        <v>325</v>
      </c>
    </row>
    <row r="2638" spans="1:7" hidden="1" x14ac:dyDescent="0.75">
      <c r="A2638" s="51">
        <v>44957</v>
      </c>
      <c r="B2638" s="52">
        <v>1789</v>
      </c>
      <c r="C2638" s="8" t="s">
        <v>1461</v>
      </c>
      <c r="D2638" s="8" t="s">
        <v>95</v>
      </c>
      <c r="E2638" s="52">
        <v>5</v>
      </c>
      <c r="F2638" s="13"/>
      <c r="G2638" s="13">
        <v>325</v>
      </c>
    </row>
    <row r="2639" spans="1:7" hidden="1" x14ac:dyDescent="0.75">
      <c r="A2639" s="51">
        <v>44957</v>
      </c>
      <c r="B2639" s="52">
        <v>1789</v>
      </c>
      <c r="C2639" s="8" t="s">
        <v>1462</v>
      </c>
      <c r="D2639" s="8" t="s">
        <v>95</v>
      </c>
      <c r="E2639" s="52">
        <v>5</v>
      </c>
      <c r="F2639" s="13"/>
      <c r="G2639" s="13">
        <v>325</v>
      </c>
    </row>
    <row r="2640" spans="1:7" hidden="1" x14ac:dyDescent="0.75">
      <c r="A2640" s="51">
        <v>44957</v>
      </c>
      <c r="B2640" s="52">
        <v>1789</v>
      </c>
      <c r="C2640" s="8" t="s">
        <v>1463</v>
      </c>
      <c r="D2640" s="8" t="s">
        <v>95</v>
      </c>
      <c r="E2640" s="52">
        <v>5</v>
      </c>
      <c r="F2640" s="13"/>
      <c r="G2640" s="13">
        <v>384.5</v>
      </c>
    </row>
    <row r="2641" spans="1:7" hidden="1" x14ac:dyDescent="0.75">
      <c r="A2641" s="51">
        <v>44957</v>
      </c>
      <c r="B2641" s="52">
        <v>1789</v>
      </c>
      <c r="C2641" s="8" t="s">
        <v>1464</v>
      </c>
      <c r="D2641" s="8" t="s">
        <v>95</v>
      </c>
      <c r="E2641" s="52">
        <v>5</v>
      </c>
      <c r="F2641" s="13"/>
      <c r="G2641" s="13">
        <v>384.5</v>
      </c>
    </row>
    <row r="2642" spans="1:7" hidden="1" x14ac:dyDescent="0.75">
      <c r="A2642" s="51">
        <v>44957</v>
      </c>
      <c r="B2642" s="52">
        <v>1789</v>
      </c>
      <c r="C2642" s="8" t="s">
        <v>1465</v>
      </c>
      <c r="D2642" s="8" t="s">
        <v>95</v>
      </c>
      <c r="E2642" s="52">
        <v>5</v>
      </c>
      <c r="F2642" s="13"/>
      <c r="G2642" s="13">
        <v>384.5</v>
      </c>
    </row>
    <row r="2643" spans="1:7" hidden="1" x14ac:dyDescent="0.75">
      <c r="A2643" s="51">
        <v>44957</v>
      </c>
      <c r="B2643" s="52">
        <v>1789</v>
      </c>
      <c r="C2643" s="8" t="s">
        <v>1466</v>
      </c>
      <c r="D2643" s="8" t="s">
        <v>95</v>
      </c>
      <c r="E2643" s="52">
        <v>5</v>
      </c>
      <c r="F2643" s="13"/>
      <c r="G2643" s="13">
        <v>384.5</v>
      </c>
    </row>
    <row r="2644" spans="1:7" hidden="1" x14ac:dyDescent="0.75">
      <c r="A2644" s="51">
        <v>44928</v>
      </c>
      <c r="B2644" s="52">
        <v>1852</v>
      </c>
      <c r="C2644" s="8" t="s">
        <v>3123</v>
      </c>
      <c r="D2644" s="8" t="s">
        <v>102</v>
      </c>
      <c r="E2644" s="52">
        <v>408</v>
      </c>
      <c r="F2644" s="13">
        <v>2611.92</v>
      </c>
      <c r="G2644" s="13"/>
    </row>
    <row r="2645" spans="1:7" hidden="1" x14ac:dyDescent="0.75">
      <c r="A2645" s="51">
        <v>44928</v>
      </c>
      <c r="B2645" s="52">
        <v>1852</v>
      </c>
      <c r="C2645" s="8" t="s">
        <v>1480</v>
      </c>
      <c r="D2645" s="8" t="s">
        <v>102</v>
      </c>
      <c r="E2645" s="52">
        <v>8</v>
      </c>
      <c r="F2645" s="13"/>
      <c r="G2645" s="13">
        <v>2155.37</v>
      </c>
    </row>
    <row r="2646" spans="1:7" hidden="1" x14ac:dyDescent="0.75">
      <c r="A2646" s="51">
        <v>44930</v>
      </c>
      <c r="B2646" s="52">
        <v>1852</v>
      </c>
      <c r="C2646" s="8" t="s">
        <v>3124</v>
      </c>
      <c r="D2646" s="8" t="s">
        <v>102</v>
      </c>
      <c r="E2646" s="52">
        <v>408</v>
      </c>
      <c r="F2646" s="13">
        <v>2293.9499999999998</v>
      </c>
      <c r="G2646" s="13"/>
    </row>
    <row r="2647" spans="1:7" hidden="1" x14ac:dyDescent="0.75">
      <c r="A2647" s="51">
        <v>44930</v>
      </c>
      <c r="B2647" s="52">
        <v>1852</v>
      </c>
      <c r="C2647" s="8" t="s">
        <v>3125</v>
      </c>
      <c r="D2647" s="8" t="s">
        <v>102</v>
      </c>
      <c r="E2647" s="52">
        <v>408</v>
      </c>
      <c r="F2647" s="13">
        <v>89.5</v>
      </c>
      <c r="G2647" s="13"/>
    </row>
    <row r="2648" spans="1:7" hidden="1" x14ac:dyDescent="0.75">
      <c r="A2648" s="51">
        <v>44931</v>
      </c>
      <c r="B2648" s="52">
        <v>1852</v>
      </c>
      <c r="C2648" s="8" t="s">
        <v>1550</v>
      </c>
      <c r="D2648" s="8" t="s">
        <v>102</v>
      </c>
      <c r="E2648" s="52">
        <v>8</v>
      </c>
      <c r="F2648" s="13"/>
      <c r="G2648" s="13">
        <v>2998.72</v>
      </c>
    </row>
    <row r="2649" spans="1:7" hidden="1" x14ac:dyDescent="0.75">
      <c r="A2649" s="51">
        <v>44932</v>
      </c>
      <c r="B2649" s="52">
        <v>1852</v>
      </c>
      <c r="C2649" s="8" t="s">
        <v>3126</v>
      </c>
      <c r="D2649" s="8" t="s">
        <v>102</v>
      </c>
      <c r="E2649" s="52">
        <v>408</v>
      </c>
      <c r="F2649" s="13">
        <v>2532.71</v>
      </c>
      <c r="G2649" s="13"/>
    </row>
    <row r="2650" spans="1:7" hidden="1" x14ac:dyDescent="0.75">
      <c r="A2650" s="51">
        <v>44935</v>
      </c>
      <c r="B2650" s="52">
        <v>1852</v>
      </c>
      <c r="C2650" s="8" t="s">
        <v>3127</v>
      </c>
      <c r="D2650" s="8" t="s">
        <v>102</v>
      </c>
      <c r="E2650" s="52">
        <v>408</v>
      </c>
      <c r="F2650" s="13">
        <v>1777.63</v>
      </c>
      <c r="G2650" s="13"/>
    </row>
    <row r="2651" spans="1:7" hidden="1" x14ac:dyDescent="0.75">
      <c r="A2651" s="51">
        <v>44935</v>
      </c>
      <c r="B2651" s="52">
        <v>1852</v>
      </c>
      <c r="C2651" s="8" t="s">
        <v>1577</v>
      </c>
      <c r="D2651" s="8" t="s">
        <v>102</v>
      </c>
      <c r="E2651" s="52">
        <v>8</v>
      </c>
      <c r="F2651" s="13"/>
      <c r="G2651" s="13">
        <v>2611.92</v>
      </c>
    </row>
    <row r="2652" spans="1:7" hidden="1" x14ac:dyDescent="0.75">
      <c r="A2652" s="51">
        <v>44937</v>
      </c>
      <c r="B2652" s="52">
        <v>1852</v>
      </c>
      <c r="C2652" s="8" t="s">
        <v>1636</v>
      </c>
      <c r="D2652" s="8" t="s">
        <v>102</v>
      </c>
      <c r="E2652" s="52">
        <v>8</v>
      </c>
      <c r="F2652" s="13"/>
      <c r="G2652" s="13">
        <v>89.5</v>
      </c>
    </row>
    <row r="2653" spans="1:7" hidden="1" x14ac:dyDescent="0.75">
      <c r="A2653" s="51">
        <v>44937</v>
      </c>
      <c r="B2653" s="52">
        <v>1852</v>
      </c>
      <c r="C2653" s="8" t="s">
        <v>1637</v>
      </c>
      <c r="D2653" s="8" t="s">
        <v>102</v>
      </c>
      <c r="E2653" s="52">
        <v>8</v>
      </c>
      <c r="F2653" s="13"/>
      <c r="G2653" s="13">
        <v>2293.9499999999998</v>
      </c>
    </row>
    <row r="2654" spans="1:7" hidden="1" x14ac:dyDescent="0.75">
      <c r="A2654" s="51">
        <v>44939</v>
      </c>
      <c r="B2654" s="52">
        <v>1852</v>
      </c>
      <c r="C2654" s="8" t="s">
        <v>1659</v>
      </c>
      <c r="D2654" s="8" t="s">
        <v>102</v>
      </c>
      <c r="E2654" s="52">
        <v>8</v>
      </c>
      <c r="F2654" s="13"/>
      <c r="G2654" s="13">
        <v>2532.71</v>
      </c>
    </row>
    <row r="2655" spans="1:7" hidden="1" x14ac:dyDescent="0.75">
      <c r="A2655" s="51">
        <v>44942</v>
      </c>
      <c r="B2655" s="52">
        <v>1852</v>
      </c>
      <c r="C2655" s="8" t="s">
        <v>1678</v>
      </c>
      <c r="D2655" s="8" t="s">
        <v>102</v>
      </c>
      <c r="E2655" s="52">
        <v>8</v>
      </c>
      <c r="F2655" s="13"/>
      <c r="G2655" s="13">
        <v>1777.63</v>
      </c>
    </row>
    <row r="2656" spans="1:7" hidden="1" x14ac:dyDescent="0.75">
      <c r="A2656" s="51">
        <v>44956</v>
      </c>
      <c r="B2656" s="52">
        <v>1977</v>
      </c>
      <c r="C2656" s="8" t="s">
        <v>3128</v>
      </c>
      <c r="D2656" s="8" t="s">
        <v>1339</v>
      </c>
      <c r="E2656" s="52">
        <v>408</v>
      </c>
      <c r="F2656" s="13">
        <v>1079</v>
      </c>
      <c r="G2656" s="13"/>
    </row>
    <row r="2657" spans="1:7" hidden="1" x14ac:dyDescent="0.75">
      <c r="A2657" s="51">
        <v>44949</v>
      </c>
      <c r="B2657" s="52">
        <v>1363</v>
      </c>
      <c r="C2657" s="8" t="s">
        <v>3129</v>
      </c>
      <c r="D2657" s="8" t="s">
        <v>814</v>
      </c>
      <c r="E2657" s="52">
        <v>408</v>
      </c>
      <c r="F2657" s="13">
        <v>1221.25</v>
      </c>
      <c r="G2657" s="13"/>
    </row>
    <row r="2658" spans="1:7" hidden="1" x14ac:dyDescent="0.75">
      <c r="A2658" s="51">
        <v>44949</v>
      </c>
      <c r="B2658" s="52">
        <v>1363</v>
      </c>
      <c r="C2658" s="8" t="s">
        <v>3130</v>
      </c>
      <c r="D2658" s="8" t="s">
        <v>814</v>
      </c>
      <c r="E2658" s="52">
        <v>408</v>
      </c>
      <c r="F2658" s="13">
        <v>1174.6500000000001</v>
      </c>
      <c r="G2658" s="13"/>
    </row>
    <row r="2659" spans="1:7" hidden="1" x14ac:dyDescent="0.75">
      <c r="A2659" s="51">
        <v>44951</v>
      </c>
      <c r="B2659" s="52">
        <v>1363</v>
      </c>
      <c r="C2659" s="8" t="s">
        <v>3131</v>
      </c>
      <c r="D2659" s="8" t="s">
        <v>814</v>
      </c>
      <c r="E2659" s="52">
        <v>408</v>
      </c>
      <c r="F2659" s="13">
        <v>201</v>
      </c>
      <c r="G2659" s="13"/>
    </row>
    <row r="2660" spans="1:7" hidden="1" x14ac:dyDescent="0.75">
      <c r="A2660" s="51">
        <v>44953</v>
      </c>
      <c r="B2660" s="52">
        <v>1363</v>
      </c>
      <c r="C2660" s="8" t="s">
        <v>3132</v>
      </c>
      <c r="D2660" s="8" t="s">
        <v>814</v>
      </c>
      <c r="E2660" s="52">
        <v>408</v>
      </c>
      <c r="F2660" s="13">
        <v>187.5</v>
      </c>
      <c r="G2660" s="13"/>
    </row>
    <row r="2661" spans="1:7" hidden="1" x14ac:dyDescent="0.75">
      <c r="A2661" s="51">
        <v>44956</v>
      </c>
      <c r="B2661" s="52">
        <v>1363</v>
      </c>
      <c r="C2661" s="8" t="s">
        <v>3133</v>
      </c>
      <c r="D2661" s="8" t="s">
        <v>814</v>
      </c>
      <c r="E2661" s="52">
        <v>408</v>
      </c>
      <c r="F2661" s="13">
        <v>384.6</v>
      </c>
      <c r="G2661" s="13"/>
    </row>
    <row r="2662" spans="1:7" hidden="1" x14ac:dyDescent="0.75">
      <c r="A2662" s="51">
        <v>44957</v>
      </c>
      <c r="B2662" s="52">
        <v>1363</v>
      </c>
      <c r="C2662" s="8" t="s">
        <v>1951</v>
      </c>
      <c r="D2662" s="8" t="s">
        <v>814</v>
      </c>
      <c r="E2662" s="52">
        <v>1949</v>
      </c>
      <c r="F2662" s="13"/>
      <c r="G2662" s="13">
        <v>1174.6500000000001</v>
      </c>
    </row>
    <row r="2663" spans="1:7" hidden="1" x14ac:dyDescent="0.75">
      <c r="A2663" s="51">
        <v>44936</v>
      </c>
      <c r="B2663" s="52">
        <v>1428</v>
      </c>
      <c r="C2663" s="8" t="s">
        <v>3134</v>
      </c>
      <c r="D2663" s="8" t="s">
        <v>112</v>
      </c>
      <c r="E2663" s="52">
        <v>1362</v>
      </c>
      <c r="F2663" s="13">
        <v>1257.1099999999999</v>
      </c>
      <c r="G2663" s="13"/>
    </row>
    <row r="2664" spans="1:7" hidden="1" x14ac:dyDescent="0.75">
      <c r="A2664" s="51">
        <v>44936</v>
      </c>
      <c r="B2664" s="52">
        <v>1428</v>
      </c>
      <c r="C2664" s="8" t="s">
        <v>3135</v>
      </c>
      <c r="D2664" s="8" t="s">
        <v>112</v>
      </c>
      <c r="E2664" s="52">
        <v>1362</v>
      </c>
      <c r="F2664" s="13">
        <v>2134.7800000000002</v>
      </c>
      <c r="G2664" s="13"/>
    </row>
    <row r="2665" spans="1:7" hidden="1" x14ac:dyDescent="0.75">
      <c r="A2665" s="51">
        <v>44936</v>
      </c>
      <c r="B2665" s="52">
        <v>1428</v>
      </c>
      <c r="C2665" s="8" t="s">
        <v>3136</v>
      </c>
      <c r="D2665" s="8" t="s">
        <v>112</v>
      </c>
      <c r="E2665" s="52">
        <v>1362</v>
      </c>
      <c r="F2665" s="13">
        <v>15229.91</v>
      </c>
      <c r="G2665" s="13"/>
    </row>
    <row r="2666" spans="1:7" hidden="1" x14ac:dyDescent="0.75">
      <c r="A2666" s="51">
        <v>44936</v>
      </c>
      <c r="B2666" s="52">
        <v>1428</v>
      </c>
      <c r="C2666" s="8" t="s">
        <v>3137</v>
      </c>
      <c r="D2666" s="8" t="s">
        <v>112</v>
      </c>
      <c r="E2666" s="52">
        <v>1362</v>
      </c>
      <c r="F2666" s="13">
        <v>5920.84</v>
      </c>
      <c r="G2666" s="13"/>
    </row>
    <row r="2667" spans="1:7" hidden="1" x14ac:dyDescent="0.75">
      <c r="A2667" s="51">
        <v>44936</v>
      </c>
      <c r="B2667" s="52">
        <v>1428</v>
      </c>
      <c r="C2667" s="8" t="s">
        <v>3138</v>
      </c>
      <c r="D2667" s="8" t="s">
        <v>112</v>
      </c>
      <c r="E2667" s="52">
        <v>1362</v>
      </c>
      <c r="F2667" s="13">
        <v>3828.91</v>
      </c>
      <c r="G2667" s="13"/>
    </row>
    <row r="2668" spans="1:7" hidden="1" x14ac:dyDescent="0.75">
      <c r="A2668" s="51">
        <v>44936</v>
      </c>
      <c r="B2668" s="52">
        <v>1428</v>
      </c>
      <c r="C2668" s="8" t="s">
        <v>3139</v>
      </c>
      <c r="D2668" s="8" t="s">
        <v>112</v>
      </c>
      <c r="E2668" s="52">
        <v>1362</v>
      </c>
      <c r="F2668" s="13">
        <v>6644.99</v>
      </c>
      <c r="G2668" s="13"/>
    </row>
    <row r="2669" spans="1:7" hidden="1" x14ac:dyDescent="0.75">
      <c r="A2669" s="51">
        <v>44936</v>
      </c>
      <c r="B2669" s="52">
        <v>1428</v>
      </c>
      <c r="C2669" s="8" t="s">
        <v>3140</v>
      </c>
      <c r="D2669" s="8" t="s">
        <v>112</v>
      </c>
      <c r="E2669" s="52">
        <v>1362</v>
      </c>
      <c r="F2669" s="13">
        <v>19007.66</v>
      </c>
      <c r="G2669" s="13"/>
    </row>
    <row r="2670" spans="1:7" hidden="1" x14ac:dyDescent="0.75">
      <c r="A2670" s="51">
        <v>44936</v>
      </c>
      <c r="B2670" s="52">
        <v>1428</v>
      </c>
      <c r="C2670" s="8" t="s">
        <v>3141</v>
      </c>
      <c r="D2670" s="8" t="s">
        <v>112</v>
      </c>
      <c r="E2670" s="52">
        <v>1362</v>
      </c>
      <c r="F2670" s="13">
        <v>639.21</v>
      </c>
      <c r="G2670" s="13"/>
    </row>
    <row r="2671" spans="1:7" hidden="1" x14ac:dyDescent="0.75">
      <c r="A2671" s="51">
        <v>44936</v>
      </c>
      <c r="B2671" s="52">
        <v>1428</v>
      </c>
      <c r="C2671" s="8" t="s">
        <v>3142</v>
      </c>
      <c r="D2671" s="8" t="s">
        <v>112</v>
      </c>
      <c r="E2671" s="52">
        <v>1362</v>
      </c>
      <c r="F2671" s="13">
        <v>8041.12</v>
      </c>
      <c r="G2671" s="13"/>
    </row>
    <row r="2672" spans="1:7" hidden="1" x14ac:dyDescent="0.75">
      <c r="A2672" s="51">
        <v>44936</v>
      </c>
      <c r="B2672" s="52">
        <v>1428</v>
      </c>
      <c r="C2672" s="8" t="s">
        <v>3143</v>
      </c>
      <c r="D2672" s="8" t="s">
        <v>112</v>
      </c>
      <c r="E2672" s="52">
        <v>1362</v>
      </c>
      <c r="F2672" s="13">
        <v>6700.82</v>
      </c>
      <c r="G2672" s="13"/>
    </row>
    <row r="2673" spans="1:7" hidden="1" x14ac:dyDescent="0.75">
      <c r="A2673" s="51">
        <v>44936</v>
      </c>
      <c r="B2673" s="52">
        <v>1428</v>
      </c>
      <c r="C2673" s="8" t="s">
        <v>3144</v>
      </c>
      <c r="D2673" s="8" t="s">
        <v>112</v>
      </c>
      <c r="E2673" s="52">
        <v>1362</v>
      </c>
      <c r="F2673" s="13">
        <v>1479.46</v>
      </c>
      <c r="G2673" s="13"/>
    </row>
    <row r="2674" spans="1:7" hidden="1" x14ac:dyDescent="0.75">
      <c r="A2674" s="51">
        <v>44936</v>
      </c>
      <c r="B2674" s="52">
        <v>1428</v>
      </c>
      <c r="C2674" s="8" t="s">
        <v>3145</v>
      </c>
      <c r="D2674" s="8" t="s">
        <v>112</v>
      </c>
      <c r="E2674" s="52">
        <v>1362</v>
      </c>
      <c r="F2674" s="13">
        <v>1111.25</v>
      </c>
      <c r="G2674" s="13"/>
    </row>
    <row r="2675" spans="1:7" hidden="1" x14ac:dyDescent="0.75">
      <c r="A2675" s="51">
        <v>44936</v>
      </c>
      <c r="B2675" s="52">
        <v>1428</v>
      </c>
      <c r="C2675" s="8" t="s">
        <v>3146</v>
      </c>
      <c r="D2675" s="8" t="s">
        <v>112</v>
      </c>
      <c r="E2675" s="52">
        <v>1362</v>
      </c>
      <c r="F2675" s="13">
        <v>341.31</v>
      </c>
      <c r="G2675" s="13"/>
    </row>
    <row r="2676" spans="1:7" hidden="1" x14ac:dyDescent="0.75">
      <c r="A2676" s="51">
        <v>44936</v>
      </c>
      <c r="B2676" s="52">
        <v>1428</v>
      </c>
      <c r="C2676" s="8" t="s">
        <v>3147</v>
      </c>
      <c r="D2676" s="8" t="s">
        <v>112</v>
      </c>
      <c r="E2676" s="52">
        <v>1362</v>
      </c>
      <c r="F2676" s="13">
        <v>722.36</v>
      </c>
      <c r="G2676" s="13"/>
    </row>
    <row r="2677" spans="1:7" hidden="1" x14ac:dyDescent="0.75">
      <c r="A2677" s="51">
        <v>44943</v>
      </c>
      <c r="B2677" s="52">
        <v>1428</v>
      </c>
      <c r="C2677" s="8" t="s">
        <v>3148</v>
      </c>
      <c r="D2677" s="8" t="s">
        <v>112</v>
      </c>
      <c r="E2677" s="52">
        <v>1362</v>
      </c>
      <c r="F2677" s="13">
        <v>30983.61</v>
      </c>
      <c r="G2677" s="13"/>
    </row>
    <row r="2678" spans="1:7" hidden="1" x14ac:dyDescent="0.75">
      <c r="A2678" s="51">
        <v>44957</v>
      </c>
      <c r="B2678" s="52">
        <v>1428</v>
      </c>
      <c r="C2678" s="8" t="s">
        <v>994</v>
      </c>
      <c r="D2678" s="8" t="s">
        <v>112</v>
      </c>
      <c r="E2678" s="52">
        <v>1639</v>
      </c>
      <c r="F2678" s="13"/>
      <c r="G2678" s="13">
        <v>93893.34</v>
      </c>
    </row>
    <row r="2679" spans="1:7" hidden="1" x14ac:dyDescent="0.75">
      <c r="A2679" s="51">
        <v>44957</v>
      </c>
      <c r="B2679" s="52">
        <v>1428</v>
      </c>
      <c r="C2679" s="8" t="s">
        <v>995</v>
      </c>
      <c r="D2679" s="8" t="s">
        <v>112</v>
      </c>
      <c r="E2679" s="52">
        <v>1639</v>
      </c>
      <c r="F2679" s="13"/>
      <c r="G2679" s="13">
        <v>1948.03</v>
      </c>
    </row>
    <row r="2680" spans="1:7" hidden="1" x14ac:dyDescent="0.75">
      <c r="A2680" s="51">
        <v>44936</v>
      </c>
      <c r="B2680" s="52">
        <v>1424</v>
      </c>
      <c r="C2680" s="8" t="s">
        <v>3149</v>
      </c>
      <c r="D2680" s="8" t="s">
        <v>114</v>
      </c>
      <c r="E2680" s="52">
        <v>1362</v>
      </c>
      <c r="F2680" s="13">
        <v>11467.95</v>
      </c>
      <c r="G2680" s="13"/>
    </row>
    <row r="2681" spans="1:7" hidden="1" x14ac:dyDescent="0.75">
      <c r="A2681" s="51">
        <v>44936</v>
      </c>
      <c r="B2681" s="52">
        <v>1424</v>
      </c>
      <c r="C2681" s="8" t="s">
        <v>3150</v>
      </c>
      <c r="D2681" s="8" t="s">
        <v>114</v>
      </c>
      <c r="E2681" s="52">
        <v>1362</v>
      </c>
      <c r="F2681" s="13">
        <v>3849.28</v>
      </c>
      <c r="G2681" s="13"/>
    </row>
    <row r="2682" spans="1:7" hidden="1" x14ac:dyDescent="0.75">
      <c r="A2682" s="51">
        <v>44936</v>
      </c>
      <c r="B2682" s="52">
        <v>1424</v>
      </c>
      <c r="C2682" s="8" t="s">
        <v>3151</v>
      </c>
      <c r="D2682" s="8" t="s">
        <v>114</v>
      </c>
      <c r="E2682" s="52">
        <v>1362</v>
      </c>
      <c r="F2682" s="13">
        <v>1076.4000000000001</v>
      </c>
      <c r="G2682" s="13"/>
    </row>
    <row r="2683" spans="1:7" hidden="1" x14ac:dyDescent="0.75">
      <c r="A2683" s="51">
        <v>44936</v>
      </c>
      <c r="B2683" s="52">
        <v>1424</v>
      </c>
      <c r="C2683" s="8" t="s">
        <v>3152</v>
      </c>
      <c r="D2683" s="8" t="s">
        <v>114</v>
      </c>
      <c r="E2683" s="52">
        <v>1362</v>
      </c>
      <c r="F2683" s="13">
        <v>3934.43</v>
      </c>
      <c r="G2683" s="13"/>
    </row>
    <row r="2684" spans="1:7" hidden="1" x14ac:dyDescent="0.75">
      <c r="A2684" s="51">
        <v>44956</v>
      </c>
      <c r="B2684" s="52">
        <v>1424</v>
      </c>
      <c r="C2684" s="8" t="s">
        <v>3153</v>
      </c>
      <c r="D2684" s="8" t="s">
        <v>114</v>
      </c>
      <c r="E2684" s="52">
        <v>1362</v>
      </c>
      <c r="F2684" s="13">
        <v>8487.7900000000009</v>
      </c>
      <c r="G2684" s="13"/>
    </row>
    <row r="2685" spans="1:7" hidden="1" x14ac:dyDescent="0.75">
      <c r="A2685" s="51">
        <v>44956</v>
      </c>
      <c r="B2685" s="52">
        <v>1424</v>
      </c>
      <c r="C2685" s="8" t="s">
        <v>3154</v>
      </c>
      <c r="D2685" s="8" t="s">
        <v>114</v>
      </c>
      <c r="E2685" s="52">
        <v>1362</v>
      </c>
      <c r="F2685" s="13">
        <v>3201.8</v>
      </c>
      <c r="G2685" s="13"/>
    </row>
    <row r="2686" spans="1:7" hidden="1" x14ac:dyDescent="0.75">
      <c r="A2686" s="51">
        <v>44957</v>
      </c>
      <c r="B2686" s="52">
        <v>1424</v>
      </c>
      <c r="C2686" s="8" t="s">
        <v>1333</v>
      </c>
      <c r="D2686" s="8" t="s">
        <v>114</v>
      </c>
      <c r="E2686" s="52">
        <v>1639</v>
      </c>
      <c r="F2686" s="13"/>
      <c r="G2686" s="13">
        <v>16988.43</v>
      </c>
    </row>
    <row r="2687" spans="1:7" hidden="1" x14ac:dyDescent="0.75">
      <c r="A2687" s="51">
        <v>44928</v>
      </c>
      <c r="B2687" s="52">
        <v>1427</v>
      </c>
      <c r="C2687" s="8" t="s">
        <v>3155</v>
      </c>
      <c r="D2687" s="8" t="s">
        <v>116</v>
      </c>
      <c r="E2687" s="52">
        <v>1362</v>
      </c>
      <c r="F2687" s="13">
        <v>6913.35</v>
      </c>
      <c r="G2687" s="13"/>
    </row>
    <row r="2688" spans="1:7" hidden="1" x14ac:dyDescent="0.75">
      <c r="A2688" s="51">
        <v>44946</v>
      </c>
      <c r="B2688" s="52">
        <v>1427</v>
      </c>
      <c r="C2688" s="8" t="s">
        <v>3156</v>
      </c>
      <c r="D2688" s="8" t="s">
        <v>116</v>
      </c>
      <c r="E2688" s="52">
        <v>1362</v>
      </c>
      <c r="F2688" s="13">
        <v>6913.35</v>
      </c>
      <c r="G2688" s="13"/>
    </row>
    <row r="2689" spans="1:7" hidden="1" x14ac:dyDescent="0.75">
      <c r="A2689" s="51">
        <v>44942</v>
      </c>
      <c r="B2689" s="52">
        <v>1398</v>
      </c>
      <c r="C2689" s="8" t="s">
        <v>3157</v>
      </c>
      <c r="D2689" s="8" t="s">
        <v>118</v>
      </c>
      <c r="E2689" s="52">
        <v>1362</v>
      </c>
      <c r="F2689" s="13">
        <v>3737.6</v>
      </c>
      <c r="G2689" s="13"/>
    </row>
    <row r="2690" spans="1:7" hidden="1" x14ac:dyDescent="0.75">
      <c r="A2690" s="51">
        <v>44942</v>
      </c>
      <c r="B2690" s="52">
        <v>1398</v>
      </c>
      <c r="C2690" s="8" t="s">
        <v>3158</v>
      </c>
      <c r="D2690" s="8" t="s">
        <v>118</v>
      </c>
      <c r="E2690" s="52">
        <v>1362</v>
      </c>
      <c r="F2690" s="13">
        <v>746.51</v>
      </c>
      <c r="G2690" s="13"/>
    </row>
    <row r="2691" spans="1:7" hidden="1" x14ac:dyDescent="0.75">
      <c r="A2691" s="51">
        <v>44942</v>
      </c>
      <c r="B2691" s="52">
        <v>1398</v>
      </c>
      <c r="C2691" s="8" t="s">
        <v>3159</v>
      </c>
      <c r="D2691" s="8" t="s">
        <v>118</v>
      </c>
      <c r="E2691" s="52">
        <v>1362</v>
      </c>
      <c r="F2691" s="13">
        <v>191.49</v>
      </c>
      <c r="G2691" s="13"/>
    </row>
    <row r="2692" spans="1:7" hidden="1" x14ac:dyDescent="0.75">
      <c r="A2692" s="51">
        <v>44942</v>
      </c>
      <c r="B2692" s="52">
        <v>1398</v>
      </c>
      <c r="C2692" s="8" t="s">
        <v>3160</v>
      </c>
      <c r="D2692" s="8" t="s">
        <v>118</v>
      </c>
      <c r="E2692" s="52">
        <v>1362</v>
      </c>
      <c r="F2692" s="13">
        <v>3576.63</v>
      </c>
      <c r="G2692" s="13"/>
    </row>
    <row r="2693" spans="1:7" hidden="1" x14ac:dyDescent="0.75">
      <c r="A2693" s="51">
        <v>44942</v>
      </c>
      <c r="B2693" s="52">
        <v>1398</v>
      </c>
      <c r="C2693" s="8" t="s">
        <v>3161</v>
      </c>
      <c r="D2693" s="8" t="s">
        <v>118</v>
      </c>
      <c r="E2693" s="52">
        <v>1362</v>
      </c>
      <c r="F2693" s="13">
        <v>163.5</v>
      </c>
      <c r="G2693" s="13"/>
    </row>
    <row r="2694" spans="1:7" hidden="1" x14ac:dyDescent="0.75">
      <c r="A2694" s="51">
        <v>44942</v>
      </c>
      <c r="B2694" s="52">
        <v>1398</v>
      </c>
      <c r="C2694" s="8" t="s">
        <v>3162</v>
      </c>
      <c r="D2694" s="8" t="s">
        <v>118</v>
      </c>
      <c r="E2694" s="52">
        <v>1362</v>
      </c>
      <c r="F2694" s="13">
        <v>1981.77</v>
      </c>
      <c r="G2694" s="13"/>
    </row>
    <row r="2695" spans="1:7" hidden="1" x14ac:dyDescent="0.75">
      <c r="A2695" s="51">
        <v>44942</v>
      </c>
      <c r="B2695" s="52">
        <v>1398</v>
      </c>
      <c r="C2695" s="8" t="s">
        <v>3163</v>
      </c>
      <c r="D2695" s="8" t="s">
        <v>118</v>
      </c>
      <c r="E2695" s="52">
        <v>1362</v>
      </c>
      <c r="F2695" s="13"/>
      <c r="G2695" s="13">
        <v>125.14</v>
      </c>
    </row>
    <row r="2696" spans="1:7" hidden="1" x14ac:dyDescent="0.75">
      <c r="A2696" s="51">
        <v>44942</v>
      </c>
      <c r="B2696" s="52">
        <v>1398</v>
      </c>
      <c r="C2696" s="8" t="s">
        <v>3164</v>
      </c>
      <c r="D2696" s="8" t="s">
        <v>118</v>
      </c>
      <c r="E2696" s="52">
        <v>1362</v>
      </c>
      <c r="F2696" s="13"/>
      <c r="G2696" s="13">
        <v>21.53</v>
      </c>
    </row>
    <row r="2697" spans="1:7" hidden="1" x14ac:dyDescent="0.75">
      <c r="A2697" s="51">
        <v>44942</v>
      </c>
      <c r="B2697" s="52">
        <v>1398</v>
      </c>
      <c r="C2697" s="8" t="s">
        <v>3165</v>
      </c>
      <c r="D2697" s="8" t="s">
        <v>118</v>
      </c>
      <c r="E2697" s="52">
        <v>1362</v>
      </c>
      <c r="F2697" s="13"/>
      <c r="G2697" s="13">
        <v>55.32</v>
      </c>
    </row>
    <row r="2698" spans="1:7" hidden="1" x14ac:dyDescent="0.75">
      <c r="A2698" s="51">
        <v>44942</v>
      </c>
      <c r="B2698" s="52">
        <v>1398</v>
      </c>
      <c r="C2698" s="8" t="s">
        <v>3166</v>
      </c>
      <c r="D2698" s="8" t="s">
        <v>118</v>
      </c>
      <c r="E2698" s="52">
        <v>1362</v>
      </c>
      <c r="F2698" s="13"/>
      <c r="G2698" s="13">
        <v>77.03</v>
      </c>
    </row>
    <row r="2699" spans="1:7" hidden="1" x14ac:dyDescent="0.75">
      <c r="A2699" s="51">
        <v>44942</v>
      </c>
      <c r="B2699" s="52">
        <v>1398</v>
      </c>
      <c r="C2699" s="8" t="s">
        <v>3167</v>
      </c>
      <c r="D2699" s="8" t="s">
        <v>118</v>
      </c>
      <c r="E2699" s="52">
        <v>1362</v>
      </c>
      <c r="F2699" s="13"/>
      <c r="G2699" s="13">
        <v>125.52</v>
      </c>
    </row>
    <row r="2700" spans="1:7" hidden="1" x14ac:dyDescent="0.75">
      <c r="A2700" s="51">
        <v>44951</v>
      </c>
      <c r="B2700" s="52">
        <v>1398</v>
      </c>
      <c r="C2700" s="8" t="s">
        <v>3168</v>
      </c>
      <c r="D2700" s="8" t="s">
        <v>118</v>
      </c>
      <c r="E2700" s="52">
        <v>1362</v>
      </c>
      <c r="F2700" s="13">
        <v>2782.41</v>
      </c>
      <c r="G2700" s="13"/>
    </row>
    <row r="2701" spans="1:7" hidden="1" x14ac:dyDescent="0.75">
      <c r="A2701" s="51">
        <v>44951</v>
      </c>
      <c r="B2701" s="52">
        <v>1398</v>
      </c>
      <c r="C2701" s="8" t="s">
        <v>3169</v>
      </c>
      <c r="D2701" s="8" t="s">
        <v>118</v>
      </c>
      <c r="E2701" s="52">
        <v>1362</v>
      </c>
      <c r="F2701" s="13">
        <v>1922.43</v>
      </c>
      <c r="G2701" s="13"/>
    </row>
    <row r="2702" spans="1:7" hidden="1" x14ac:dyDescent="0.75">
      <c r="A2702" s="51">
        <v>44951</v>
      </c>
      <c r="B2702" s="52">
        <v>1398</v>
      </c>
      <c r="C2702" s="8" t="s">
        <v>3170</v>
      </c>
      <c r="D2702" s="8" t="s">
        <v>118</v>
      </c>
      <c r="E2702" s="52">
        <v>1362</v>
      </c>
      <c r="F2702" s="13">
        <v>3201.26</v>
      </c>
      <c r="G2702" s="13"/>
    </row>
    <row r="2703" spans="1:7" hidden="1" x14ac:dyDescent="0.75">
      <c r="A2703" s="51">
        <v>44951</v>
      </c>
      <c r="B2703" s="52">
        <v>1398</v>
      </c>
      <c r="C2703" s="8" t="s">
        <v>3171</v>
      </c>
      <c r="D2703" s="8" t="s">
        <v>118</v>
      </c>
      <c r="E2703" s="52">
        <v>1362</v>
      </c>
      <c r="F2703" s="13">
        <v>496.16</v>
      </c>
      <c r="G2703" s="13"/>
    </row>
    <row r="2704" spans="1:7" hidden="1" x14ac:dyDescent="0.75">
      <c r="A2704" s="51">
        <v>44951</v>
      </c>
      <c r="B2704" s="52">
        <v>1398</v>
      </c>
      <c r="C2704" s="8" t="s">
        <v>3172</v>
      </c>
      <c r="D2704" s="8" t="s">
        <v>118</v>
      </c>
      <c r="E2704" s="52">
        <v>1362</v>
      </c>
      <c r="F2704" s="13">
        <v>148.76</v>
      </c>
      <c r="G2704" s="13"/>
    </row>
    <row r="2705" spans="1:7" hidden="1" x14ac:dyDescent="0.75">
      <c r="A2705" s="51">
        <v>44951</v>
      </c>
      <c r="B2705" s="52">
        <v>1398</v>
      </c>
      <c r="C2705" s="8" t="s">
        <v>3173</v>
      </c>
      <c r="D2705" s="8" t="s">
        <v>118</v>
      </c>
      <c r="E2705" s="52">
        <v>1362</v>
      </c>
      <c r="F2705" s="13"/>
      <c r="G2705" s="13">
        <v>100.58</v>
      </c>
    </row>
    <row r="2706" spans="1:7" hidden="1" x14ac:dyDescent="0.75">
      <c r="A2706" s="51">
        <v>44951</v>
      </c>
      <c r="B2706" s="52">
        <v>1398</v>
      </c>
      <c r="C2706" s="8" t="s">
        <v>3174</v>
      </c>
      <c r="D2706" s="8" t="s">
        <v>118</v>
      </c>
      <c r="E2706" s="52">
        <v>1362</v>
      </c>
      <c r="F2706" s="13"/>
      <c r="G2706" s="13">
        <v>17.41</v>
      </c>
    </row>
    <row r="2707" spans="1:7" hidden="1" x14ac:dyDescent="0.75">
      <c r="A2707" s="51">
        <v>44951</v>
      </c>
      <c r="B2707" s="52">
        <v>1398</v>
      </c>
      <c r="C2707" s="8" t="s">
        <v>3175</v>
      </c>
      <c r="D2707" s="8" t="s">
        <v>118</v>
      </c>
      <c r="E2707" s="52">
        <v>1362</v>
      </c>
      <c r="F2707" s="13"/>
      <c r="G2707" s="13">
        <v>13.77</v>
      </c>
    </row>
    <row r="2708" spans="1:7" hidden="1" x14ac:dyDescent="0.75">
      <c r="A2708" s="51">
        <v>44951</v>
      </c>
      <c r="B2708" s="52">
        <v>1398</v>
      </c>
      <c r="C2708" s="8" t="s">
        <v>3176</v>
      </c>
      <c r="D2708" s="8" t="s">
        <v>118</v>
      </c>
      <c r="E2708" s="52">
        <v>1362</v>
      </c>
      <c r="F2708" s="13"/>
      <c r="G2708" s="13">
        <v>48.5</v>
      </c>
    </row>
    <row r="2709" spans="1:7" hidden="1" x14ac:dyDescent="0.75">
      <c r="A2709" s="51">
        <v>44951</v>
      </c>
      <c r="B2709" s="52">
        <v>1398</v>
      </c>
      <c r="C2709" s="8" t="s">
        <v>3177</v>
      </c>
      <c r="D2709" s="8" t="s">
        <v>118</v>
      </c>
      <c r="E2709" s="52">
        <v>1362</v>
      </c>
      <c r="F2709" s="13"/>
      <c r="G2709" s="13">
        <v>21.35</v>
      </c>
    </row>
    <row r="2710" spans="1:7" hidden="1" x14ac:dyDescent="0.75">
      <c r="A2710" s="51">
        <v>44956</v>
      </c>
      <c r="B2710" s="52">
        <v>1398</v>
      </c>
      <c r="C2710" s="8" t="s">
        <v>3178</v>
      </c>
      <c r="D2710" s="8" t="s">
        <v>118</v>
      </c>
      <c r="E2710" s="52">
        <v>1362</v>
      </c>
      <c r="F2710" s="13">
        <v>1675.23</v>
      </c>
      <c r="G2710" s="13"/>
    </row>
    <row r="2711" spans="1:7" hidden="1" x14ac:dyDescent="0.75">
      <c r="A2711" s="51">
        <v>44957</v>
      </c>
      <c r="B2711" s="52">
        <v>1398</v>
      </c>
      <c r="C2711" s="8" t="s">
        <v>1334</v>
      </c>
      <c r="D2711" s="8" t="s">
        <v>118</v>
      </c>
      <c r="E2711" s="52">
        <v>1639</v>
      </c>
      <c r="F2711" s="13"/>
      <c r="G2711" s="13">
        <v>27809.07</v>
      </c>
    </row>
    <row r="2712" spans="1:7" hidden="1" x14ac:dyDescent="0.75">
      <c r="A2712" s="51">
        <v>44936</v>
      </c>
      <c r="B2712" s="52">
        <v>1426</v>
      </c>
      <c r="C2712" s="8" t="s">
        <v>3179</v>
      </c>
      <c r="D2712" s="8" t="s">
        <v>120</v>
      </c>
      <c r="E2712" s="52">
        <v>1362</v>
      </c>
      <c r="F2712" s="13">
        <v>3993.72</v>
      </c>
      <c r="G2712" s="13"/>
    </row>
    <row r="2713" spans="1:7" hidden="1" x14ac:dyDescent="0.75">
      <c r="A2713" s="51">
        <v>44936</v>
      </c>
      <c r="B2713" s="52">
        <v>1426</v>
      </c>
      <c r="C2713" s="8" t="s">
        <v>3179</v>
      </c>
      <c r="D2713" s="8" t="s">
        <v>120</v>
      </c>
      <c r="E2713" s="52">
        <v>1362</v>
      </c>
      <c r="F2713" s="13">
        <v>1070.8499999999999</v>
      </c>
      <c r="G2713" s="13"/>
    </row>
    <row r="2714" spans="1:7" hidden="1" x14ac:dyDescent="0.75">
      <c r="A2714" s="51">
        <v>44936</v>
      </c>
      <c r="B2714" s="52">
        <v>1426</v>
      </c>
      <c r="C2714" s="8" t="s">
        <v>3180</v>
      </c>
      <c r="D2714" s="8" t="s">
        <v>120</v>
      </c>
      <c r="E2714" s="52">
        <v>1362</v>
      </c>
      <c r="F2714" s="13"/>
      <c r="G2714" s="13">
        <v>1491.37</v>
      </c>
    </row>
    <row r="2715" spans="1:7" hidden="1" x14ac:dyDescent="0.75">
      <c r="A2715" s="51">
        <v>44956</v>
      </c>
      <c r="B2715" s="52">
        <v>1426</v>
      </c>
      <c r="C2715" s="8" t="s">
        <v>3181</v>
      </c>
      <c r="D2715" s="8" t="s">
        <v>120</v>
      </c>
      <c r="E2715" s="52">
        <v>1362</v>
      </c>
      <c r="F2715" s="13">
        <v>2644.58</v>
      </c>
      <c r="G2715" s="13"/>
    </row>
    <row r="2716" spans="1:7" hidden="1" x14ac:dyDescent="0.75">
      <c r="A2716" s="51">
        <v>44957</v>
      </c>
      <c r="B2716" s="52">
        <v>1426</v>
      </c>
      <c r="C2716" s="8" t="s">
        <v>1335</v>
      </c>
      <c r="D2716" s="8" t="s">
        <v>120</v>
      </c>
      <c r="E2716" s="52">
        <v>1639</v>
      </c>
      <c r="F2716" s="13"/>
      <c r="G2716" s="13">
        <v>3830.46</v>
      </c>
    </row>
    <row r="2717" spans="1:7" hidden="1" x14ac:dyDescent="0.75">
      <c r="A2717" s="51">
        <v>44957</v>
      </c>
      <c r="B2717" s="52">
        <v>1810</v>
      </c>
      <c r="C2717" s="8" t="s">
        <v>1336</v>
      </c>
      <c r="D2717" s="8" t="s">
        <v>124</v>
      </c>
      <c r="E2717" s="52">
        <v>1639</v>
      </c>
      <c r="F2717" s="13"/>
      <c r="G2717" s="13">
        <v>1389.27</v>
      </c>
    </row>
    <row r="2718" spans="1:7" hidden="1" x14ac:dyDescent="0.75">
      <c r="A2718" s="51">
        <v>44936</v>
      </c>
      <c r="B2718" s="52">
        <v>1921</v>
      </c>
      <c r="C2718" s="8" t="s">
        <v>3182</v>
      </c>
      <c r="D2718" s="8" t="s">
        <v>1044</v>
      </c>
      <c r="E2718" s="52">
        <v>1362</v>
      </c>
      <c r="F2718" s="13">
        <v>3950.21</v>
      </c>
      <c r="G2718" s="13"/>
    </row>
    <row r="2719" spans="1:7" hidden="1" x14ac:dyDescent="0.75">
      <c r="A2719" s="51">
        <v>44936</v>
      </c>
      <c r="B2719" s="52">
        <v>1921</v>
      </c>
      <c r="C2719" s="8" t="s">
        <v>3183</v>
      </c>
      <c r="D2719" s="8" t="s">
        <v>1044</v>
      </c>
      <c r="E2719" s="52">
        <v>1362</v>
      </c>
      <c r="F2719" s="13">
        <v>4563.71</v>
      </c>
      <c r="G2719" s="13"/>
    </row>
    <row r="2720" spans="1:7" hidden="1" x14ac:dyDescent="0.75">
      <c r="A2720" s="51">
        <v>44936</v>
      </c>
      <c r="B2720" s="52">
        <v>1921</v>
      </c>
      <c r="C2720" s="8" t="s">
        <v>3184</v>
      </c>
      <c r="D2720" s="8" t="s">
        <v>1044</v>
      </c>
      <c r="E2720" s="52">
        <v>1362</v>
      </c>
      <c r="F2720" s="13">
        <v>4061.89</v>
      </c>
      <c r="G2720" s="13"/>
    </row>
    <row r="2721" spans="1:7" hidden="1" x14ac:dyDescent="0.75">
      <c r="A2721" s="51">
        <v>44936</v>
      </c>
      <c r="B2721" s="52">
        <v>1921</v>
      </c>
      <c r="C2721" s="8" t="s">
        <v>3185</v>
      </c>
      <c r="D2721" s="8" t="s">
        <v>1044</v>
      </c>
      <c r="E2721" s="52">
        <v>1362</v>
      </c>
      <c r="F2721" s="13">
        <v>2606.9899999999998</v>
      </c>
      <c r="G2721" s="13"/>
    </row>
    <row r="2722" spans="1:7" hidden="1" x14ac:dyDescent="0.75">
      <c r="A2722" s="51">
        <v>44957</v>
      </c>
      <c r="B2722" s="52">
        <v>1921</v>
      </c>
      <c r="C2722" s="8" t="s">
        <v>1337</v>
      </c>
      <c r="D2722" s="8" t="s">
        <v>1044</v>
      </c>
      <c r="E2722" s="52">
        <v>1639</v>
      </c>
      <c r="F2722" s="13"/>
      <c r="G2722" s="13">
        <v>12300</v>
      </c>
    </row>
    <row r="2723" spans="1:7" hidden="1" x14ac:dyDescent="0.75">
      <c r="A2723" s="51">
        <v>44930</v>
      </c>
      <c r="B2723" s="52">
        <v>1946</v>
      </c>
      <c r="C2723" s="8" t="s">
        <v>3186</v>
      </c>
      <c r="D2723" s="8" t="s">
        <v>1227</v>
      </c>
      <c r="E2723" s="52">
        <v>1362</v>
      </c>
      <c r="F2723" s="13">
        <v>1077.3499999999999</v>
      </c>
      <c r="G2723" s="13"/>
    </row>
    <row r="2724" spans="1:7" hidden="1" x14ac:dyDescent="0.75">
      <c r="A2724" s="51">
        <v>44930</v>
      </c>
      <c r="B2724" s="52">
        <v>1946</v>
      </c>
      <c r="C2724" s="8" t="s">
        <v>3187</v>
      </c>
      <c r="D2724" s="8" t="s">
        <v>1227</v>
      </c>
      <c r="E2724" s="52">
        <v>1362</v>
      </c>
      <c r="F2724" s="13">
        <v>585.20000000000005</v>
      </c>
      <c r="G2724" s="13"/>
    </row>
    <row r="2725" spans="1:7" hidden="1" x14ac:dyDescent="0.75">
      <c r="A2725" s="51">
        <v>44930</v>
      </c>
      <c r="B2725" s="52">
        <v>1946</v>
      </c>
      <c r="C2725" s="8" t="s">
        <v>3188</v>
      </c>
      <c r="D2725" s="8" t="s">
        <v>1227</v>
      </c>
      <c r="E2725" s="52">
        <v>1362</v>
      </c>
      <c r="F2725" s="13"/>
      <c r="G2725" s="13">
        <v>110.83</v>
      </c>
    </row>
    <row r="2726" spans="1:7" hidden="1" x14ac:dyDescent="0.75">
      <c r="A2726" s="51">
        <v>44937</v>
      </c>
      <c r="B2726" s="52">
        <v>1946</v>
      </c>
      <c r="C2726" s="8" t="s">
        <v>3189</v>
      </c>
      <c r="D2726" s="8" t="s">
        <v>1227</v>
      </c>
      <c r="E2726" s="52">
        <v>1362</v>
      </c>
      <c r="F2726" s="13">
        <v>528.34</v>
      </c>
      <c r="G2726" s="13"/>
    </row>
    <row r="2727" spans="1:7" hidden="1" x14ac:dyDescent="0.75">
      <c r="A2727" s="51">
        <v>44937</v>
      </c>
      <c r="B2727" s="52">
        <v>1946</v>
      </c>
      <c r="C2727" s="8" t="s">
        <v>3190</v>
      </c>
      <c r="D2727" s="8" t="s">
        <v>1227</v>
      </c>
      <c r="E2727" s="52">
        <v>1362</v>
      </c>
      <c r="F2727" s="13"/>
      <c r="G2727" s="13">
        <v>48.13</v>
      </c>
    </row>
    <row r="2728" spans="1:7" hidden="1" x14ac:dyDescent="0.75">
      <c r="A2728" s="51">
        <v>44944</v>
      </c>
      <c r="B2728" s="52">
        <v>1946</v>
      </c>
      <c r="C2728" s="8" t="s">
        <v>3191</v>
      </c>
      <c r="D2728" s="8" t="s">
        <v>1227</v>
      </c>
      <c r="E2728" s="52">
        <v>1362</v>
      </c>
      <c r="F2728" s="13">
        <v>620.88</v>
      </c>
      <c r="G2728" s="13"/>
    </row>
    <row r="2729" spans="1:7" hidden="1" x14ac:dyDescent="0.75">
      <c r="A2729" s="51">
        <v>44944</v>
      </c>
      <c r="B2729" s="52">
        <v>1946</v>
      </c>
      <c r="C2729" s="8" t="s">
        <v>3192</v>
      </c>
      <c r="D2729" s="8" t="s">
        <v>1227</v>
      </c>
      <c r="E2729" s="52">
        <v>1362</v>
      </c>
      <c r="F2729" s="13"/>
      <c r="G2729" s="13">
        <v>104.18</v>
      </c>
    </row>
    <row r="2730" spans="1:7" hidden="1" x14ac:dyDescent="0.75">
      <c r="A2730" s="51">
        <v>44951</v>
      </c>
      <c r="B2730" s="52">
        <v>1946</v>
      </c>
      <c r="C2730" s="8" t="s">
        <v>3193</v>
      </c>
      <c r="D2730" s="8" t="s">
        <v>1227</v>
      </c>
      <c r="E2730" s="52">
        <v>1362</v>
      </c>
      <c r="F2730" s="13">
        <v>651.83000000000004</v>
      </c>
      <c r="G2730" s="13"/>
    </row>
    <row r="2731" spans="1:7" hidden="1" x14ac:dyDescent="0.75">
      <c r="A2731" s="51">
        <v>44951</v>
      </c>
      <c r="B2731" s="52">
        <v>1946</v>
      </c>
      <c r="C2731" s="8" t="s">
        <v>3194</v>
      </c>
      <c r="D2731" s="8" t="s">
        <v>1227</v>
      </c>
      <c r="E2731" s="52">
        <v>1362</v>
      </c>
      <c r="F2731" s="13">
        <v>153.69</v>
      </c>
      <c r="G2731" s="13"/>
    </row>
    <row r="2732" spans="1:7" hidden="1" x14ac:dyDescent="0.75">
      <c r="A2732" s="51">
        <v>44951</v>
      </c>
      <c r="B2732" s="52">
        <v>1946</v>
      </c>
      <c r="C2732" s="8" t="s">
        <v>3195</v>
      </c>
      <c r="D2732" s="8" t="s">
        <v>1227</v>
      </c>
      <c r="E2732" s="52">
        <v>1362</v>
      </c>
      <c r="F2732" s="13"/>
      <c r="G2732" s="13">
        <v>47.17</v>
      </c>
    </row>
    <row r="2733" spans="1:7" hidden="1" x14ac:dyDescent="0.75">
      <c r="A2733" s="51">
        <v>44951</v>
      </c>
      <c r="B2733" s="52">
        <v>1946</v>
      </c>
      <c r="C2733" s="8" t="s">
        <v>3196</v>
      </c>
      <c r="D2733" s="8" t="s">
        <v>1227</v>
      </c>
      <c r="E2733" s="52">
        <v>1362</v>
      </c>
      <c r="F2733" s="13"/>
      <c r="G2733" s="13">
        <v>20.21</v>
      </c>
    </row>
    <row r="2734" spans="1:7" hidden="1" x14ac:dyDescent="0.75">
      <c r="A2734" s="51">
        <v>44957</v>
      </c>
      <c r="B2734" s="52">
        <v>1946</v>
      </c>
      <c r="C2734" s="8" t="s">
        <v>1338</v>
      </c>
      <c r="D2734" s="8" t="s">
        <v>1227</v>
      </c>
      <c r="E2734" s="52">
        <v>1639</v>
      </c>
      <c r="F2734" s="13"/>
      <c r="G2734" s="13">
        <v>3771.18</v>
      </c>
    </row>
    <row r="2735" spans="1:7" hidden="1" x14ac:dyDescent="0.75">
      <c r="A2735" s="51">
        <v>44929</v>
      </c>
      <c r="B2735" s="52">
        <v>1436</v>
      </c>
      <c r="C2735" s="8" t="s">
        <v>3197</v>
      </c>
      <c r="D2735" s="8" t="s">
        <v>128</v>
      </c>
      <c r="E2735" s="52">
        <v>417</v>
      </c>
      <c r="F2735" s="13"/>
      <c r="G2735" s="13">
        <v>43.35</v>
      </c>
    </row>
    <row r="2736" spans="1:7" hidden="1" x14ac:dyDescent="0.75">
      <c r="A2736" s="51">
        <v>44930</v>
      </c>
      <c r="B2736" s="52">
        <v>1436</v>
      </c>
      <c r="C2736" s="8" t="s">
        <v>3198</v>
      </c>
      <c r="D2736" s="8" t="s">
        <v>128</v>
      </c>
      <c r="E2736" s="52">
        <v>417</v>
      </c>
      <c r="F2736" s="13"/>
      <c r="G2736" s="13">
        <v>197.2</v>
      </c>
    </row>
    <row r="2737" spans="1:7" hidden="1" x14ac:dyDescent="0.75">
      <c r="A2737" s="51">
        <v>44931</v>
      </c>
      <c r="B2737" s="52">
        <v>1436</v>
      </c>
      <c r="C2737" s="8" t="s">
        <v>3199</v>
      </c>
      <c r="D2737" s="8" t="s">
        <v>128</v>
      </c>
      <c r="E2737" s="52">
        <v>417</v>
      </c>
      <c r="F2737" s="13"/>
      <c r="G2737" s="13">
        <v>21.05</v>
      </c>
    </row>
    <row r="2738" spans="1:7" hidden="1" x14ac:dyDescent="0.75">
      <c r="A2738" s="51">
        <v>44932</v>
      </c>
      <c r="B2738" s="52">
        <v>1436</v>
      </c>
      <c r="C2738" s="8" t="s">
        <v>3200</v>
      </c>
      <c r="D2738" s="8" t="s">
        <v>128</v>
      </c>
      <c r="E2738" s="52">
        <v>417</v>
      </c>
      <c r="F2738" s="13"/>
      <c r="G2738" s="13">
        <v>122.5</v>
      </c>
    </row>
    <row r="2739" spans="1:7" hidden="1" x14ac:dyDescent="0.75">
      <c r="A2739" s="51">
        <v>44932</v>
      </c>
      <c r="B2739" s="52">
        <v>1436</v>
      </c>
      <c r="C2739" s="8" t="s">
        <v>3201</v>
      </c>
      <c r="D2739" s="8" t="s">
        <v>128</v>
      </c>
      <c r="E2739" s="52">
        <v>417</v>
      </c>
      <c r="F2739" s="13"/>
      <c r="G2739" s="13">
        <v>372</v>
      </c>
    </row>
    <row r="2740" spans="1:7" hidden="1" x14ac:dyDescent="0.75">
      <c r="A2740" s="51">
        <v>44935</v>
      </c>
      <c r="B2740" s="52">
        <v>1436</v>
      </c>
      <c r="C2740" s="8" t="s">
        <v>3202</v>
      </c>
      <c r="D2740" s="8" t="s">
        <v>128</v>
      </c>
      <c r="E2740" s="52">
        <v>417</v>
      </c>
      <c r="F2740" s="13"/>
      <c r="G2740" s="13">
        <v>27.96</v>
      </c>
    </row>
    <row r="2741" spans="1:7" hidden="1" x14ac:dyDescent="0.75">
      <c r="A2741" s="51">
        <v>44938</v>
      </c>
      <c r="B2741" s="52">
        <v>1436</v>
      </c>
      <c r="C2741" s="8" t="s">
        <v>3203</v>
      </c>
      <c r="D2741" s="8" t="s">
        <v>128</v>
      </c>
      <c r="E2741" s="52">
        <v>417</v>
      </c>
      <c r="F2741" s="13"/>
      <c r="G2741" s="13">
        <v>64.8</v>
      </c>
    </row>
    <row r="2742" spans="1:7" hidden="1" x14ac:dyDescent="0.75">
      <c r="A2742" s="51">
        <v>44940</v>
      </c>
      <c r="B2742" s="52">
        <v>1436</v>
      </c>
      <c r="C2742" s="8" t="s">
        <v>3204</v>
      </c>
      <c r="D2742" s="8" t="s">
        <v>128</v>
      </c>
      <c r="E2742" s="52">
        <v>417</v>
      </c>
      <c r="F2742" s="13"/>
      <c r="G2742" s="13">
        <v>6.26</v>
      </c>
    </row>
    <row r="2743" spans="1:7" hidden="1" x14ac:dyDescent="0.75">
      <c r="A2743" s="51">
        <v>44949</v>
      </c>
      <c r="B2743" s="52">
        <v>1436</v>
      </c>
      <c r="C2743" s="8" t="s">
        <v>3205</v>
      </c>
      <c r="D2743" s="8" t="s">
        <v>128</v>
      </c>
      <c r="E2743" s="52">
        <v>417</v>
      </c>
      <c r="F2743" s="13"/>
      <c r="G2743" s="13">
        <v>143.72</v>
      </c>
    </row>
    <row r="2744" spans="1:7" hidden="1" x14ac:dyDescent="0.75">
      <c r="A2744" s="51">
        <v>44951</v>
      </c>
      <c r="B2744" s="52">
        <v>1436</v>
      </c>
      <c r="C2744" s="8" t="s">
        <v>3206</v>
      </c>
      <c r="D2744" s="8" t="s">
        <v>128</v>
      </c>
      <c r="E2744" s="52">
        <v>417</v>
      </c>
      <c r="F2744" s="13"/>
      <c r="G2744" s="13">
        <v>22</v>
      </c>
    </row>
    <row r="2745" spans="1:7" hidden="1" x14ac:dyDescent="0.75">
      <c r="A2745" s="51">
        <v>44956</v>
      </c>
      <c r="B2745" s="52">
        <v>1436</v>
      </c>
      <c r="C2745" s="8" t="s">
        <v>3207</v>
      </c>
      <c r="D2745" s="8" t="s">
        <v>128</v>
      </c>
      <c r="E2745" s="52">
        <v>417</v>
      </c>
      <c r="F2745" s="13"/>
      <c r="G2745" s="13">
        <v>19.8</v>
      </c>
    </row>
    <row r="2746" spans="1:7" hidden="1" x14ac:dyDescent="0.75">
      <c r="A2746" s="51">
        <v>44936</v>
      </c>
      <c r="B2746" s="52">
        <v>1435</v>
      </c>
      <c r="C2746" s="8" t="s">
        <v>3208</v>
      </c>
      <c r="D2746" s="8" t="s">
        <v>130</v>
      </c>
      <c r="E2746" s="52">
        <v>1362</v>
      </c>
      <c r="F2746" s="13">
        <v>47.25</v>
      </c>
      <c r="G2746" s="13"/>
    </row>
    <row r="2747" spans="1:7" hidden="1" x14ac:dyDescent="0.75">
      <c r="A2747" s="51">
        <v>44936</v>
      </c>
      <c r="B2747" s="52">
        <v>1435</v>
      </c>
      <c r="C2747" s="8" t="s">
        <v>3209</v>
      </c>
      <c r="D2747" s="8" t="s">
        <v>130</v>
      </c>
      <c r="E2747" s="52">
        <v>1362</v>
      </c>
      <c r="F2747" s="13">
        <v>150.19999999999999</v>
      </c>
      <c r="G2747" s="13"/>
    </row>
    <row r="2748" spans="1:7" hidden="1" x14ac:dyDescent="0.75">
      <c r="A2748" s="51">
        <v>44936</v>
      </c>
      <c r="B2748" s="52">
        <v>1435</v>
      </c>
      <c r="C2748" s="8" t="s">
        <v>3210</v>
      </c>
      <c r="D2748" s="8" t="s">
        <v>130</v>
      </c>
      <c r="E2748" s="52">
        <v>1362</v>
      </c>
      <c r="F2748" s="13">
        <v>10.199999999999999</v>
      </c>
      <c r="G2748" s="13"/>
    </row>
    <row r="2749" spans="1:7" hidden="1" x14ac:dyDescent="0.75">
      <c r="A2749" s="51">
        <v>44942</v>
      </c>
      <c r="B2749" s="52">
        <v>1435</v>
      </c>
      <c r="C2749" s="8" t="s">
        <v>3211</v>
      </c>
      <c r="D2749" s="8" t="s">
        <v>130</v>
      </c>
      <c r="E2749" s="52">
        <v>417</v>
      </c>
      <c r="F2749" s="13"/>
      <c r="G2749" s="13">
        <v>54.5</v>
      </c>
    </row>
    <row r="2750" spans="1:7" hidden="1" x14ac:dyDescent="0.75">
      <c r="A2750" s="51">
        <v>44946</v>
      </c>
      <c r="B2750" s="52">
        <v>1435</v>
      </c>
      <c r="C2750" s="8" t="s">
        <v>3212</v>
      </c>
      <c r="D2750" s="8" t="s">
        <v>130</v>
      </c>
      <c r="E2750" s="52">
        <v>417</v>
      </c>
      <c r="F2750" s="13"/>
      <c r="G2750" s="13">
        <v>82</v>
      </c>
    </row>
    <row r="2751" spans="1:7" hidden="1" x14ac:dyDescent="0.75">
      <c r="A2751" s="51">
        <v>44949</v>
      </c>
      <c r="B2751" s="52">
        <v>1435</v>
      </c>
      <c r="C2751" s="8" t="s">
        <v>3213</v>
      </c>
      <c r="D2751" s="8" t="s">
        <v>130</v>
      </c>
      <c r="E2751" s="52">
        <v>417</v>
      </c>
      <c r="F2751" s="13"/>
      <c r="G2751" s="13">
        <v>12.3</v>
      </c>
    </row>
    <row r="2752" spans="1:7" hidden="1" x14ac:dyDescent="0.75">
      <c r="A2752" s="51">
        <v>44953</v>
      </c>
      <c r="B2752" s="52">
        <v>1435</v>
      </c>
      <c r="C2752" s="8" t="s">
        <v>3214</v>
      </c>
      <c r="D2752" s="8" t="s">
        <v>130</v>
      </c>
      <c r="E2752" s="52">
        <v>417</v>
      </c>
      <c r="F2752" s="13"/>
      <c r="G2752" s="13">
        <v>98</v>
      </c>
    </row>
    <row r="2753" spans="1:7" hidden="1" x14ac:dyDescent="0.75">
      <c r="A2753" s="51">
        <v>44956</v>
      </c>
      <c r="B2753" s="52">
        <v>1435</v>
      </c>
      <c r="C2753" s="8" t="s">
        <v>3215</v>
      </c>
      <c r="D2753" s="8" t="s">
        <v>130</v>
      </c>
      <c r="E2753" s="52">
        <v>1362</v>
      </c>
      <c r="F2753" s="13">
        <v>54.5</v>
      </c>
      <c r="G2753" s="13"/>
    </row>
    <row r="2754" spans="1:7" hidden="1" x14ac:dyDescent="0.75">
      <c r="A2754" s="51">
        <v>44956</v>
      </c>
      <c r="B2754" s="52">
        <v>1435</v>
      </c>
      <c r="C2754" s="8" t="s">
        <v>3216</v>
      </c>
      <c r="D2754" s="8" t="s">
        <v>130</v>
      </c>
      <c r="E2754" s="52">
        <v>1362</v>
      </c>
      <c r="F2754" s="13">
        <v>82</v>
      </c>
      <c r="G2754" s="13"/>
    </row>
    <row r="2755" spans="1:7" hidden="1" x14ac:dyDescent="0.75">
      <c r="A2755" s="51">
        <v>44956</v>
      </c>
      <c r="B2755" s="52">
        <v>1435</v>
      </c>
      <c r="C2755" s="8" t="s">
        <v>3217</v>
      </c>
      <c r="D2755" s="8" t="s">
        <v>130</v>
      </c>
      <c r="E2755" s="52">
        <v>1362</v>
      </c>
      <c r="F2755" s="13">
        <v>12.3</v>
      </c>
      <c r="G2755" s="13"/>
    </row>
    <row r="2756" spans="1:7" hidden="1" x14ac:dyDescent="0.75">
      <c r="A2756" s="51">
        <v>44956</v>
      </c>
      <c r="B2756" s="52">
        <v>1435</v>
      </c>
      <c r="C2756" s="8" t="s">
        <v>3218</v>
      </c>
      <c r="D2756" s="8" t="s">
        <v>130</v>
      </c>
      <c r="E2756" s="52">
        <v>1362</v>
      </c>
      <c r="F2756" s="13">
        <v>98</v>
      </c>
      <c r="G2756" s="13"/>
    </row>
    <row r="2757" spans="1:7" hidden="1" x14ac:dyDescent="0.75">
      <c r="A2757" s="51">
        <v>44956</v>
      </c>
      <c r="B2757" s="52">
        <v>1435</v>
      </c>
      <c r="C2757" s="8" t="s">
        <v>3219</v>
      </c>
      <c r="D2757" s="8" t="s">
        <v>130</v>
      </c>
      <c r="E2757" s="52">
        <v>417</v>
      </c>
      <c r="F2757" s="13"/>
      <c r="G2757" s="13">
        <v>19.600000000000001</v>
      </c>
    </row>
    <row r="2758" spans="1:7" hidden="1" x14ac:dyDescent="0.75">
      <c r="A2758" s="51">
        <v>44928</v>
      </c>
      <c r="B2758" s="52">
        <v>1434</v>
      </c>
      <c r="C2758" s="8" t="s">
        <v>3220</v>
      </c>
      <c r="D2758" s="8" t="s">
        <v>132</v>
      </c>
      <c r="E2758" s="52">
        <v>1362</v>
      </c>
      <c r="F2758" s="13">
        <v>50.7</v>
      </c>
      <c r="G2758" s="13"/>
    </row>
    <row r="2759" spans="1:7" hidden="1" x14ac:dyDescent="0.75">
      <c r="A2759" s="51">
        <v>44928</v>
      </c>
      <c r="B2759" s="52">
        <v>1434</v>
      </c>
      <c r="C2759" s="8" t="s">
        <v>3221</v>
      </c>
      <c r="D2759" s="8" t="s">
        <v>132</v>
      </c>
      <c r="E2759" s="52">
        <v>1362</v>
      </c>
      <c r="F2759" s="13">
        <v>64.599999999999994</v>
      </c>
      <c r="G2759" s="13"/>
    </row>
    <row r="2760" spans="1:7" hidden="1" x14ac:dyDescent="0.75">
      <c r="A2760" s="51">
        <v>44928</v>
      </c>
      <c r="B2760" s="52">
        <v>1434</v>
      </c>
      <c r="C2760" s="8" t="s">
        <v>3222</v>
      </c>
      <c r="D2760" s="8" t="s">
        <v>132</v>
      </c>
      <c r="E2760" s="52">
        <v>1362</v>
      </c>
      <c r="F2760" s="13">
        <v>31.4</v>
      </c>
      <c r="G2760" s="13"/>
    </row>
    <row r="2761" spans="1:7" hidden="1" x14ac:dyDescent="0.75">
      <c r="A2761" s="51">
        <v>44928</v>
      </c>
      <c r="B2761" s="52">
        <v>1434</v>
      </c>
      <c r="C2761" s="8" t="s">
        <v>3223</v>
      </c>
      <c r="D2761" s="8" t="s">
        <v>132</v>
      </c>
      <c r="E2761" s="52">
        <v>1362</v>
      </c>
      <c r="F2761" s="13">
        <v>28.5</v>
      </c>
      <c r="G2761" s="13"/>
    </row>
    <row r="2762" spans="1:7" hidden="1" x14ac:dyDescent="0.75">
      <c r="A2762" s="51">
        <v>44928</v>
      </c>
      <c r="B2762" s="52">
        <v>1434</v>
      </c>
      <c r="C2762" s="8" t="s">
        <v>3224</v>
      </c>
      <c r="D2762" s="8" t="s">
        <v>132</v>
      </c>
      <c r="E2762" s="52">
        <v>1362</v>
      </c>
      <c r="F2762" s="13">
        <v>94.7</v>
      </c>
      <c r="G2762" s="13"/>
    </row>
    <row r="2763" spans="1:7" hidden="1" x14ac:dyDescent="0.75">
      <c r="A2763" s="51">
        <v>44928</v>
      </c>
      <c r="B2763" s="52">
        <v>1434</v>
      </c>
      <c r="C2763" s="8" t="s">
        <v>3225</v>
      </c>
      <c r="D2763" s="8" t="s">
        <v>132</v>
      </c>
      <c r="E2763" s="52">
        <v>1362</v>
      </c>
      <c r="F2763" s="13">
        <v>49.8</v>
      </c>
      <c r="G2763" s="13"/>
    </row>
    <row r="2764" spans="1:7" hidden="1" x14ac:dyDescent="0.75">
      <c r="A2764" s="51">
        <v>44928</v>
      </c>
      <c r="B2764" s="52">
        <v>1434</v>
      </c>
      <c r="C2764" s="8" t="s">
        <v>3226</v>
      </c>
      <c r="D2764" s="8" t="s">
        <v>132</v>
      </c>
      <c r="E2764" s="52">
        <v>1362</v>
      </c>
      <c r="F2764" s="13">
        <v>71.8</v>
      </c>
      <c r="G2764" s="13"/>
    </row>
    <row r="2765" spans="1:7" hidden="1" x14ac:dyDescent="0.75">
      <c r="A2765" s="51">
        <v>44928</v>
      </c>
      <c r="B2765" s="52">
        <v>1434</v>
      </c>
      <c r="C2765" s="8" t="s">
        <v>3227</v>
      </c>
      <c r="D2765" s="8" t="s">
        <v>132</v>
      </c>
      <c r="E2765" s="52">
        <v>1362</v>
      </c>
      <c r="F2765" s="13">
        <v>43.8</v>
      </c>
      <c r="G2765" s="13"/>
    </row>
    <row r="2766" spans="1:7" hidden="1" x14ac:dyDescent="0.75">
      <c r="A2766" s="51">
        <v>44928</v>
      </c>
      <c r="B2766" s="52">
        <v>1434</v>
      </c>
      <c r="C2766" s="8" t="s">
        <v>3228</v>
      </c>
      <c r="D2766" s="8" t="s">
        <v>132</v>
      </c>
      <c r="E2766" s="52">
        <v>1362</v>
      </c>
      <c r="F2766" s="13">
        <v>68.5</v>
      </c>
      <c r="G2766" s="13"/>
    </row>
    <row r="2767" spans="1:7" hidden="1" x14ac:dyDescent="0.75">
      <c r="A2767" s="51">
        <v>44928</v>
      </c>
      <c r="B2767" s="52">
        <v>1434</v>
      </c>
      <c r="C2767" s="8" t="s">
        <v>3229</v>
      </c>
      <c r="D2767" s="8" t="s">
        <v>132</v>
      </c>
      <c r="E2767" s="52">
        <v>1362</v>
      </c>
      <c r="F2767" s="13">
        <v>51</v>
      </c>
      <c r="G2767" s="13"/>
    </row>
    <row r="2768" spans="1:7" hidden="1" x14ac:dyDescent="0.75">
      <c r="A2768" s="51">
        <v>44928</v>
      </c>
      <c r="B2768" s="52">
        <v>1434</v>
      </c>
      <c r="C2768" s="8" t="s">
        <v>3230</v>
      </c>
      <c r="D2768" s="8" t="s">
        <v>132</v>
      </c>
      <c r="E2768" s="52">
        <v>1362</v>
      </c>
      <c r="F2768" s="13">
        <v>128.1</v>
      </c>
      <c r="G2768" s="13"/>
    </row>
    <row r="2769" spans="1:7" hidden="1" x14ac:dyDescent="0.75">
      <c r="A2769" s="51">
        <v>44928</v>
      </c>
      <c r="B2769" s="52">
        <v>1434</v>
      </c>
      <c r="C2769" s="8" t="s">
        <v>3231</v>
      </c>
      <c r="D2769" s="8" t="s">
        <v>132</v>
      </c>
      <c r="E2769" s="52">
        <v>1362</v>
      </c>
      <c r="F2769" s="13">
        <v>30.1</v>
      </c>
      <c r="G2769" s="13"/>
    </row>
    <row r="2770" spans="1:7" hidden="1" x14ac:dyDescent="0.75">
      <c r="A2770" s="51">
        <v>44928</v>
      </c>
      <c r="B2770" s="52">
        <v>1434</v>
      </c>
      <c r="C2770" s="8" t="s">
        <v>3232</v>
      </c>
      <c r="D2770" s="8" t="s">
        <v>132</v>
      </c>
      <c r="E2770" s="52">
        <v>1362</v>
      </c>
      <c r="F2770" s="13">
        <v>54.2</v>
      </c>
      <c r="G2770" s="13"/>
    </row>
    <row r="2771" spans="1:7" hidden="1" x14ac:dyDescent="0.75">
      <c r="A2771" s="51">
        <v>44928</v>
      </c>
      <c r="B2771" s="52">
        <v>1434</v>
      </c>
      <c r="C2771" s="8" t="s">
        <v>3233</v>
      </c>
      <c r="D2771" s="8" t="s">
        <v>132</v>
      </c>
      <c r="E2771" s="52">
        <v>1362</v>
      </c>
      <c r="F2771" s="13">
        <v>87</v>
      </c>
      <c r="G2771" s="13"/>
    </row>
    <row r="2772" spans="1:7" hidden="1" x14ac:dyDescent="0.75">
      <c r="A2772" s="51">
        <v>44928</v>
      </c>
      <c r="B2772" s="52">
        <v>1434</v>
      </c>
      <c r="C2772" s="8" t="s">
        <v>3234</v>
      </c>
      <c r="D2772" s="8" t="s">
        <v>132</v>
      </c>
      <c r="E2772" s="52">
        <v>1362</v>
      </c>
      <c r="F2772" s="13">
        <v>255.26</v>
      </c>
      <c r="G2772" s="13"/>
    </row>
    <row r="2773" spans="1:7" hidden="1" x14ac:dyDescent="0.75">
      <c r="A2773" s="51">
        <v>44928</v>
      </c>
      <c r="B2773" s="52">
        <v>1434</v>
      </c>
      <c r="C2773" s="8" t="s">
        <v>3235</v>
      </c>
      <c r="D2773" s="8" t="s">
        <v>132</v>
      </c>
      <c r="E2773" s="52">
        <v>1362</v>
      </c>
      <c r="F2773" s="13">
        <v>345.92</v>
      </c>
      <c r="G2773" s="13"/>
    </row>
    <row r="2774" spans="1:7" hidden="1" x14ac:dyDescent="0.75">
      <c r="A2774" s="51">
        <v>44928</v>
      </c>
      <c r="B2774" s="52">
        <v>1434</v>
      </c>
      <c r="C2774" s="8" t="s">
        <v>3236</v>
      </c>
      <c r="D2774" s="8" t="s">
        <v>132</v>
      </c>
      <c r="E2774" s="52">
        <v>1362</v>
      </c>
      <c r="F2774" s="13">
        <v>135.19999999999999</v>
      </c>
      <c r="G2774" s="13"/>
    </row>
    <row r="2775" spans="1:7" hidden="1" x14ac:dyDescent="0.75">
      <c r="A2775" s="51">
        <v>44928</v>
      </c>
      <c r="B2775" s="52">
        <v>1434</v>
      </c>
      <c r="C2775" s="8" t="s">
        <v>3237</v>
      </c>
      <c r="D2775" s="8" t="s">
        <v>132</v>
      </c>
      <c r="E2775" s="52">
        <v>1362</v>
      </c>
      <c r="F2775" s="13">
        <v>191.28</v>
      </c>
      <c r="G2775" s="13"/>
    </row>
    <row r="2776" spans="1:7" hidden="1" x14ac:dyDescent="0.75">
      <c r="A2776" s="51">
        <v>44928</v>
      </c>
      <c r="B2776" s="52">
        <v>1434</v>
      </c>
      <c r="C2776" s="8" t="s">
        <v>3238</v>
      </c>
      <c r="D2776" s="8" t="s">
        <v>132</v>
      </c>
      <c r="E2776" s="52">
        <v>1362</v>
      </c>
      <c r="F2776" s="13">
        <v>281.89999999999998</v>
      </c>
      <c r="G2776" s="13"/>
    </row>
    <row r="2777" spans="1:7" hidden="1" x14ac:dyDescent="0.75">
      <c r="A2777" s="51">
        <v>44928</v>
      </c>
      <c r="B2777" s="52">
        <v>1434</v>
      </c>
      <c r="C2777" s="8" t="s">
        <v>3239</v>
      </c>
      <c r="D2777" s="8" t="s">
        <v>132</v>
      </c>
      <c r="E2777" s="52">
        <v>1362</v>
      </c>
      <c r="F2777" s="13">
        <v>201.18</v>
      </c>
      <c r="G2777" s="13"/>
    </row>
    <row r="2778" spans="1:7" hidden="1" x14ac:dyDescent="0.75">
      <c r="A2778" s="51">
        <v>44928</v>
      </c>
      <c r="B2778" s="52">
        <v>1434</v>
      </c>
      <c r="C2778" s="8" t="s">
        <v>3240</v>
      </c>
      <c r="D2778" s="8" t="s">
        <v>132</v>
      </c>
      <c r="E2778" s="52">
        <v>1362</v>
      </c>
      <c r="F2778" s="13">
        <v>658.14</v>
      </c>
      <c r="G2778" s="13"/>
    </row>
    <row r="2779" spans="1:7" hidden="1" x14ac:dyDescent="0.75">
      <c r="A2779" s="51">
        <v>44928</v>
      </c>
      <c r="B2779" s="52">
        <v>1434</v>
      </c>
      <c r="C2779" s="8" t="s">
        <v>3241</v>
      </c>
      <c r="D2779" s="8" t="s">
        <v>132</v>
      </c>
      <c r="E2779" s="52">
        <v>1362</v>
      </c>
      <c r="F2779" s="13">
        <v>209.82</v>
      </c>
      <c r="G2779" s="13"/>
    </row>
    <row r="2780" spans="1:7" hidden="1" x14ac:dyDescent="0.75">
      <c r="A2780" s="51">
        <v>44928</v>
      </c>
      <c r="B2780" s="52">
        <v>1434</v>
      </c>
      <c r="C2780" s="8" t="s">
        <v>3242</v>
      </c>
      <c r="D2780" s="8" t="s">
        <v>132</v>
      </c>
      <c r="E2780" s="52">
        <v>1362</v>
      </c>
      <c r="F2780" s="13">
        <v>233.78</v>
      </c>
      <c r="G2780" s="13"/>
    </row>
    <row r="2781" spans="1:7" hidden="1" x14ac:dyDescent="0.75">
      <c r="A2781" s="51">
        <v>44928</v>
      </c>
      <c r="B2781" s="52">
        <v>1434</v>
      </c>
      <c r="C2781" s="8" t="s">
        <v>3243</v>
      </c>
      <c r="D2781" s="8" t="s">
        <v>132</v>
      </c>
      <c r="E2781" s="52">
        <v>1362</v>
      </c>
      <c r="F2781" s="13">
        <v>60.1</v>
      </c>
      <c r="G2781" s="13"/>
    </row>
    <row r="2782" spans="1:7" hidden="1" x14ac:dyDescent="0.75">
      <c r="A2782" s="51">
        <v>44928</v>
      </c>
      <c r="B2782" s="52">
        <v>1434</v>
      </c>
      <c r="C2782" s="8" t="s">
        <v>3244</v>
      </c>
      <c r="D2782" s="8" t="s">
        <v>132</v>
      </c>
      <c r="E2782" s="52">
        <v>1362</v>
      </c>
      <c r="F2782" s="13">
        <v>34.4</v>
      </c>
      <c r="G2782" s="13"/>
    </row>
    <row r="2783" spans="1:7" hidden="1" x14ac:dyDescent="0.75">
      <c r="A2783" s="51">
        <v>44928</v>
      </c>
      <c r="B2783" s="52">
        <v>1434</v>
      </c>
      <c r="C2783" s="8" t="s">
        <v>3245</v>
      </c>
      <c r="D2783" s="8" t="s">
        <v>132</v>
      </c>
      <c r="E2783" s="52">
        <v>1362</v>
      </c>
      <c r="F2783" s="13">
        <v>64.099999999999994</v>
      </c>
      <c r="G2783" s="13"/>
    </row>
    <row r="2784" spans="1:7" hidden="1" x14ac:dyDescent="0.75">
      <c r="A2784" s="51">
        <v>44928</v>
      </c>
      <c r="B2784" s="52">
        <v>1434</v>
      </c>
      <c r="C2784" s="8" t="s">
        <v>3246</v>
      </c>
      <c r="D2784" s="8" t="s">
        <v>132</v>
      </c>
      <c r="E2784" s="52">
        <v>1362</v>
      </c>
      <c r="F2784" s="13">
        <v>82.9</v>
      </c>
      <c r="G2784" s="13"/>
    </row>
    <row r="2785" spans="1:7" hidden="1" x14ac:dyDescent="0.75">
      <c r="A2785" s="51">
        <v>44928</v>
      </c>
      <c r="B2785" s="52">
        <v>1434</v>
      </c>
      <c r="C2785" s="8" t="s">
        <v>3247</v>
      </c>
      <c r="D2785" s="8" t="s">
        <v>132</v>
      </c>
      <c r="E2785" s="52">
        <v>1362</v>
      </c>
      <c r="F2785" s="13">
        <v>64.099999999999994</v>
      </c>
      <c r="G2785" s="13"/>
    </row>
    <row r="2786" spans="1:7" hidden="1" x14ac:dyDescent="0.75">
      <c r="A2786" s="51">
        <v>44928</v>
      </c>
      <c r="B2786" s="52">
        <v>1434</v>
      </c>
      <c r="C2786" s="8" t="s">
        <v>3248</v>
      </c>
      <c r="D2786" s="8" t="s">
        <v>132</v>
      </c>
      <c r="E2786" s="52">
        <v>1362</v>
      </c>
      <c r="F2786" s="13">
        <v>71.5</v>
      </c>
      <c r="G2786" s="13"/>
    </row>
    <row r="2787" spans="1:7" hidden="1" x14ac:dyDescent="0.75">
      <c r="A2787" s="51">
        <v>44928</v>
      </c>
      <c r="B2787" s="52">
        <v>1434</v>
      </c>
      <c r="C2787" s="8" t="s">
        <v>3249</v>
      </c>
      <c r="D2787" s="8" t="s">
        <v>132</v>
      </c>
      <c r="E2787" s="52">
        <v>1362</v>
      </c>
      <c r="F2787" s="13">
        <v>58.7</v>
      </c>
      <c r="G2787" s="13"/>
    </row>
    <row r="2788" spans="1:7" hidden="1" x14ac:dyDescent="0.75">
      <c r="A2788" s="51">
        <v>44928</v>
      </c>
      <c r="B2788" s="52">
        <v>1434</v>
      </c>
      <c r="C2788" s="8" t="s">
        <v>3250</v>
      </c>
      <c r="D2788" s="8" t="s">
        <v>132</v>
      </c>
      <c r="E2788" s="52">
        <v>1362</v>
      </c>
      <c r="F2788" s="13">
        <v>154</v>
      </c>
      <c r="G2788" s="13"/>
    </row>
    <row r="2789" spans="1:7" hidden="1" x14ac:dyDescent="0.75">
      <c r="A2789" s="51">
        <v>44928</v>
      </c>
      <c r="B2789" s="52">
        <v>1434</v>
      </c>
      <c r="C2789" s="8" t="s">
        <v>3251</v>
      </c>
      <c r="D2789" s="8" t="s">
        <v>132</v>
      </c>
      <c r="E2789" s="52">
        <v>1362</v>
      </c>
      <c r="F2789" s="13">
        <v>94.2</v>
      </c>
      <c r="G2789" s="13"/>
    </row>
    <row r="2790" spans="1:7" hidden="1" x14ac:dyDescent="0.75">
      <c r="A2790" s="51">
        <v>44928</v>
      </c>
      <c r="B2790" s="52">
        <v>1434</v>
      </c>
      <c r="C2790" s="8" t="s">
        <v>3252</v>
      </c>
      <c r="D2790" s="8" t="s">
        <v>132</v>
      </c>
      <c r="E2790" s="52">
        <v>1362</v>
      </c>
      <c r="F2790" s="13">
        <v>189.1</v>
      </c>
      <c r="G2790" s="13"/>
    </row>
    <row r="2791" spans="1:7" hidden="1" x14ac:dyDescent="0.75">
      <c r="A2791" s="51">
        <v>44928</v>
      </c>
      <c r="B2791" s="52">
        <v>1434</v>
      </c>
      <c r="C2791" s="8" t="s">
        <v>3253</v>
      </c>
      <c r="D2791" s="8" t="s">
        <v>132</v>
      </c>
      <c r="E2791" s="52">
        <v>1362</v>
      </c>
      <c r="F2791" s="13">
        <v>94.9</v>
      </c>
      <c r="G2791" s="13"/>
    </row>
    <row r="2792" spans="1:7" hidden="1" x14ac:dyDescent="0.75">
      <c r="A2792" s="51">
        <v>44928</v>
      </c>
      <c r="B2792" s="52">
        <v>1434</v>
      </c>
      <c r="C2792" s="8" t="s">
        <v>3254</v>
      </c>
      <c r="D2792" s="8" t="s">
        <v>132</v>
      </c>
      <c r="E2792" s="52">
        <v>1362</v>
      </c>
      <c r="F2792" s="13">
        <v>66.7</v>
      </c>
      <c r="G2792" s="13"/>
    </row>
    <row r="2793" spans="1:7" hidden="1" x14ac:dyDescent="0.75">
      <c r="A2793" s="51">
        <v>44928</v>
      </c>
      <c r="B2793" s="52">
        <v>1434</v>
      </c>
      <c r="C2793" s="8" t="s">
        <v>3255</v>
      </c>
      <c r="D2793" s="8" t="s">
        <v>132</v>
      </c>
      <c r="E2793" s="52">
        <v>1362</v>
      </c>
      <c r="F2793" s="13">
        <v>160</v>
      </c>
      <c r="G2793" s="13"/>
    </row>
    <row r="2794" spans="1:7" hidden="1" x14ac:dyDescent="0.75">
      <c r="A2794" s="51">
        <v>44928</v>
      </c>
      <c r="B2794" s="52">
        <v>1434</v>
      </c>
      <c r="C2794" s="8" t="s">
        <v>3256</v>
      </c>
      <c r="D2794" s="8" t="s">
        <v>132</v>
      </c>
      <c r="E2794" s="52">
        <v>1362</v>
      </c>
      <c r="F2794" s="13">
        <v>480</v>
      </c>
      <c r="G2794" s="13"/>
    </row>
    <row r="2795" spans="1:7" hidden="1" x14ac:dyDescent="0.75">
      <c r="A2795" s="51">
        <v>44928</v>
      </c>
      <c r="B2795" s="52">
        <v>1434</v>
      </c>
      <c r="C2795" s="8" t="s">
        <v>3257</v>
      </c>
      <c r="D2795" s="8" t="s">
        <v>132</v>
      </c>
      <c r="E2795" s="52">
        <v>1362</v>
      </c>
      <c r="F2795" s="13">
        <v>1080</v>
      </c>
      <c r="G2795" s="13"/>
    </row>
    <row r="2796" spans="1:7" hidden="1" x14ac:dyDescent="0.75">
      <c r="A2796" s="51">
        <v>44928</v>
      </c>
      <c r="B2796" s="52">
        <v>1434</v>
      </c>
      <c r="C2796" s="8" t="s">
        <v>3258</v>
      </c>
      <c r="D2796" s="8" t="s">
        <v>132</v>
      </c>
      <c r="E2796" s="52">
        <v>1362</v>
      </c>
      <c r="F2796" s="13">
        <v>1190</v>
      </c>
      <c r="G2796" s="13"/>
    </row>
    <row r="2797" spans="1:7" hidden="1" x14ac:dyDescent="0.75">
      <c r="A2797" s="51">
        <v>44928</v>
      </c>
      <c r="B2797" s="52">
        <v>1434</v>
      </c>
      <c r="C2797" s="8" t="s">
        <v>3259</v>
      </c>
      <c r="D2797" s="8" t="s">
        <v>132</v>
      </c>
      <c r="E2797" s="52">
        <v>1362</v>
      </c>
      <c r="F2797" s="13">
        <v>12555</v>
      </c>
      <c r="G2797" s="13"/>
    </row>
    <row r="2798" spans="1:7" hidden="1" x14ac:dyDescent="0.75">
      <c r="A2798" s="51">
        <v>44928</v>
      </c>
      <c r="B2798" s="52">
        <v>1434</v>
      </c>
      <c r="C2798" s="8" t="s">
        <v>3260</v>
      </c>
      <c r="D2798" s="8" t="s">
        <v>132</v>
      </c>
      <c r="E2798" s="52">
        <v>417</v>
      </c>
      <c r="F2798" s="13"/>
      <c r="G2798" s="13">
        <v>350.32</v>
      </c>
    </row>
    <row r="2799" spans="1:7" hidden="1" x14ac:dyDescent="0.75">
      <c r="A2799" s="51">
        <v>44928</v>
      </c>
      <c r="B2799" s="52">
        <v>1434</v>
      </c>
      <c r="C2799" s="8" t="s">
        <v>3261</v>
      </c>
      <c r="D2799" s="8" t="s">
        <v>132</v>
      </c>
      <c r="E2799" s="52">
        <v>417</v>
      </c>
      <c r="F2799" s="13"/>
      <c r="G2799" s="13">
        <v>51.2</v>
      </c>
    </row>
    <row r="2800" spans="1:7" hidden="1" x14ac:dyDescent="0.75">
      <c r="A2800" s="51">
        <v>44928</v>
      </c>
      <c r="B2800" s="52">
        <v>1434</v>
      </c>
      <c r="C2800" s="8" t="s">
        <v>3262</v>
      </c>
      <c r="D2800" s="8" t="s">
        <v>132</v>
      </c>
      <c r="E2800" s="52">
        <v>417</v>
      </c>
      <c r="F2800" s="13"/>
      <c r="G2800" s="13">
        <v>30.4</v>
      </c>
    </row>
    <row r="2801" spans="1:7" hidden="1" x14ac:dyDescent="0.75">
      <c r="A2801" s="51">
        <v>44928</v>
      </c>
      <c r="B2801" s="52">
        <v>1434</v>
      </c>
      <c r="C2801" s="8" t="s">
        <v>3263</v>
      </c>
      <c r="D2801" s="8" t="s">
        <v>132</v>
      </c>
      <c r="E2801" s="52">
        <v>417</v>
      </c>
      <c r="F2801" s="13"/>
      <c r="G2801" s="13">
        <v>95.7</v>
      </c>
    </row>
    <row r="2802" spans="1:7" hidden="1" x14ac:dyDescent="0.75">
      <c r="A2802" s="51">
        <v>44929</v>
      </c>
      <c r="B2802" s="52">
        <v>1434</v>
      </c>
      <c r="C2802" s="8" t="s">
        <v>3264</v>
      </c>
      <c r="D2802" s="8" t="s">
        <v>132</v>
      </c>
      <c r="E2802" s="52">
        <v>417</v>
      </c>
      <c r="F2802" s="13"/>
      <c r="G2802" s="13">
        <v>190.2</v>
      </c>
    </row>
    <row r="2803" spans="1:7" hidden="1" x14ac:dyDescent="0.75">
      <c r="A2803" s="51">
        <v>44929</v>
      </c>
      <c r="B2803" s="52">
        <v>1434</v>
      </c>
      <c r="C2803" s="8" t="s">
        <v>3265</v>
      </c>
      <c r="D2803" s="8" t="s">
        <v>132</v>
      </c>
      <c r="E2803" s="52">
        <v>417</v>
      </c>
      <c r="F2803" s="13"/>
      <c r="G2803" s="13">
        <v>133.9</v>
      </c>
    </row>
    <row r="2804" spans="1:7" hidden="1" x14ac:dyDescent="0.75">
      <c r="A2804" s="51">
        <v>44929</v>
      </c>
      <c r="B2804" s="52">
        <v>1434</v>
      </c>
      <c r="C2804" s="8" t="s">
        <v>3266</v>
      </c>
      <c r="D2804" s="8" t="s">
        <v>132</v>
      </c>
      <c r="E2804" s="52">
        <v>417</v>
      </c>
      <c r="F2804" s="13"/>
      <c r="G2804" s="13">
        <v>372.48</v>
      </c>
    </row>
    <row r="2805" spans="1:7" hidden="1" x14ac:dyDescent="0.75">
      <c r="A2805" s="51">
        <v>44929</v>
      </c>
      <c r="B2805" s="52">
        <v>1434</v>
      </c>
      <c r="C2805" s="8" t="s">
        <v>3267</v>
      </c>
      <c r="D2805" s="8" t="s">
        <v>132</v>
      </c>
      <c r="E2805" s="52">
        <v>417</v>
      </c>
      <c r="F2805" s="13"/>
      <c r="G2805" s="13">
        <v>45.7</v>
      </c>
    </row>
    <row r="2806" spans="1:7" hidden="1" x14ac:dyDescent="0.75">
      <c r="A2806" s="51">
        <v>44930</v>
      </c>
      <c r="B2806" s="52">
        <v>1434</v>
      </c>
      <c r="C2806" s="8" t="s">
        <v>3268</v>
      </c>
      <c r="D2806" s="8" t="s">
        <v>132</v>
      </c>
      <c r="E2806" s="52">
        <v>417</v>
      </c>
      <c r="F2806" s="13"/>
      <c r="G2806" s="13">
        <v>79</v>
      </c>
    </row>
    <row r="2807" spans="1:7" hidden="1" x14ac:dyDescent="0.75">
      <c r="A2807" s="51">
        <v>44930</v>
      </c>
      <c r="B2807" s="52">
        <v>1434</v>
      </c>
      <c r="C2807" s="8" t="s">
        <v>3269</v>
      </c>
      <c r="D2807" s="8" t="s">
        <v>132</v>
      </c>
      <c r="E2807" s="52">
        <v>417</v>
      </c>
      <c r="F2807" s="13"/>
      <c r="G2807" s="13">
        <v>285.45999999999998</v>
      </c>
    </row>
    <row r="2808" spans="1:7" hidden="1" x14ac:dyDescent="0.75">
      <c r="A2808" s="51">
        <v>44931</v>
      </c>
      <c r="B2808" s="52">
        <v>1434</v>
      </c>
      <c r="C2808" s="8" t="s">
        <v>3270</v>
      </c>
      <c r="D2808" s="8" t="s">
        <v>132</v>
      </c>
      <c r="E2808" s="52">
        <v>417</v>
      </c>
      <c r="F2808" s="13"/>
      <c r="G2808" s="13">
        <v>39.5</v>
      </c>
    </row>
    <row r="2809" spans="1:7" hidden="1" x14ac:dyDescent="0.75">
      <c r="A2809" s="51">
        <v>44931</v>
      </c>
      <c r="B2809" s="52">
        <v>1434</v>
      </c>
      <c r="C2809" s="8" t="s">
        <v>3271</v>
      </c>
      <c r="D2809" s="8" t="s">
        <v>132</v>
      </c>
      <c r="E2809" s="52">
        <v>417</v>
      </c>
      <c r="F2809" s="13"/>
      <c r="G2809" s="13">
        <v>161</v>
      </c>
    </row>
    <row r="2810" spans="1:7" hidden="1" x14ac:dyDescent="0.75">
      <c r="A2810" s="51">
        <v>44931</v>
      </c>
      <c r="B2810" s="52">
        <v>1434</v>
      </c>
      <c r="C2810" s="8" t="s">
        <v>3272</v>
      </c>
      <c r="D2810" s="8" t="s">
        <v>132</v>
      </c>
      <c r="E2810" s="52">
        <v>417</v>
      </c>
      <c r="F2810" s="13"/>
      <c r="G2810" s="13">
        <v>146.69999999999999</v>
      </c>
    </row>
    <row r="2811" spans="1:7" hidden="1" x14ac:dyDescent="0.75">
      <c r="A2811" s="51">
        <v>44931</v>
      </c>
      <c r="B2811" s="52">
        <v>1434</v>
      </c>
      <c r="C2811" s="8" t="s">
        <v>3273</v>
      </c>
      <c r="D2811" s="8" t="s">
        <v>132</v>
      </c>
      <c r="E2811" s="52">
        <v>417</v>
      </c>
      <c r="F2811" s="13"/>
      <c r="G2811" s="13">
        <v>219.4</v>
      </c>
    </row>
    <row r="2812" spans="1:7" hidden="1" x14ac:dyDescent="0.75">
      <c r="A2812" s="51">
        <v>44932</v>
      </c>
      <c r="B2812" s="52">
        <v>1434</v>
      </c>
      <c r="C2812" s="8" t="s">
        <v>3274</v>
      </c>
      <c r="D2812" s="8" t="s">
        <v>132</v>
      </c>
      <c r="E2812" s="52">
        <v>417</v>
      </c>
      <c r="F2812" s="13"/>
      <c r="G2812" s="13">
        <v>103</v>
      </c>
    </row>
    <row r="2813" spans="1:7" hidden="1" x14ac:dyDescent="0.75">
      <c r="A2813" s="51">
        <v>44932</v>
      </c>
      <c r="B2813" s="52">
        <v>1434</v>
      </c>
      <c r="C2813" s="8" t="s">
        <v>3275</v>
      </c>
      <c r="D2813" s="8" t="s">
        <v>132</v>
      </c>
      <c r="E2813" s="52">
        <v>417</v>
      </c>
      <c r="F2813" s="13"/>
      <c r="G2813" s="13">
        <v>490</v>
      </c>
    </row>
    <row r="2814" spans="1:7" hidden="1" x14ac:dyDescent="0.75">
      <c r="A2814" s="51">
        <v>44933</v>
      </c>
      <c r="B2814" s="52">
        <v>1434</v>
      </c>
      <c r="C2814" s="8" t="s">
        <v>3276</v>
      </c>
      <c r="D2814" s="8" t="s">
        <v>132</v>
      </c>
      <c r="E2814" s="52">
        <v>417</v>
      </c>
      <c r="F2814" s="13"/>
      <c r="G2814" s="13">
        <v>160.30000000000001</v>
      </c>
    </row>
    <row r="2815" spans="1:7" hidden="1" x14ac:dyDescent="0.75">
      <c r="A2815" s="51">
        <v>44935</v>
      </c>
      <c r="B2815" s="52">
        <v>1434</v>
      </c>
      <c r="C2815" s="8" t="s">
        <v>3277</v>
      </c>
      <c r="D2815" s="8" t="s">
        <v>132</v>
      </c>
      <c r="E2815" s="52">
        <v>417</v>
      </c>
      <c r="F2815" s="13"/>
      <c r="G2815" s="13">
        <v>277.18</v>
      </c>
    </row>
    <row r="2816" spans="1:7" hidden="1" x14ac:dyDescent="0.75">
      <c r="A2816" s="51">
        <v>44935</v>
      </c>
      <c r="B2816" s="52">
        <v>1434</v>
      </c>
      <c r="C2816" s="8" t="s">
        <v>3278</v>
      </c>
      <c r="D2816" s="8" t="s">
        <v>132</v>
      </c>
      <c r="E2816" s="52">
        <v>417</v>
      </c>
      <c r="F2816" s="13"/>
      <c r="G2816" s="13">
        <v>34.6</v>
      </c>
    </row>
    <row r="2817" spans="1:7" hidden="1" x14ac:dyDescent="0.75">
      <c r="A2817" s="51">
        <v>44935</v>
      </c>
      <c r="B2817" s="52">
        <v>1434</v>
      </c>
      <c r="C2817" s="8" t="s">
        <v>3279</v>
      </c>
      <c r="D2817" s="8" t="s">
        <v>132</v>
      </c>
      <c r="E2817" s="52">
        <v>417</v>
      </c>
      <c r="F2817" s="13"/>
      <c r="G2817" s="13">
        <v>47.6</v>
      </c>
    </row>
    <row r="2818" spans="1:7" hidden="1" x14ac:dyDescent="0.75">
      <c r="A2818" s="51">
        <v>44935</v>
      </c>
      <c r="B2818" s="52">
        <v>1434</v>
      </c>
      <c r="C2818" s="8" t="s">
        <v>3280</v>
      </c>
      <c r="D2818" s="8" t="s">
        <v>132</v>
      </c>
      <c r="E2818" s="52">
        <v>417</v>
      </c>
      <c r="F2818" s="13"/>
      <c r="G2818" s="13">
        <v>39</v>
      </c>
    </row>
    <row r="2819" spans="1:7" hidden="1" x14ac:dyDescent="0.75">
      <c r="A2819" s="51">
        <v>44935</v>
      </c>
      <c r="B2819" s="52">
        <v>1434</v>
      </c>
      <c r="C2819" s="8" t="s">
        <v>3281</v>
      </c>
      <c r="D2819" s="8" t="s">
        <v>132</v>
      </c>
      <c r="E2819" s="52">
        <v>417</v>
      </c>
      <c r="F2819" s="13"/>
      <c r="G2819" s="13">
        <v>85.6</v>
      </c>
    </row>
    <row r="2820" spans="1:7" hidden="1" x14ac:dyDescent="0.75">
      <c r="A2820" s="51">
        <v>44935</v>
      </c>
      <c r="B2820" s="52">
        <v>1434</v>
      </c>
      <c r="C2820" s="8" t="s">
        <v>3282</v>
      </c>
      <c r="D2820" s="8" t="s">
        <v>132</v>
      </c>
      <c r="E2820" s="52">
        <v>417</v>
      </c>
      <c r="F2820" s="13"/>
      <c r="G2820" s="13">
        <v>59.3</v>
      </c>
    </row>
    <row r="2821" spans="1:7" hidden="1" x14ac:dyDescent="0.75">
      <c r="A2821" s="51">
        <v>44935</v>
      </c>
      <c r="B2821" s="52">
        <v>1434</v>
      </c>
      <c r="C2821" s="8" t="s">
        <v>3283</v>
      </c>
      <c r="D2821" s="8" t="s">
        <v>132</v>
      </c>
      <c r="E2821" s="52">
        <v>417</v>
      </c>
      <c r="F2821" s="13"/>
      <c r="G2821" s="13">
        <v>144</v>
      </c>
    </row>
    <row r="2822" spans="1:7" hidden="1" x14ac:dyDescent="0.75">
      <c r="A2822" s="51">
        <v>44936</v>
      </c>
      <c r="B2822" s="52">
        <v>1434</v>
      </c>
      <c r="C2822" s="8" t="s">
        <v>3284</v>
      </c>
      <c r="D2822" s="8" t="s">
        <v>132</v>
      </c>
      <c r="E2822" s="52">
        <v>1362</v>
      </c>
      <c r="F2822" s="13">
        <v>48.6</v>
      </c>
      <c r="G2822" s="13"/>
    </row>
    <row r="2823" spans="1:7" hidden="1" x14ac:dyDescent="0.75">
      <c r="A2823" s="51">
        <v>44936</v>
      </c>
      <c r="B2823" s="52">
        <v>1434</v>
      </c>
      <c r="C2823" s="8" t="s">
        <v>3285</v>
      </c>
      <c r="D2823" s="8" t="s">
        <v>132</v>
      </c>
      <c r="E2823" s="52">
        <v>1362</v>
      </c>
      <c r="F2823" s="13">
        <v>64.099999999999994</v>
      </c>
      <c r="G2823" s="13"/>
    </row>
    <row r="2824" spans="1:7" hidden="1" x14ac:dyDescent="0.75">
      <c r="A2824" s="51">
        <v>44936</v>
      </c>
      <c r="B2824" s="52">
        <v>1434</v>
      </c>
      <c r="C2824" s="8" t="s">
        <v>3286</v>
      </c>
      <c r="D2824" s="8" t="s">
        <v>132</v>
      </c>
      <c r="E2824" s="52">
        <v>1362</v>
      </c>
      <c r="F2824" s="13">
        <v>78.7</v>
      </c>
      <c r="G2824" s="13"/>
    </row>
    <row r="2825" spans="1:7" hidden="1" x14ac:dyDescent="0.75">
      <c r="A2825" s="51">
        <v>44936</v>
      </c>
      <c r="B2825" s="52">
        <v>1434</v>
      </c>
      <c r="C2825" s="8" t="s">
        <v>3287</v>
      </c>
      <c r="D2825" s="8" t="s">
        <v>132</v>
      </c>
      <c r="E2825" s="52">
        <v>1362</v>
      </c>
      <c r="F2825" s="13">
        <v>57.8</v>
      </c>
      <c r="G2825" s="13"/>
    </row>
    <row r="2826" spans="1:7" hidden="1" x14ac:dyDescent="0.75">
      <c r="A2826" s="51">
        <v>44936</v>
      </c>
      <c r="B2826" s="52">
        <v>1434</v>
      </c>
      <c r="C2826" s="8" t="s">
        <v>3288</v>
      </c>
      <c r="D2826" s="8" t="s">
        <v>132</v>
      </c>
      <c r="E2826" s="52">
        <v>1362</v>
      </c>
      <c r="F2826" s="13">
        <v>102.4</v>
      </c>
      <c r="G2826" s="13"/>
    </row>
    <row r="2827" spans="1:7" hidden="1" x14ac:dyDescent="0.75">
      <c r="A2827" s="51">
        <v>44936</v>
      </c>
      <c r="B2827" s="52">
        <v>1434</v>
      </c>
      <c r="C2827" s="8" t="s">
        <v>3289</v>
      </c>
      <c r="D2827" s="8" t="s">
        <v>132</v>
      </c>
      <c r="E2827" s="52">
        <v>1362</v>
      </c>
      <c r="F2827" s="13">
        <v>74.3</v>
      </c>
      <c r="G2827" s="13"/>
    </row>
    <row r="2828" spans="1:7" hidden="1" x14ac:dyDescent="0.75">
      <c r="A2828" s="51">
        <v>44936</v>
      </c>
      <c r="B2828" s="52">
        <v>1434</v>
      </c>
      <c r="C2828" s="8" t="s">
        <v>3290</v>
      </c>
      <c r="D2828" s="8" t="s">
        <v>132</v>
      </c>
      <c r="E2828" s="52">
        <v>1362</v>
      </c>
      <c r="F2828" s="13">
        <v>45.8</v>
      </c>
      <c r="G2828" s="13"/>
    </row>
    <row r="2829" spans="1:7" hidden="1" x14ac:dyDescent="0.75">
      <c r="A2829" s="51">
        <v>44936</v>
      </c>
      <c r="B2829" s="52">
        <v>1434</v>
      </c>
      <c r="C2829" s="8" t="s">
        <v>3291</v>
      </c>
      <c r="D2829" s="8" t="s">
        <v>132</v>
      </c>
      <c r="E2829" s="52">
        <v>1362</v>
      </c>
      <c r="F2829" s="13">
        <v>150.44</v>
      </c>
      <c r="G2829" s="13"/>
    </row>
    <row r="2830" spans="1:7" hidden="1" x14ac:dyDescent="0.75">
      <c r="A2830" s="51">
        <v>44936</v>
      </c>
      <c r="B2830" s="52">
        <v>1434</v>
      </c>
      <c r="C2830" s="8" t="s">
        <v>3292</v>
      </c>
      <c r="D2830" s="8" t="s">
        <v>132</v>
      </c>
      <c r="E2830" s="52">
        <v>1362</v>
      </c>
      <c r="F2830" s="13">
        <v>137.58000000000001</v>
      </c>
      <c r="G2830" s="13"/>
    </row>
    <row r="2831" spans="1:7" hidden="1" x14ac:dyDescent="0.75">
      <c r="A2831" s="51">
        <v>44936</v>
      </c>
      <c r="B2831" s="52">
        <v>1434</v>
      </c>
      <c r="C2831" s="8" t="s">
        <v>3293</v>
      </c>
      <c r="D2831" s="8" t="s">
        <v>132</v>
      </c>
      <c r="E2831" s="52">
        <v>1362</v>
      </c>
      <c r="F2831" s="13">
        <v>154.52000000000001</v>
      </c>
      <c r="G2831" s="13"/>
    </row>
    <row r="2832" spans="1:7" hidden="1" x14ac:dyDescent="0.75">
      <c r="A2832" s="51">
        <v>44936</v>
      </c>
      <c r="B2832" s="52">
        <v>1434</v>
      </c>
      <c r="C2832" s="8" t="s">
        <v>3294</v>
      </c>
      <c r="D2832" s="8" t="s">
        <v>132</v>
      </c>
      <c r="E2832" s="52">
        <v>1362</v>
      </c>
      <c r="F2832" s="13">
        <v>364.56</v>
      </c>
      <c r="G2832" s="13"/>
    </row>
    <row r="2833" spans="1:7" hidden="1" x14ac:dyDescent="0.75">
      <c r="A2833" s="51">
        <v>44936</v>
      </c>
      <c r="B2833" s="52">
        <v>1434</v>
      </c>
      <c r="C2833" s="8" t="s">
        <v>3295</v>
      </c>
      <c r="D2833" s="8" t="s">
        <v>132</v>
      </c>
      <c r="E2833" s="52">
        <v>1362</v>
      </c>
      <c r="F2833" s="13">
        <v>195.4</v>
      </c>
      <c r="G2833" s="13"/>
    </row>
    <row r="2834" spans="1:7" hidden="1" x14ac:dyDescent="0.75">
      <c r="A2834" s="51">
        <v>44936</v>
      </c>
      <c r="B2834" s="52">
        <v>1434</v>
      </c>
      <c r="C2834" s="8" t="s">
        <v>3296</v>
      </c>
      <c r="D2834" s="8" t="s">
        <v>132</v>
      </c>
      <c r="E2834" s="52">
        <v>1362</v>
      </c>
      <c r="F2834" s="13">
        <v>238.68</v>
      </c>
      <c r="G2834" s="13"/>
    </row>
    <row r="2835" spans="1:7" hidden="1" x14ac:dyDescent="0.75">
      <c r="A2835" s="51">
        <v>44936</v>
      </c>
      <c r="B2835" s="52">
        <v>1434</v>
      </c>
      <c r="C2835" s="8" t="s">
        <v>3297</v>
      </c>
      <c r="D2835" s="8" t="s">
        <v>132</v>
      </c>
      <c r="E2835" s="52">
        <v>1362</v>
      </c>
      <c r="F2835" s="13">
        <v>61.6</v>
      </c>
      <c r="G2835" s="13"/>
    </row>
    <row r="2836" spans="1:7" hidden="1" x14ac:dyDescent="0.75">
      <c r="A2836" s="51">
        <v>44936</v>
      </c>
      <c r="B2836" s="52">
        <v>1434</v>
      </c>
      <c r="C2836" s="8" t="s">
        <v>3298</v>
      </c>
      <c r="D2836" s="8" t="s">
        <v>132</v>
      </c>
      <c r="E2836" s="52">
        <v>1362</v>
      </c>
      <c r="F2836" s="13">
        <v>72.400000000000006</v>
      </c>
      <c r="G2836" s="13"/>
    </row>
    <row r="2837" spans="1:7" hidden="1" x14ac:dyDescent="0.75">
      <c r="A2837" s="51">
        <v>44936</v>
      </c>
      <c r="B2837" s="52">
        <v>1434</v>
      </c>
      <c r="C2837" s="8" t="s">
        <v>3299</v>
      </c>
      <c r="D2837" s="8" t="s">
        <v>132</v>
      </c>
      <c r="E2837" s="52">
        <v>1362</v>
      </c>
      <c r="F2837" s="13">
        <v>58.2</v>
      </c>
      <c r="G2837" s="13"/>
    </row>
    <row r="2838" spans="1:7" hidden="1" x14ac:dyDescent="0.75">
      <c r="A2838" s="51">
        <v>44936</v>
      </c>
      <c r="B2838" s="52">
        <v>1434</v>
      </c>
      <c r="C2838" s="8" t="s">
        <v>3300</v>
      </c>
      <c r="D2838" s="8" t="s">
        <v>132</v>
      </c>
      <c r="E2838" s="52">
        <v>1362</v>
      </c>
      <c r="F2838" s="13">
        <v>174.8</v>
      </c>
      <c r="G2838" s="13"/>
    </row>
    <row r="2839" spans="1:7" hidden="1" x14ac:dyDescent="0.75">
      <c r="A2839" s="51">
        <v>44936</v>
      </c>
      <c r="B2839" s="52">
        <v>1434</v>
      </c>
      <c r="C2839" s="8" t="s">
        <v>3301</v>
      </c>
      <c r="D2839" s="8" t="s">
        <v>132</v>
      </c>
      <c r="E2839" s="52">
        <v>1362</v>
      </c>
      <c r="F2839" s="13">
        <v>244.3</v>
      </c>
      <c r="G2839" s="13"/>
    </row>
    <row r="2840" spans="1:7" hidden="1" x14ac:dyDescent="0.75">
      <c r="A2840" s="51">
        <v>44936</v>
      </c>
      <c r="B2840" s="52">
        <v>1434</v>
      </c>
      <c r="C2840" s="8" t="s">
        <v>3302</v>
      </c>
      <c r="D2840" s="8" t="s">
        <v>132</v>
      </c>
      <c r="E2840" s="52">
        <v>1362</v>
      </c>
      <c r="F2840" s="13">
        <v>360</v>
      </c>
      <c r="G2840" s="13"/>
    </row>
    <row r="2841" spans="1:7" hidden="1" x14ac:dyDescent="0.75">
      <c r="A2841" s="51">
        <v>44936</v>
      </c>
      <c r="B2841" s="52">
        <v>1434</v>
      </c>
      <c r="C2841" s="8" t="s">
        <v>3303</v>
      </c>
      <c r="D2841" s="8" t="s">
        <v>132</v>
      </c>
      <c r="E2841" s="52">
        <v>1362</v>
      </c>
      <c r="F2841" s="13">
        <v>83.7</v>
      </c>
      <c r="G2841" s="13"/>
    </row>
    <row r="2842" spans="1:7" hidden="1" x14ac:dyDescent="0.75">
      <c r="A2842" s="51">
        <v>44936</v>
      </c>
      <c r="B2842" s="52">
        <v>1434</v>
      </c>
      <c r="C2842" s="8" t="s">
        <v>3304</v>
      </c>
      <c r="D2842" s="8" t="s">
        <v>132</v>
      </c>
      <c r="E2842" s="52">
        <v>1362</v>
      </c>
      <c r="F2842" s="13">
        <v>544</v>
      </c>
      <c r="G2842" s="13"/>
    </row>
    <row r="2843" spans="1:7" hidden="1" x14ac:dyDescent="0.75">
      <c r="A2843" s="51">
        <v>44936</v>
      </c>
      <c r="B2843" s="52">
        <v>1434</v>
      </c>
      <c r="C2843" s="8" t="s">
        <v>3305</v>
      </c>
      <c r="D2843" s="8" t="s">
        <v>132</v>
      </c>
      <c r="E2843" s="52">
        <v>1362</v>
      </c>
      <c r="F2843" s="13">
        <v>79</v>
      </c>
      <c r="G2843" s="13"/>
    </row>
    <row r="2844" spans="1:7" hidden="1" x14ac:dyDescent="0.75">
      <c r="A2844" s="51">
        <v>44936</v>
      </c>
      <c r="B2844" s="52">
        <v>1434</v>
      </c>
      <c r="C2844" s="8" t="s">
        <v>3306</v>
      </c>
      <c r="D2844" s="8" t="s">
        <v>132</v>
      </c>
      <c r="E2844" s="52">
        <v>417</v>
      </c>
      <c r="F2844" s="13"/>
      <c r="G2844" s="13">
        <v>172.84</v>
      </c>
    </row>
    <row r="2845" spans="1:7" hidden="1" x14ac:dyDescent="0.75">
      <c r="A2845" s="51">
        <v>44937</v>
      </c>
      <c r="B2845" s="52">
        <v>1434</v>
      </c>
      <c r="C2845" s="8" t="s">
        <v>3307</v>
      </c>
      <c r="D2845" s="8" t="s">
        <v>132</v>
      </c>
      <c r="E2845" s="52">
        <v>417</v>
      </c>
      <c r="F2845" s="13"/>
      <c r="G2845" s="13">
        <v>176</v>
      </c>
    </row>
    <row r="2846" spans="1:7" hidden="1" x14ac:dyDescent="0.75">
      <c r="A2846" s="51">
        <v>44937</v>
      </c>
      <c r="B2846" s="52">
        <v>1434</v>
      </c>
      <c r="C2846" s="8" t="s">
        <v>3308</v>
      </c>
      <c r="D2846" s="8" t="s">
        <v>132</v>
      </c>
      <c r="E2846" s="52">
        <v>417</v>
      </c>
      <c r="F2846" s="13"/>
      <c r="G2846" s="13">
        <v>258.95999999999998</v>
      </c>
    </row>
    <row r="2847" spans="1:7" hidden="1" x14ac:dyDescent="0.75">
      <c r="A2847" s="51">
        <v>44937</v>
      </c>
      <c r="B2847" s="52">
        <v>1434</v>
      </c>
      <c r="C2847" s="8" t="s">
        <v>3309</v>
      </c>
      <c r="D2847" s="8" t="s">
        <v>132</v>
      </c>
      <c r="E2847" s="52">
        <v>417</v>
      </c>
      <c r="F2847" s="13"/>
      <c r="G2847" s="13">
        <v>65.599999999999994</v>
      </c>
    </row>
    <row r="2848" spans="1:7" hidden="1" x14ac:dyDescent="0.75">
      <c r="A2848" s="51">
        <v>44938</v>
      </c>
      <c r="B2848" s="52">
        <v>1434</v>
      </c>
      <c r="C2848" s="8" t="s">
        <v>3310</v>
      </c>
      <c r="D2848" s="8" t="s">
        <v>132</v>
      </c>
      <c r="E2848" s="52">
        <v>417</v>
      </c>
      <c r="F2848" s="13"/>
      <c r="G2848" s="13">
        <v>7140</v>
      </c>
    </row>
    <row r="2849" spans="1:7" hidden="1" x14ac:dyDescent="0.75">
      <c r="A2849" s="51">
        <v>44938</v>
      </c>
      <c r="B2849" s="52">
        <v>1434</v>
      </c>
      <c r="C2849" s="8" t="s">
        <v>3311</v>
      </c>
      <c r="D2849" s="8" t="s">
        <v>132</v>
      </c>
      <c r="E2849" s="52">
        <v>417</v>
      </c>
      <c r="F2849" s="13"/>
      <c r="G2849" s="13">
        <v>73.52</v>
      </c>
    </row>
    <row r="2850" spans="1:7" hidden="1" x14ac:dyDescent="0.75">
      <c r="A2850" s="51">
        <v>44938</v>
      </c>
      <c r="B2850" s="52">
        <v>1434</v>
      </c>
      <c r="C2850" s="8" t="s">
        <v>3312</v>
      </c>
      <c r="D2850" s="8" t="s">
        <v>132</v>
      </c>
      <c r="E2850" s="52">
        <v>417</v>
      </c>
      <c r="F2850" s="13"/>
      <c r="G2850" s="13">
        <v>233.3</v>
      </c>
    </row>
    <row r="2851" spans="1:7" hidden="1" x14ac:dyDescent="0.75">
      <c r="A2851" s="51">
        <v>44938</v>
      </c>
      <c r="B2851" s="52">
        <v>1434</v>
      </c>
      <c r="C2851" s="8" t="s">
        <v>3313</v>
      </c>
      <c r="D2851" s="8" t="s">
        <v>132</v>
      </c>
      <c r="E2851" s="52">
        <v>417</v>
      </c>
      <c r="F2851" s="13"/>
      <c r="G2851" s="13">
        <v>238.9</v>
      </c>
    </row>
    <row r="2852" spans="1:7" hidden="1" x14ac:dyDescent="0.75">
      <c r="A2852" s="51">
        <v>44938</v>
      </c>
      <c r="B2852" s="52">
        <v>1434</v>
      </c>
      <c r="C2852" s="8" t="s">
        <v>3314</v>
      </c>
      <c r="D2852" s="8" t="s">
        <v>132</v>
      </c>
      <c r="E2852" s="52">
        <v>417</v>
      </c>
      <c r="F2852" s="13"/>
      <c r="G2852" s="13">
        <v>169.12</v>
      </c>
    </row>
    <row r="2853" spans="1:7" hidden="1" x14ac:dyDescent="0.75">
      <c r="A2853" s="51">
        <v>44938</v>
      </c>
      <c r="B2853" s="52">
        <v>1434</v>
      </c>
      <c r="C2853" s="8" t="s">
        <v>3315</v>
      </c>
      <c r="D2853" s="8" t="s">
        <v>132</v>
      </c>
      <c r="E2853" s="52">
        <v>417</v>
      </c>
      <c r="F2853" s="13"/>
      <c r="G2853" s="13">
        <v>125.28</v>
      </c>
    </row>
    <row r="2854" spans="1:7" hidden="1" x14ac:dyDescent="0.75">
      <c r="A2854" s="51">
        <v>44939</v>
      </c>
      <c r="B2854" s="52">
        <v>1434</v>
      </c>
      <c r="C2854" s="8" t="s">
        <v>3316</v>
      </c>
      <c r="D2854" s="8" t="s">
        <v>132</v>
      </c>
      <c r="E2854" s="52">
        <v>417</v>
      </c>
      <c r="F2854" s="13"/>
      <c r="G2854" s="13">
        <v>20</v>
      </c>
    </row>
    <row r="2855" spans="1:7" hidden="1" x14ac:dyDescent="0.75">
      <c r="A2855" s="51">
        <v>44939</v>
      </c>
      <c r="B2855" s="52">
        <v>1434</v>
      </c>
      <c r="C2855" s="8" t="s">
        <v>3317</v>
      </c>
      <c r="D2855" s="8" t="s">
        <v>132</v>
      </c>
      <c r="E2855" s="52">
        <v>417</v>
      </c>
      <c r="F2855" s="13"/>
      <c r="G2855" s="13">
        <v>98.38</v>
      </c>
    </row>
    <row r="2856" spans="1:7" hidden="1" x14ac:dyDescent="0.75">
      <c r="A2856" s="51">
        <v>44940</v>
      </c>
      <c r="B2856" s="52">
        <v>1434</v>
      </c>
      <c r="C2856" s="8" t="s">
        <v>3318</v>
      </c>
      <c r="D2856" s="8" t="s">
        <v>132</v>
      </c>
      <c r="E2856" s="52">
        <v>417</v>
      </c>
      <c r="F2856" s="13"/>
      <c r="G2856" s="13">
        <v>272</v>
      </c>
    </row>
    <row r="2857" spans="1:7" hidden="1" x14ac:dyDescent="0.75">
      <c r="A2857" s="51">
        <v>44940</v>
      </c>
      <c r="B2857" s="52">
        <v>1434</v>
      </c>
      <c r="C2857" s="8" t="s">
        <v>3319</v>
      </c>
      <c r="D2857" s="8" t="s">
        <v>132</v>
      </c>
      <c r="E2857" s="52">
        <v>417</v>
      </c>
      <c r="F2857" s="13"/>
      <c r="G2857" s="13">
        <v>103.38</v>
      </c>
    </row>
    <row r="2858" spans="1:7" hidden="1" x14ac:dyDescent="0.75">
      <c r="A2858" s="51">
        <v>44940</v>
      </c>
      <c r="B2858" s="52">
        <v>1434</v>
      </c>
      <c r="C2858" s="8" t="s">
        <v>3320</v>
      </c>
      <c r="D2858" s="8" t="s">
        <v>132</v>
      </c>
      <c r="E2858" s="52">
        <v>417</v>
      </c>
      <c r="F2858" s="13"/>
      <c r="G2858" s="13">
        <v>169.78</v>
      </c>
    </row>
    <row r="2859" spans="1:7" hidden="1" x14ac:dyDescent="0.75">
      <c r="A2859" s="51">
        <v>44942</v>
      </c>
      <c r="B2859" s="52">
        <v>1434</v>
      </c>
      <c r="C2859" s="8" t="s">
        <v>3321</v>
      </c>
      <c r="D2859" s="8" t="s">
        <v>132</v>
      </c>
      <c r="E2859" s="52">
        <v>417</v>
      </c>
      <c r="F2859" s="13"/>
      <c r="G2859" s="13">
        <v>490</v>
      </c>
    </row>
    <row r="2860" spans="1:7" hidden="1" x14ac:dyDescent="0.75">
      <c r="A2860" s="51">
        <v>44942</v>
      </c>
      <c r="B2860" s="52">
        <v>1434</v>
      </c>
      <c r="C2860" s="8" t="s">
        <v>3322</v>
      </c>
      <c r="D2860" s="8" t="s">
        <v>132</v>
      </c>
      <c r="E2860" s="52">
        <v>417</v>
      </c>
      <c r="F2860" s="13"/>
      <c r="G2860" s="13">
        <v>263.36</v>
      </c>
    </row>
    <row r="2861" spans="1:7" hidden="1" x14ac:dyDescent="0.75">
      <c r="A2861" s="51">
        <v>44942</v>
      </c>
      <c r="B2861" s="52">
        <v>1434</v>
      </c>
      <c r="C2861" s="8" t="s">
        <v>3323</v>
      </c>
      <c r="D2861" s="8" t="s">
        <v>132</v>
      </c>
      <c r="E2861" s="52">
        <v>417</v>
      </c>
      <c r="F2861" s="13"/>
      <c r="G2861" s="13">
        <v>69.7</v>
      </c>
    </row>
    <row r="2862" spans="1:7" hidden="1" x14ac:dyDescent="0.75">
      <c r="A2862" s="51">
        <v>44942</v>
      </c>
      <c r="B2862" s="52">
        <v>1434</v>
      </c>
      <c r="C2862" s="8" t="s">
        <v>3324</v>
      </c>
      <c r="D2862" s="8" t="s">
        <v>132</v>
      </c>
      <c r="E2862" s="52">
        <v>417</v>
      </c>
      <c r="F2862" s="13"/>
      <c r="G2862" s="13">
        <v>73.5</v>
      </c>
    </row>
    <row r="2863" spans="1:7" hidden="1" x14ac:dyDescent="0.75">
      <c r="A2863" s="51">
        <v>44942</v>
      </c>
      <c r="B2863" s="52">
        <v>1434</v>
      </c>
      <c r="C2863" s="8" t="s">
        <v>3325</v>
      </c>
      <c r="D2863" s="8" t="s">
        <v>132</v>
      </c>
      <c r="E2863" s="52">
        <v>417</v>
      </c>
      <c r="F2863" s="13"/>
      <c r="G2863" s="13">
        <v>104.4</v>
      </c>
    </row>
    <row r="2864" spans="1:7" hidden="1" x14ac:dyDescent="0.75">
      <c r="A2864" s="51">
        <v>44942</v>
      </c>
      <c r="B2864" s="52">
        <v>1434</v>
      </c>
      <c r="C2864" s="8" t="s">
        <v>3326</v>
      </c>
      <c r="D2864" s="8" t="s">
        <v>132</v>
      </c>
      <c r="E2864" s="52">
        <v>417</v>
      </c>
      <c r="F2864" s="13"/>
      <c r="G2864" s="13">
        <v>76.2</v>
      </c>
    </row>
    <row r="2865" spans="1:7" hidden="1" x14ac:dyDescent="0.75">
      <c r="A2865" s="51">
        <v>44942</v>
      </c>
      <c r="B2865" s="52">
        <v>1434</v>
      </c>
      <c r="C2865" s="8" t="s">
        <v>3327</v>
      </c>
      <c r="D2865" s="8" t="s">
        <v>132</v>
      </c>
      <c r="E2865" s="52">
        <v>417</v>
      </c>
      <c r="F2865" s="13"/>
      <c r="G2865" s="13">
        <v>92.55</v>
      </c>
    </row>
    <row r="2866" spans="1:7" hidden="1" x14ac:dyDescent="0.75">
      <c r="A2866" s="51">
        <v>44942</v>
      </c>
      <c r="B2866" s="52">
        <v>1434</v>
      </c>
      <c r="C2866" s="8" t="s">
        <v>3328</v>
      </c>
      <c r="D2866" s="8" t="s">
        <v>132</v>
      </c>
      <c r="E2866" s="52">
        <v>417</v>
      </c>
      <c r="F2866" s="13"/>
      <c r="G2866" s="13">
        <v>125.2</v>
      </c>
    </row>
    <row r="2867" spans="1:7" hidden="1" x14ac:dyDescent="0.75">
      <c r="A2867" s="51">
        <v>44943</v>
      </c>
      <c r="B2867" s="52">
        <v>1434</v>
      </c>
      <c r="C2867" s="8" t="s">
        <v>3329</v>
      </c>
      <c r="D2867" s="8" t="s">
        <v>132</v>
      </c>
      <c r="E2867" s="52">
        <v>417</v>
      </c>
      <c r="F2867" s="13"/>
      <c r="G2867" s="13">
        <v>173.7</v>
      </c>
    </row>
    <row r="2868" spans="1:7" hidden="1" x14ac:dyDescent="0.75">
      <c r="A2868" s="51">
        <v>44943</v>
      </c>
      <c r="B2868" s="52">
        <v>1434</v>
      </c>
      <c r="C2868" s="8" t="s">
        <v>3330</v>
      </c>
      <c r="D2868" s="8" t="s">
        <v>132</v>
      </c>
      <c r="E2868" s="52">
        <v>417</v>
      </c>
      <c r="F2868" s="13"/>
      <c r="G2868" s="13">
        <v>106.9</v>
      </c>
    </row>
    <row r="2869" spans="1:7" hidden="1" x14ac:dyDescent="0.75">
      <c r="A2869" s="51">
        <v>44944</v>
      </c>
      <c r="B2869" s="52">
        <v>1434</v>
      </c>
      <c r="C2869" s="8" t="s">
        <v>3331</v>
      </c>
      <c r="D2869" s="8" t="s">
        <v>132</v>
      </c>
      <c r="E2869" s="52">
        <v>417</v>
      </c>
      <c r="F2869" s="13"/>
      <c r="G2869" s="13">
        <v>427.5</v>
      </c>
    </row>
    <row r="2870" spans="1:7" hidden="1" x14ac:dyDescent="0.75">
      <c r="A2870" s="51">
        <v>44944</v>
      </c>
      <c r="B2870" s="52">
        <v>1434</v>
      </c>
      <c r="C2870" s="8" t="s">
        <v>3332</v>
      </c>
      <c r="D2870" s="8" t="s">
        <v>132</v>
      </c>
      <c r="E2870" s="52">
        <v>417</v>
      </c>
      <c r="F2870" s="13"/>
      <c r="G2870" s="13">
        <v>228.2</v>
      </c>
    </row>
    <row r="2871" spans="1:7" hidden="1" x14ac:dyDescent="0.75">
      <c r="A2871" s="51">
        <v>44944</v>
      </c>
      <c r="B2871" s="52">
        <v>1434</v>
      </c>
      <c r="C2871" s="8" t="s">
        <v>3333</v>
      </c>
      <c r="D2871" s="8" t="s">
        <v>132</v>
      </c>
      <c r="E2871" s="52">
        <v>417</v>
      </c>
      <c r="F2871" s="13"/>
      <c r="G2871" s="13">
        <v>135.19999999999999</v>
      </c>
    </row>
    <row r="2872" spans="1:7" hidden="1" x14ac:dyDescent="0.75">
      <c r="A2872" s="51">
        <v>44944</v>
      </c>
      <c r="B2872" s="52">
        <v>1434</v>
      </c>
      <c r="C2872" s="8" t="s">
        <v>3334</v>
      </c>
      <c r="D2872" s="8" t="s">
        <v>132</v>
      </c>
      <c r="E2872" s="52">
        <v>417</v>
      </c>
      <c r="F2872" s="13"/>
      <c r="G2872" s="13">
        <v>192.98</v>
      </c>
    </row>
    <row r="2873" spans="1:7" hidden="1" x14ac:dyDescent="0.75">
      <c r="A2873" s="51">
        <v>44944</v>
      </c>
      <c r="B2873" s="52">
        <v>1434</v>
      </c>
      <c r="C2873" s="8" t="s">
        <v>3335</v>
      </c>
      <c r="D2873" s="8" t="s">
        <v>132</v>
      </c>
      <c r="E2873" s="52">
        <v>417</v>
      </c>
      <c r="F2873" s="13"/>
      <c r="G2873" s="13">
        <v>200</v>
      </c>
    </row>
    <row r="2874" spans="1:7" hidden="1" x14ac:dyDescent="0.75">
      <c r="A2874" s="51">
        <v>44944</v>
      </c>
      <c r="B2874" s="52">
        <v>1434</v>
      </c>
      <c r="C2874" s="8" t="s">
        <v>3336</v>
      </c>
      <c r="D2874" s="8" t="s">
        <v>132</v>
      </c>
      <c r="E2874" s="52">
        <v>417</v>
      </c>
      <c r="F2874" s="13"/>
      <c r="G2874" s="13">
        <v>47.5</v>
      </c>
    </row>
    <row r="2875" spans="1:7" hidden="1" x14ac:dyDescent="0.75">
      <c r="A2875" s="51">
        <v>44945</v>
      </c>
      <c r="B2875" s="52">
        <v>1434</v>
      </c>
      <c r="C2875" s="8" t="s">
        <v>3337</v>
      </c>
      <c r="D2875" s="8" t="s">
        <v>132</v>
      </c>
      <c r="E2875" s="52">
        <v>417</v>
      </c>
      <c r="F2875" s="13"/>
      <c r="G2875" s="13">
        <v>30</v>
      </c>
    </row>
    <row r="2876" spans="1:7" hidden="1" x14ac:dyDescent="0.75">
      <c r="A2876" s="51">
        <v>44945</v>
      </c>
      <c r="B2876" s="52">
        <v>1434</v>
      </c>
      <c r="C2876" s="8" t="s">
        <v>3338</v>
      </c>
      <c r="D2876" s="8" t="s">
        <v>132</v>
      </c>
      <c r="E2876" s="52">
        <v>417</v>
      </c>
      <c r="F2876" s="13"/>
      <c r="G2876" s="13">
        <v>160</v>
      </c>
    </row>
    <row r="2877" spans="1:7" hidden="1" x14ac:dyDescent="0.75">
      <c r="A2877" s="51">
        <v>44945</v>
      </c>
      <c r="B2877" s="52">
        <v>1434</v>
      </c>
      <c r="C2877" s="8" t="s">
        <v>3339</v>
      </c>
      <c r="D2877" s="8" t="s">
        <v>132</v>
      </c>
      <c r="E2877" s="52">
        <v>417</v>
      </c>
      <c r="F2877" s="13"/>
      <c r="G2877" s="13">
        <v>79</v>
      </c>
    </row>
    <row r="2878" spans="1:7" hidden="1" x14ac:dyDescent="0.75">
      <c r="A2878" s="51">
        <v>44945</v>
      </c>
      <c r="B2878" s="52">
        <v>1434</v>
      </c>
      <c r="C2878" s="8" t="s">
        <v>3340</v>
      </c>
      <c r="D2878" s="8" t="s">
        <v>132</v>
      </c>
      <c r="E2878" s="52">
        <v>417</v>
      </c>
      <c r="F2878" s="13"/>
      <c r="G2878" s="13">
        <v>156.47999999999999</v>
      </c>
    </row>
    <row r="2879" spans="1:7" hidden="1" x14ac:dyDescent="0.75">
      <c r="A2879" s="51">
        <v>44946</v>
      </c>
      <c r="B2879" s="52">
        <v>1434</v>
      </c>
      <c r="C2879" s="8" t="s">
        <v>3341</v>
      </c>
      <c r="D2879" s="8" t="s">
        <v>132</v>
      </c>
      <c r="E2879" s="52">
        <v>1362</v>
      </c>
      <c r="F2879" s="13">
        <v>110.8</v>
      </c>
      <c r="G2879" s="13"/>
    </row>
    <row r="2880" spans="1:7" hidden="1" x14ac:dyDescent="0.75">
      <c r="A2880" s="51">
        <v>44946</v>
      </c>
      <c r="B2880" s="52">
        <v>1434</v>
      </c>
      <c r="C2880" s="8" t="s">
        <v>3342</v>
      </c>
      <c r="D2880" s="8" t="s">
        <v>132</v>
      </c>
      <c r="E2880" s="52">
        <v>1362</v>
      </c>
      <c r="F2880" s="13">
        <v>62.9</v>
      </c>
      <c r="G2880" s="13"/>
    </row>
    <row r="2881" spans="1:7" hidden="1" x14ac:dyDescent="0.75">
      <c r="A2881" s="51">
        <v>44946</v>
      </c>
      <c r="B2881" s="52">
        <v>1434</v>
      </c>
      <c r="C2881" s="8" t="s">
        <v>3343</v>
      </c>
      <c r="D2881" s="8" t="s">
        <v>132</v>
      </c>
      <c r="E2881" s="52">
        <v>1362</v>
      </c>
      <c r="F2881" s="13">
        <v>87.9</v>
      </c>
      <c r="G2881" s="13"/>
    </row>
    <row r="2882" spans="1:7" hidden="1" x14ac:dyDescent="0.75">
      <c r="A2882" s="51">
        <v>44946</v>
      </c>
      <c r="B2882" s="52">
        <v>1434</v>
      </c>
      <c r="C2882" s="8" t="s">
        <v>3344</v>
      </c>
      <c r="D2882" s="8" t="s">
        <v>132</v>
      </c>
      <c r="E2882" s="52">
        <v>1362</v>
      </c>
      <c r="F2882" s="13">
        <v>43</v>
      </c>
      <c r="G2882" s="13"/>
    </row>
    <row r="2883" spans="1:7" hidden="1" x14ac:dyDescent="0.75">
      <c r="A2883" s="51">
        <v>44946</v>
      </c>
      <c r="B2883" s="52">
        <v>1434</v>
      </c>
      <c r="C2883" s="8" t="s">
        <v>3345</v>
      </c>
      <c r="D2883" s="8" t="s">
        <v>132</v>
      </c>
      <c r="E2883" s="52">
        <v>1362</v>
      </c>
      <c r="F2883" s="13">
        <v>44.8</v>
      </c>
      <c r="G2883" s="13"/>
    </row>
    <row r="2884" spans="1:7" hidden="1" x14ac:dyDescent="0.75">
      <c r="A2884" s="51">
        <v>44946</v>
      </c>
      <c r="B2884" s="52">
        <v>1434</v>
      </c>
      <c r="C2884" s="8" t="s">
        <v>3346</v>
      </c>
      <c r="D2884" s="8" t="s">
        <v>132</v>
      </c>
      <c r="E2884" s="52">
        <v>1362</v>
      </c>
      <c r="F2884" s="13">
        <v>60.7</v>
      </c>
      <c r="G2884" s="13"/>
    </row>
    <row r="2885" spans="1:7" hidden="1" x14ac:dyDescent="0.75">
      <c r="A2885" s="51">
        <v>44946</v>
      </c>
      <c r="B2885" s="52">
        <v>1434</v>
      </c>
      <c r="C2885" s="8" t="s">
        <v>3347</v>
      </c>
      <c r="D2885" s="8" t="s">
        <v>132</v>
      </c>
      <c r="E2885" s="52">
        <v>1362</v>
      </c>
      <c r="F2885" s="13">
        <v>51.2</v>
      </c>
      <c r="G2885" s="13"/>
    </row>
    <row r="2886" spans="1:7" hidden="1" x14ac:dyDescent="0.75">
      <c r="A2886" s="51">
        <v>44946</v>
      </c>
      <c r="B2886" s="52">
        <v>1434</v>
      </c>
      <c r="C2886" s="8" t="s">
        <v>3348</v>
      </c>
      <c r="D2886" s="8" t="s">
        <v>132</v>
      </c>
      <c r="E2886" s="52">
        <v>1362</v>
      </c>
      <c r="F2886" s="13">
        <v>30.4</v>
      </c>
      <c r="G2886" s="13"/>
    </row>
    <row r="2887" spans="1:7" hidden="1" x14ac:dyDescent="0.75">
      <c r="A2887" s="51">
        <v>44946</v>
      </c>
      <c r="B2887" s="52">
        <v>1434</v>
      </c>
      <c r="C2887" s="8" t="s">
        <v>3349</v>
      </c>
      <c r="D2887" s="8" t="s">
        <v>132</v>
      </c>
      <c r="E2887" s="52">
        <v>1362</v>
      </c>
      <c r="F2887" s="13">
        <v>95.7</v>
      </c>
      <c r="G2887" s="13"/>
    </row>
    <row r="2888" spans="1:7" hidden="1" x14ac:dyDescent="0.75">
      <c r="A2888" s="51">
        <v>44946</v>
      </c>
      <c r="B2888" s="52">
        <v>1434</v>
      </c>
      <c r="C2888" s="8" t="s">
        <v>3350</v>
      </c>
      <c r="D2888" s="8" t="s">
        <v>132</v>
      </c>
      <c r="E2888" s="52">
        <v>1362</v>
      </c>
      <c r="F2888" s="13">
        <v>401.1</v>
      </c>
      <c r="G2888" s="13"/>
    </row>
    <row r="2889" spans="1:7" hidden="1" x14ac:dyDescent="0.75">
      <c r="A2889" s="51">
        <v>44946</v>
      </c>
      <c r="B2889" s="52">
        <v>1434</v>
      </c>
      <c r="C2889" s="8" t="s">
        <v>3351</v>
      </c>
      <c r="D2889" s="8" t="s">
        <v>132</v>
      </c>
      <c r="E2889" s="52">
        <v>1362</v>
      </c>
      <c r="F2889" s="13">
        <v>235.1</v>
      </c>
      <c r="G2889" s="13"/>
    </row>
    <row r="2890" spans="1:7" hidden="1" x14ac:dyDescent="0.75">
      <c r="A2890" s="51">
        <v>44946</v>
      </c>
      <c r="B2890" s="52">
        <v>1434</v>
      </c>
      <c r="C2890" s="8" t="s">
        <v>3352</v>
      </c>
      <c r="D2890" s="8" t="s">
        <v>132</v>
      </c>
      <c r="E2890" s="52">
        <v>1362</v>
      </c>
      <c r="F2890" s="13">
        <v>28.3</v>
      </c>
      <c r="G2890" s="13"/>
    </row>
    <row r="2891" spans="1:7" hidden="1" x14ac:dyDescent="0.75">
      <c r="A2891" s="51">
        <v>44946</v>
      </c>
      <c r="B2891" s="52">
        <v>1434</v>
      </c>
      <c r="C2891" s="8" t="s">
        <v>3353</v>
      </c>
      <c r="D2891" s="8" t="s">
        <v>132</v>
      </c>
      <c r="E2891" s="52">
        <v>1362</v>
      </c>
      <c r="F2891" s="13">
        <v>45.7</v>
      </c>
      <c r="G2891" s="13"/>
    </row>
    <row r="2892" spans="1:7" hidden="1" x14ac:dyDescent="0.75">
      <c r="A2892" s="51">
        <v>44946</v>
      </c>
      <c r="B2892" s="52">
        <v>1434</v>
      </c>
      <c r="C2892" s="8" t="s">
        <v>3354</v>
      </c>
      <c r="D2892" s="8" t="s">
        <v>132</v>
      </c>
      <c r="E2892" s="52">
        <v>1362</v>
      </c>
      <c r="F2892" s="13">
        <v>165.54</v>
      </c>
      <c r="G2892" s="13"/>
    </row>
    <row r="2893" spans="1:7" hidden="1" x14ac:dyDescent="0.75">
      <c r="A2893" s="51">
        <v>44946</v>
      </c>
      <c r="B2893" s="52">
        <v>1434</v>
      </c>
      <c r="C2893" s="8" t="s">
        <v>3355</v>
      </c>
      <c r="D2893" s="8" t="s">
        <v>132</v>
      </c>
      <c r="E2893" s="52">
        <v>1362</v>
      </c>
      <c r="F2893" s="13">
        <v>128.84</v>
      </c>
      <c r="G2893" s="13"/>
    </row>
    <row r="2894" spans="1:7" hidden="1" x14ac:dyDescent="0.75">
      <c r="A2894" s="51">
        <v>44946</v>
      </c>
      <c r="B2894" s="52">
        <v>1434</v>
      </c>
      <c r="C2894" s="8" t="s">
        <v>3356</v>
      </c>
      <c r="D2894" s="8" t="s">
        <v>132</v>
      </c>
      <c r="E2894" s="52">
        <v>1362</v>
      </c>
      <c r="F2894" s="13">
        <v>110.24</v>
      </c>
      <c r="G2894" s="13"/>
    </row>
    <row r="2895" spans="1:7" hidden="1" x14ac:dyDescent="0.75">
      <c r="A2895" s="51">
        <v>44946</v>
      </c>
      <c r="B2895" s="52">
        <v>1434</v>
      </c>
      <c r="C2895" s="8" t="s">
        <v>3357</v>
      </c>
      <c r="D2895" s="8" t="s">
        <v>132</v>
      </c>
      <c r="E2895" s="52">
        <v>1362</v>
      </c>
      <c r="F2895" s="13">
        <v>228.24</v>
      </c>
      <c r="G2895" s="13"/>
    </row>
    <row r="2896" spans="1:7" hidden="1" x14ac:dyDescent="0.75">
      <c r="A2896" s="51">
        <v>44946</v>
      </c>
      <c r="B2896" s="52">
        <v>1434</v>
      </c>
      <c r="C2896" s="8" t="s">
        <v>3358</v>
      </c>
      <c r="D2896" s="8" t="s">
        <v>132</v>
      </c>
      <c r="E2896" s="52">
        <v>1362</v>
      </c>
      <c r="F2896" s="13">
        <v>289.26</v>
      </c>
      <c r="G2896" s="13"/>
    </row>
    <row r="2897" spans="1:7" hidden="1" x14ac:dyDescent="0.75">
      <c r="A2897" s="51">
        <v>44946</v>
      </c>
      <c r="B2897" s="52">
        <v>1434</v>
      </c>
      <c r="C2897" s="8" t="s">
        <v>3359</v>
      </c>
      <c r="D2897" s="8" t="s">
        <v>132</v>
      </c>
      <c r="E2897" s="52">
        <v>1362</v>
      </c>
      <c r="F2897" s="13">
        <v>254.18</v>
      </c>
      <c r="G2897" s="13"/>
    </row>
    <row r="2898" spans="1:7" hidden="1" x14ac:dyDescent="0.75">
      <c r="A2898" s="51">
        <v>44946</v>
      </c>
      <c r="B2898" s="52">
        <v>1434</v>
      </c>
      <c r="C2898" s="8" t="s">
        <v>3360</v>
      </c>
      <c r="D2898" s="8" t="s">
        <v>132</v>
      </c>
      <c r="E2898" s="52">
        <v>1362</v>
      </c>
      <c r="F2898" s="13">
        <v>215.14</v>
      </c>
      <c r="G2898" s="13"/>
    </row>
    <row r="2899" spans="1:7" hidden="1" x14ac:dyDescent="0.75">
      <c r="A2899" s="51">
        <v>44946</v>
      </c>
      <c r="B2899" s="52">
        <v>1434</v>
      </c>
      <c r="C2899" s="8" t="s">
        <v>3361</v>
      </c>
      <c r="D2899" s="8" t="s">
        <v>132</v>
      </c>
      <c r="E2899" s="52">
        <v>1362</v>
      </c>
      <c r="F2899" s="13">
        <v>223.18</v>
      </c>
      <c r="G2899" s="13"/>
    </row>
    <row r="2900" spans="1:7" hidden="1" x14ac:dyDescent="0.75">
      <c r="A2900" s="51">
        <v>44946</v>
      </c>
      <c r="B2900" s="52">
        <v>1434</v>
      </c>
      <c r="C2900" s="8" t="s">
        <v>3362</v>
      </c>
      <c r="D2900" s="8" t="s">
        <v>132</v>
      </c>
      <c r="E2900" s="52">
        <v>1362</v>
      </c>
      <c r="F2900" s="13">
        <v>206.86</v>
      </c>
      <c r="G2900" s="13"/>
    </row>
    <row r="2901" spans="1:7" hidden="1" x14ac:dyDescent="0.75">
      <c r="A2901" s="51">
        <v>44946</v>
      </c>
      <c r="B2901" s="52">
        <v>1434</v>
      </c>
      <c r="C2901" s="8" t="s">
        <v>3363</v>
      </c>
      <c r="D2901" s="8" t="s">
        <v>132</v>
      </c>
      <c r="E2901" s="52">
        <v>1362</v>
      </c>
      <c r="F2901" s="13">
        <v>350.32</v>
      </c>
      <c r="G2901" s="13"/>
    </row>
    <row r="2902" spans="1:7" hidden="1" x14ac:dyDescent="0.75">
      <c r="A2902" s="51">
        <v>44946</v>
      </c>
      <c r="B2902" s="52">
        <v>1434</v>
      </c>
      <c r="C2902" s="8" t="s">
        <v>3364</v>
      </c>
      <c r="D2902" s="8" t="s">
        <v>132</v>
      </c>
      <c r="E2902" s="52">
        <v>1362</v>
      </c>
      <c r="F2902" s="13">
        <v>372.48</v>
      </c>
      <c r="G2902" s="13"/>
    </row>
    <row r="2903" spans="1:7" hidden="1" x14ac:dyDescent="0.75">
      <c r="A2903" s="51">
        <v>44946</v>
      </c>
      <c r="B2903" s="52">
        <v>1434</v>
      </c>
      <c r="C2903" s="8" t="s">
        <v>3365</v>
      </c>
      <c r="D2903" s="8" t="s">
        <v>132</v>
      </c>
      <c r="E2903" s="52">
        <v>1362</v>
      </c>
      <c r="F2903" s="13">
        <v>285.45999999999998</v>
      </c>
      <c r="G2903" s="13"/>
    </row>
    <row r="2904" spans="1:7" hidden="1" x14ac:dyDescent="0.75">
      <c r="A2904" s="51">
        <v>44946</v>
      </c>
      <c r="B2904" s="52">
        <v>1434</v>
      </c>
      <c r="C2904" s="8" t="s">
        <v>3366</v>
      </c>
      <c r="D2904" s="8" t="s">
        <v>132</v>
      </c>
      <c r="E2904" s="52">
        <v>1362</v>
      </c>
      <c r="F2904" s="13">
        <v>236.8</v>
      </c>
      <c r="G2904" s="13"/>
    </row>
    <row r="2905" spans="1:7" hidden="1" x14ac:dyDescent="0.75">
      <c r="A2905" s="51">
        <v>44946</v>
      </c>
      <c r="B2905" s="52">
        <v>1434</v>
      </c>
      <c r="C2905" s="8" t="s">
        <v>3367</v>
      </c>
      <c r="D2905" s="8" t="s">
        <v>132</v>
      </c>
      <c r="E2905" s="52">
        <v>1362</v>
      </c>
      <c r="F2905" s="13">
        <v>107.1</v>
      </c>
      <c r="G2905" s="13"/>
    </row>
    <row r="2906" spans="1:7" hidden="1" x14ac:dyDescent="0.75">
      <c r="A2906" s="51">
        <v>44946</v>
      </c>
      <c r="B2906" s="52">
        <v>1434</v>
      </c>
      <c r="C2906" s="8" t="s">
        <v>3368</v>
      </c>
      <c r="D2906" s="8" t="s">
        <v>132</v>
      </c>
      <c r="E2906" s="52">
        <v>1362</v>
      </c>
      <c r="F2906" s="13">
        <v>90.6</v>
      </c>
      <c r="G2906" s="13"/>
    </row>
    <row r="2907" spans="1:7" hidden="1" x14ac:dyDescent="0.75">
      <c r="A2907" s="51">
        <v>44946</v>
      </c>
      <c r="B2907" s="52">
        <v>1434</v>
      </c>
      <c r="C2907" s="8" t="s">
        <v>3369</v>
      </c>
      <c r="D2907" s="8" t="s">
        <v>132</v>
      </c>
      <c r="E2907" s="52">
        <v>1362</v>
      </c>
      <c r="F2907" s="13">
        <v>164</v>
      </c>
      <c r="G2907" s="13"/>
    </row>
    <row r="2908" spans="1:7" hidden="1" x14ac:dyDescent="0.75">
      <c r="A2908" s="51">
        <v>44946</v>
      </c>
      <c r="B2908" s="52">
        <v>1434</v>
      </c>
      <c r="C2908" s="8" t="s">
        <v>3370</v>
      </c>
      <c r="D2908" s="8" t="s">
        <v>132</v>
      </c>
      <c r="E2908" s="52">
        <v>1362</v>
      </c>
      <c r="F2908" s="13">
        <v>58.3</v>
      </c>
      <c r="G2908" s="13"/>
    </row>
    <row r="2909" spans="1:7" hidden="1" x14ac:dyDescent="0.75">
      <c r="A2909" s="51">
        <v>44946</v>
      </c>
      <c r="B2909" s="52">
        <v>1434</v>
      </c>
      <c r="C2909" s="8" t="s">
        <v>3371</v>
      </c>
      <c r="D2909" s="8" t="s">
        <v>132</v>
      </c>
      <c r="E2909" s="52">
        <v>1362</v>
      </c>
      <c r="F2909" s="13">
        <v>59.1</v>
      </c>
      <c r="G2909" s="13"/>
    </row>
    <row r="2910" spans="1:7" hidden="1" x14ac:dyDescent="0.75">
      <c r="A2910" s="51">
        <v>44946</v>
      </c>
      <c r="B2910" s="52">
        <v>1434</v>
      </c>
      <c r="C2910" s="8" t="s">
        <v>3372</v>
      </c>
      <c r="D2910" s="8" t="s">
        <v>132</v>
      </c>
      <c r="E2910" s="52">
        <v>1362</v>
      </c>
      <c r="F2910" s="13">
        <v>62.3</v>
      </c>
      <c r="G2910" s="13"/>
    </row>
    <row r="2911" spans="1:7" hidden="1" x14ac:dyDescent="0.75">
      <c r="A2911" s="51">
        <v>44946</v>
      </c>
      <c r="B2911" s="52">
        <v>1434</v>
      </c>
      <c r="C2911" s="8" t="s">
        <v>3373</v>
      </c>
      <c r="D2911" s="8" t="s">
        <v>132</v>
      </c>
      <c r="E2911" s="52">
        <v>1362</v>
      </c>
      <c r="F2911" s="13">
        <v>190.2</v>
      </c>
      <c r="G2911" s="13"/>
    </row>
    <row r="2912" spans="1:7" hidden="1" x14ac:dyDescent="0.75">
      <c r="A2912" s="51">
        <v>44946</v>
      </c>
      <c r="B2912" s="52">
        <v>1434</v>
      </c>
      <c r="C2912" s="8" t="s">
        <v>3374</v>
      </c>
      <c r="D2912" s="8" t="s">
        <v>132</v>
      </c>
      <c r="E2912" s="52">
        <v>1362</v>
      </c>
      <c r="F2912" s="13">
        <v>133.9</v>
      </c>
      <c r="G2912" s="13"/>
    </row>
    <row r="2913" spans="1:7" hidden="1" x14ac:dyDescent="0.75">
      <c r="A2913" s="51">
        <v>44946</v>
      </c>
      <c r="B2913" s="52">
        <v>1434</v>
      </c>
      <c r="C2913" s="8" t="s">
        <v>3375</v>
      </c>
      <c r="D2913" s="8" t="s">
        <v>132</v>
      </c>
      <c r="E2913" s="52">
        <v>1362</v>
      </c>
      <c r="F2913" s="13">
        <v>490</v>
      </c>
      <c r="G2913" s="13"/>
    </row>
    <row r="2914" spans="1:7" hidden="1" x14ac:dyDescent="0.75">
      <c r="A2914" s="51">
        <v>44946</v>
      </c>
      <c r="B2914" s="52">
        <v>1434</v>
      </c>
      <c r="C2914" s="8" t="s">
        <v>3376</v>
      </c>
      <c r="D2914" s="8" t="s">
        <v>132</v>
      </c>
      <c r="E2914" s="52">
        <v>1362</v>
      </c>
      <c r="F2914" s="13">
        <v>176</v>
      </c>
      <c r="G2914" s="13"/>
    </row>
    <row r="2915" spans="1:7" hidden="1" x14ac:dyDescent="0.75">
      <c r="A2915" s="51">
        <v>44946</v>
      </c>
      <c r="B2915" s="52">
        <v>1434</v>
      </c>
      <c r="C2915" s="8" t="s">
        <v>3377</v>
      </c>
      <c r="D2915" s="8" t="s">
        <v>132</v>
      </c>
      <c r="E2915" s="52">
        <v>1362</v>
      </c>
      <c r="F2915" s="13">
        <v>20</v>
      </c>
      <c r="G2915" s="13"/>
    </row>
    <row r="2916" spans="1:7" hidden="1" x14ac:dyDescent="0.75">
      <c r="A2916" s="51">
        <v>44946</v>
      </c>
      <c r="B2916" s="52">
        <v>1434</v>
      </c>
      <c r="C2916" s="8" t="s">
        <v>3378</v>
      </c>
      <c r="D2916" s="8" t="s">
        <v>132</v>
      </c>
      <c r="E2916" s="52">
        <v>1362</v>
      </c>
      <c r="F2916" s="13">
        <v>272</v>
      </c>
      <c r="G2916" s="13"/>
    </row>
    <row r="2917" spans="1:7" hidden="1" x14ac:dyDescent="0.75">
      <c r="A2917" s="51">
        <v>44946</v>
      </c>
      <c r="B2917" s="52">
        <v>1434</v>
      </c>
      <c r="C2917" s="8" t="s">
        <v>3379</v>
      </c>
      <c r="D2917" s="8" t="s">
        <v>132</v>
      </c>
      <c r="E2917" s="52">
        <v>1362</v>
      </c>
      <c r="F2917" s="13">
        <v>490</v>
      </c>
      <c r="G2917" s="13"/>
    </row>
    <row r="2918" spans="1:7" hidden="1" x14ac:dyDescent="0.75">
      <c r="A2918" s="51">
        <v>44946</v>
      </c>
      <c r="B2918" s="52">
        <v>1434</v>
      </c>
      <c r="C2918" s="8" t="s">
        <v>3380</v>
      </c>
      <c r="D2918" s="8" t="s">
        <v>132</v>
      </c>
      <c r="E2918" s="52">
        <v>417</v>
      </c>
      <c r="F2918" s="13"/>
      <c r="G2918" s="13">
        <v>546.5</v>
      </c>
    </row>
    <row r="2919" spans="1:7" hidden="1" x14ac:dyDescent="0.75">
      <c r="A2919" s="51">
        <v>44946</v>
      </c>
      <c r="B2919" s="52">
        <v>1434</v>
      </c>
      <c r="C2919" s="8" t="s">
        <v>3381</v>
      </c>
      <c r="D2919" s="8" t="s">
        <v>132</v>
      </c>
      <c r="E2919" s="52">
        <v>417</v>
      </c>
      <c r="F2919" s="13"/>
      <c r="G2919" s="13">
        <v>140.4</v>
      </c>
    </row>
    <row r="2920" spans="1:7" hidden="1" x14ac:dyDescent="0.75">
      <c r="A2920" s="51">
        <v>44946</v>
      </c>
      <c r="B2920" s="52">
        <v>1434</v>
      </c>
      <c r="C2920" s="8" t="s">
        <v>3382</v>
      </c>
      <c r="D2920" s="8" t="s">
        <v>132</v>
      </c>
      <c r="E2920" s="52">
        <v>417</v>
      </c>
      <c r="F2920" s="13"/>
      <c r="G2920" s="13">
        <v>166.7</v>
      </c>
    </row>
    <row r="2921" spans="1:7" hidden="1" x14ac:dyDescent="0.75">
      <c r="A2921" s="51">
        <v>44946</v>
      </c>
      <c r="B2921" s="52">
        <v>1434</v>
      </c>
      <c r="C2921" s="8" t="s">
        <v>3383</v>
      </c>
      <c r="D2921" s="8" t="s">
        <v>132</v>
      </c>
      <c r="E2921" s="52">
        <v>417</v>
      </c>
      <c r="F2921" s="13"/>
      <c r="G2921" s="13">
        <v>103.9</v>
      </c>
    </row>
    <row r="2922" spans="1:7" hidden="1" x14ac:dyDescent="0.75">
      <c r="A2922" s="51">
        <v>44947</v>
      </c>
      <c r="B2922" s="52">
        <v>1434</v>
      </c>
      <c r="C2922" s="8" t="s">
        <v>3384</v>
      </c>
      <c r="D2922" s="8" t="s">
        <v>132</v>
      </c>
      <c r="E2922" s="52">
        <v>417</v>
      </c>
      <c r="F2922" s="13"/>
      <c r="G2922" s="13">
        <v>118.94</v>
      </c>
    </row>
    <row r="2923" spans="1:7" hidden="1" x14ac:dyDescent="0.75">
      <c r="A2923" s="51">
        <v>44949</v>
      </c>
      <c r="B2923" s="52">
        <v>1434</v>
      </c>
      <c r="C2923" s="8" t="s">
        <v>3385</v>
      </c>
      <c r="D2923" s="8" t="s">
        <v>132</v>
      </c>
      <c r="E2923" s="52">
        <v>417</v>
      </c>
      <c r="F2923" s="13"/>
      <c r="G2923" s="13">
        <v>195</v>
      </c>
    </row>
    <row r="2924" spans="1:7" hidden="1" x14ac:dyDescent="0.75">
      <c r="A2924" s="51">
        <v>44949</v>
      </c>
      <c r="B2924" s="52">
        <v>1434</v>
      </c>
      <c r="C2924" s="8" t="s">
        <v>3386</v>
      </c>
      <c r="D2924" s="8" t="s">
        <v>132</v>
      </c>
      <c r="E2924" s="52">
        <v>417</v>
      </c>
      <c r="F2924" s="13"/>
      <c r="G2924" s="13">
        <v>310.8</v>
      </c>
    </row>
    <row r="2925" spans="1:7" hidden="1" x14ac:dyDescent="0.75">
      <c r="A2925" s="51">
        <v>44949</v>
      </c>
      <c r="B2925" s="52">
        <v>1434</v>
      </c>
      <c r="C2925" s="8" t="s">
        <v>3387</v>
      </c>
      <c r="D2925" s="8" t="s">
        <v>132</v>
      </c>
      <c r="E2925" s="52">
        <v>417</v>
      </c>
      <c r="F2925" s="13"/>
      <c r="G2925" s="13">
        <v>65.2</v>
      </c>
    </row>
    <row r="2926" spans="1:7" hidden="1" x14ac:dyDescent="0.75">
      <c r="A2926" s="51">
        <v>44949</v>
      </c>
      <c r="B2926" s="52">
        <v>1434</v>
      </c>
      <c r="C2926" s="8" t="s">
        <v>3388</v>
      </c>
      <c r="D2926" s="8" t="s">
        <v>132</v>
      </c>
      <c r="E2926" s="52">
        <v>417</v>
      </c>
      <c r="F2926" s="13"/>
      <c r="G2926" s="13">
        <v>30.9</v>
      </c>
    </row>
    <row r="2927" spans="1:7" hidden="1" x14ac:dyDescent="0.75">
      <c r="A2927" s="51">
        <v>44949</v>
      </c>
      <c r="B2927" s="52">
        <v>1434</v>
      </c>
      <c r="C2927" s="8" t="s">
        <v>3389</v>
      </c>
      <c r="D2927" s="8" t="s">
        <v>132</v>
      </c>
      <c r="E2927" s="52">
        <v>417</v>
      </c>
      <c r="F2927" s="13"/>
      <c r="G2927" s="13">
        <v>86.4</v>
      </c>
    </row>
    <row r="2928" spans="1:7" hidden="1" x14ac:dyDescent="0.75">
      <c r="A2928" s="51">
        <v>44949</v>
      </c>
      <c r="B2928" s="52">
        <v>1434</v>
      </c>
      <c r="C2928" s="8" t="s">
        <v>3390</v>
      </c>
      <c r="D2928" s="8" t="s">
        <v>132</v>
      </c>
      <c r="E2928" s="52">
        <v>417</v>
      </c>
      <c r="F2928" s="13"/>
      <c r="G2928" s="13">
        <v>137.6</v>
      </c>
    </row>
    <row r="2929" spans="1:7" hidden="1" x14ac:dyDescent="0.75">
      <c r="A2929" s="51">
        <v>44950</v>
      </c>
      <c r="B2929" s="52">
        <v>1434</v>
      </c>
      <c r="C2929" s="8" t="s">
        <v>3391</v>
      </c>
      <c r="D2929" s="8" t="s">
        <v>132</v>
      </c>
      <c r="E2929" s="52">
        <v>417</v>
      </c>
      <c r="F2929" s="13"/>
      <c r="G2929" s="13">
        <v>100</v>
      </c>
    </row>
    <row r="2930" spans="1:7" hidden="1" x14ac:dyDescent="0.75">
      <c r="A2930" s="51">
        <v>44950</v>
      </c>
      <c r="B2930" s="52">
        <v>1434</v>
      </c>
      <c r="C2930" s="8" t="s">
        <v>3392</v>
      </c>
      <c r="D2930" s="8" t="s">
        <v>132</v>
      </c>
      <c r="E2930" s="52">
        <v>417</v>
      </c>
      <c r="F2930" s="13"/>
      <c r="G2930" s="13">
        <v>216.9</v>
      </c>
    </row>
    <row r="2931" spans="1:7" hidden="1" x14ac:dyDescent="0.75">
      <c r="A2931" s="51">
        <v>44951</v>
      </c>
      <c r="B2931" s="52">
        <v>1434</v>
      </c>
      <c r="C2931" s="8" t="s">
        <v>3393</v>
      </c>
      <c r="D2931" s="8" t="s">
        <v>132</v>
      </c>
      <c r="E2931" s="52">
        <v>417</v>
      </c>
      <c r="F2931" s="13"/>
      <c r="G2931" s="13">
        <v>163.9</v>
      </c>
    </row>
    <row r="2932" spans="1:7" hidden="1" x14ac:dyDescent="0.75">
      <c r="A2932" s="51">
        <v>44951</v>
      </c>
      <c r="B2932" s="52">
        <v>1434</v>
      </c>
      <c r="C2932" s="8" t="s">
        <v>3394</v>
      </c>
      <c r="D2932" s="8" t="s">
        <v>132</v>
      </c>
      <c r="E2932" s="52">
        <v>417</v>
      </c>
      <c r="F2932" s="13"/>
      <c r="G2932" s="13">
        <v>62.9</v>
      </c>
    </row>
    <row r="2933" spans="1:7" hidden="1" x14ac:dyDescent="0.75">
      <c r="A2933" s="51">
        <v>44951</v>
      </c>
      <c r="B2933" s="52">
        <v>1434</v>
      </c>
      <c r="C2933" s="8" t="s">
        <v>3395</v>
      </c>
      <c r="D2933" s="8" t="s">
        <v>132</v>
      </c>
      <c r="E2933" s="52">
        <v>417</v>
      </c>
      <c r="F2933" s="13"/>
      <c r="G2933" s="13">
        <v>208.22</v>
      </c>
    </row>
    <row r="2934" spans="1:7" hidden="1" x14ac:dyDescent="0.75">
      <c r="A2934" s="51">
        <v>44951</v>
      </c>
      <c r="B2934" s="52">
        <v>1434</v>
      </c>
      <c r="C2934" s="8" t="s">
        <v>3396</v>
      </c>
      <c r="D2934" s="8" t="s">
        <v>132</v>
      </c>
      <c r="E2934" s="52">
        <v>417</v>
      </c>
      <c r="F2934" s="13"/>
      <c r="G2934" s="13">
        <v>113.8</v>
      </c>
    </row>
    <row r="2935" spans="1:7" hidden="1" x14ac:dyDescent="0.75">
      <c r="A2935" s="51">
        <v>44951</v>
      </c>
      <c r="B2935" s="52">
        <v>1434</v>
      </c>
      <c r="C2935" s="8" t="s">
        <v>3397</v>
      </c>
      <c r="D2935" s="8" t="s">
        <v>132</v>
      </c>
      <c r="E2935" s="52">
        <v>417</v>
      </c>
      <c r="F2935" s="13"/>
      <c r="G2935" s="13">
        <v>76</v>
      </c>
    </row>
    <row r="2936" spans="1:7" hidden="1" x14ac:dyDescent="0.75">
      <c r="A2936" s="51">
        <v>44952</v>
      </c>
      <c r="B2936" s="52">
        <v>1434</v>
      </c>
      <c r="C2936" s="8" t="s">
        <v>3398</v>
      </c>
      <c r="D2936" s="8" t="s">
        <v>132</v>
      </c>
      <c r="E2936" s="52">
        <v>417</v>
      </c>
      <c r="F2936" s="13"/>
      <c r="G2936" s="13">
        <v>176</v>
      </c>
    </row>
    <row r="2937" spans="1:7" hidden="1" x14ac:dyDescent="0.75">
      <c r="A2937" s="51">
        <v>44952</v>
      </c>
      <c r="B2937" s="52">
        <v>1434</v>
      </c>
      <c r="C2937" s="8" t="s">
        <v>3399</v>
      </c>
      <c r="D2937" s="8" t="s">
        <v>132</v>
      </c>
      <c r="E2937" s="52">
        <v>417</v>
      </c>
      <c r="F2937" s="13"/>
      <c r="G2937" s="13">
        <v>118</v>
      </c>
    </row>
    <row r="2938" spans="1:7" hidden="1" x14ac:dyDescent="0.75">
      <c r="A2938" s="51">
        <v>44952</v>
      </c>
      <c r="B2938" s="52">
        <v>1434</v>
      </c>
      <c r="C2938" s="8" t="s">
        <v>3400</v>
      </c>
      <c r="D2938" s="8" t="s">
        <v>132</v>
      </c>
      <c r="E2938" s="52">
        <v>417</v>
      </c>
      <c r="F2938" s="13"/>
      <c r="G2938" s="13">
        <v>171.62</v>
      </c>
    </row>
    <row r="2939" spans="1:7" hidden="1" x14ac:dyDescent="0.75">
      <c r="A2939" s="51">
        <v>44952</v>
      </c>
      <c r="B2939" s="52">
        <v>1434</v>
      </c>
      <c r="C2939" s="8" t="s">
        <v>3401</v>
      </c>
      <c r="D2939" s="8" t="s">
        <v>132</v>
      </c>
      <c r="E2939" s="52">
        <v>417</v>
      </c>
      <c r="F2939" s="13"/>
      <c r="G2939" s="13">
        <v>122.6</v>
      </c>
    </row>
    <row r="2940" spans="1:7" hidden="1" x14ac:dyDescent="0.75">
      <c r="A2940" s="51">
        <v>44952</v>
      </c>
      <c r="B2940" s="52">
        <v>1434</v>
      </c>
      <c r="C2940" s="8" t="s">
        <v>3402</v>
      </c>
      <c r="D2940" s="8" t="s">
        <v>132</v>
      </c>
      <c r="E2940" s="52">
        <v>417</v>
      </c>
      <c r="F2940" s="13"/>
      <c r="G2940" s="13">
        <v>72.2</v>
      </c>
    </row>
    <row r="2941" spans="1:7" hidden="1" x14ac:dyDescent="0.75">
      <c r="A2941" s="51">
        <v>44953</v>
      </c>
      <c r="B2941" s="52">
        <v>1434</v>
      </c>
      <c r="C2941" s="8" t="s">
        <v>3403</v>
      </c>
      <c r="D2941" s="8" t="s">
        <v>132</v>
      </c>
      <c r="E2941" s="52">
        <v>417</v>
      </c>
      <c r="F2941" s="13"/>
      <c r="G2941" s="13">
        <v>67.5</v>
      </c>
    </row>
    <row r="2942" spans="1:7" hidden="1" x14ac:dyDescent="0.75">
      <c r="A2942" s="51">
        <v>44953</v>
      </c>
      <c r="B2942" s="52">
        <v>1434</v>
      </c>
      <c r="C2942" s="8" t="s">
        <v>3404</v>
      </c>
      <c r="D2942" s="8" t="s">
        <v>132</v>
      </c>
      <c r="E2942" s="52">
        <v>417</v>
      </c>
      <c r="F2942" s="13"/>
      <c r="G2942" s="13">
        <v>247.94</v>
      </c>
    </row>
    <row r="2943" spans="1:7" hidden="1" x14ac:dyDescent="0.75">
      <c r="A2943" s="51">
        <v>44954</v>
      </c>
      <c r="B2943" s="52">
        <v>1434</v>
      </c>
      <c r="C2943" s="8" t="s">
        <v>3405</v>
      </c>
      <c r="D2943" s="8" t="s">
        <v>132</v>
      </c>
      <c r="E2943" s="52">
        <v>417</v>
      </c>
      <c r="F2943" s="13"/>
      <c r="G2943" s="13">
        <v>68</v>
      </c>
    </row>
    <row r="2944" spans="1:7" hidden="1" x14ac:dyDescent="0.75">
      <c r="A2944" s="51">
        <v>44954</v>
      </c>
      <c r="B2944" s="52">
        <v>1434</v>
      </c>
      <c r="C2944" s="8" t="s">
        <v>3406</v>
      </c>
      <c r="D2944" s="8" t="s">
        <v>132</v>
      </c>
      <c r="E2944" s="52">
        <v>417</v>
      </c>
      <c r="F2944" s="13"/>
      <c r="G2944" s="13">
        <v>146.63999999999999</v>
      </c>
    </row>
    <row r="2945" spans="1:7" hidden="1" x14ac:dyDescent="0.75">
      <c r="A2945" s="51">
        <v>44954</v>
      </c>
      <c r="B2945" s="52">
        <v>1434</v>
      </c>
      <c r="C2945" s="8" t="s">
        <v>3407</v>
      </c>
      <c r="D2945" s="8" t="s">
        <v>132</v>
      </c>
      <c r="E2945" s="52">
        <v>417</v>
      </c>
      <c r="F2945" s="13"/>
      <c r="G2945" s="13">
        <v>93.5</v>
      </c>
    </row>
    <row r="2946" spans="1:7" hidden="1" x14ac:dyDescent="0.75">
      <c r="A2946" s="51">
        <v>44954</v>
      </c>
      <c r="B2946" s="52">
        <v>1434</v>
      </c>
      <c r="C2946" s="8" t="s">
        <v>3408</v>
      </c>
      <c r="D2946" s="8" t="s">
        <v>132</v>
      </c>
      <c r="E2946" s="52">
        <v>417</v>
      </c>
      <c r="F2946" s="13"/>
      <c r="G2946" s="13">
        <v>47.6</v>
      </c>
    </row>
    <row r="2947" spans="1:7" hidden="1" x14ac:dyDescent="0.75">
      <c r="A2947" s="51">
        <v>44956</v>
      </c>
      <c r="B2947" s="52">
        <v>1434</v>
      </c>
      <c r="C2947" s="8" t="s">
        <v>3409</v>
      </c>
      <c r="D2947" s="8" t="s">
        <v>132</v>
      </c>
      <c r="E2947" s="52">
        <v>417</v>
      </c>
      <c r="F2947" s="13"/>
      <c r="G2947" s="13">
        <v>40</v>
      </c>
    </row>
    <row r="2948" spans="1:7" hidden="1" x14ac:dyDescent="0.75">
      <c r="A2948" s="51">
        <v>44956</v>
      </c>
      <c r="B2948" s="52">
        <v>1434</v>
      </c>
      <c r="C2948" s="8" t="s">
        <v>3410</v>
      </c>
      <c r="D2948" s="8" t="s">
        <v>132</v>
      </c>
      <c r="E2948" s="52">
        <v>417</v>
      </c>
      <c r="F2948" s="13"/>
      <c r="G2948" s="13">
        <v>265.60000000000002</v>
      </c>
    </row>
    <row r="2949" spans="1:7" hidden="1" x14ac:dyDescent="0.75">
      <c r="A2949" s="51">
        <v>44957</v>
      </c>
      <c r="B2949" s="52">
        <v>1434</v>
      </c>
      <c r="C2949" s="8" t="s">
        <v>3411</v>
      </c>
      <c r="D2949" s="8" t="s">
        <v>132</v>
      </c>
      <c r="E2949" s="52">
        <v>417</v>
      </c>
      <c r="F2949" s="13"/>
      <c r="G2949" s="13">
        <v>97.3</v>
      </c>
    </row>
    <row r="2950" spans="1:7" hidden="1" x14ac:dyDescent="0.75">
      <c r="A2950" s="51">
        <v>44957</v>
      </c>
      <c r="B2950" s="52">
        <v>1434</v>
      </c>
      <c r="C2950" s="8" t="s">
        <v>3412</v>
      </c>
      <c r="D2950" s="8" t="s">
        <v>132</v>
      </c>
      <c r="E2950" s="52">
        <v>417</v>
      </c>
      <c r="F2950" s="13"/>
      <c r="G2950" s="13">
        <v>84.5</v>
      </c>
    </row>
    <row r="2951" spans="1:7" hidden="1" x14ac:dyDescent="0.75">
      <c r="A2951" s="51">
        <v>44957</v>
      </c>
      <c r="B2951" s="52">
        <v>1434</v>
      </c>
      <c r="C2951" s="8" t="s">
        <v>3413</v>
      </c>
      <c r="D2951" s="8" t="s">
        <v>132</v>
      </c>
      <c r="E2951" s="52">
        <v>417</v>
      </c>
      <c r="F2951" s="13"/>
      <c r="G2951" s="13">
        <v>80</v>
      </c>
    </row>
    <row r="2952" spans="1:7" hidden="1" x14ac:dyDescent="0.75">
      <c r="A2952" s="51">
        <v>44957</v>
      </c>
      <c r="B2952" s="52">
        <v>1434</v>
      </c>
      <c r="C2952" s="8" t="s">
        <v>3414</v>
      </c>
      <c r="D2952" s="8" t="s">
        <v>132</v>
      </c>
      <c r="E2952" s="52">
        <v>417</v>
      </c>
      <c r="F2952" s="13"/>
      <c r="G2952" s="13">
        <v>112.74</v>
      </c>
    </row>
    <row r="2953" spans="1:7" hidden="1" x14ac:dyDescent="0.75">
      <c r="A2953" s="51">
        <v>44928</v>
      </c>
      <c r="B2953" s="52">
        <v>1523</v>
      </c>
      <c r="C2953" s="8" t="s">
        <v>3415</v>
      </c>
      <c r="D2953" s="8" t="s">
        <v>1228</v>
      </c>
      <c r="E2953" s="52">
        <v>417</v>
      </c>
      <c r="F2953" s="13"/>
      <c r="G2953" s="13">
        <v>45.5</v>
      </c>
    </row>
    <row r="2954" spans="1:7" hidden="1" x14ac:dyDescent="0.75">
      <c r="A2954" s="51">
        <v>44928</v>
      </c>
      <c r="B2954" s="52">
        <v>1523</v>
      </c>
      <c r="C2954" s="8" t="s">
        <v>3416</v>
      </c>
      <c r="D2954" s="8" t="s">
        <v>1228</v>
      </c>
      <c r="E2954" s="52">
        <v>417</v>
      </c>
      <c r="F2954" s="13"/>
      <c r="G2954" s="13">
        <v>57.6</v>
      </c>
    </row>
    <row r="2955" spans="1:7" hidden="1" x14ac:dyDescent="0.75">
      <c r="A2955" s="51">
        <v>44928</v>
      </c>
      <c r="B2955" s="52">
        <v>1523</v>
      </c>
      <c r="C2955" s="8" t="s">
        <v>3417</v>
      </c>
      <c r="D2955" s="8" t="s">
        <v>1228</v>
      </c>
      <c r="E2955" s="52">
        <v>417</v>
      </c>
      <c r="F2955" s="13"/>
      <c r="G2955" s="13">
        <v>9</v>
      </c>
    </row>
    <row r="2956" spans="1:7" hidden="1" x14ac:dyDescent="0.75">
      <c r="A2956" s="51">
        <v>44928</v>
      </c>
      <c r="B2956" s="52">
        <v>1523</v>
      </c>
      <c r="C2956" s="8" t="s">
        <v>3418</v>
      </c>
      <c r="D2956" s="8" t="s">
        <v>1228</v>
      </c>
      <c r="E2956" s="52">
        <v>417</v>
      </c>
      <c r="F2956" s="13"/>
      <c r="G2956" s="13">
        <v>4.2</v>
      </c>
    </row>
    <row r="2957" spans="1:7" hidden="1" x14ac:dyDescent="0.75">
      <c r="A2957" s="51">
        <v>44928</v>
      </c>
      <c r="B2957" s="52">
        <v>1523</v>
      </c>
      <c r="C2957" s="8" t="s">
        <v>3419</v>
      </c>
      <c r="D2957" s="8" t="s">
        <v>1228</v>
      </c>
      <c r="E2957" s="52">
        <v>417</v>
      </c>
      <c r="F2957" s="13"/>
      <c r="G2957" s="13">
        <v>8.8000000000000007</v>
      </c>
    </row>
    <row r="2958" spans="1:7" hidden="1" x14ac:dyDescent="0.75">
      <c r="A2958" s="51">
        <v>44928</v>
      </c>
      <c r="B2958" s="52">
        <v>1523</v>
      </c>
      <c r="C2958" s="8" t="s">
        <v>3420</v>
      </c>
      <c r="D2958" s="8" t="s">
        <v>1228</v>
      </c>
      <c r="E2958" s="52">
        <v>417</v>
      </c>
      <c r="F2958" s="13"/>
      <c r="G2958" s="13">
        <v>205.6</v>
      </c>
    </row>
    <row r="2959" spans="1:7" hidden="1" x14ac:dyDescent="0.75">
      <c r="A2959" s="51">
        <v>44928</v>
      </c>
      <c r="B2959" s="52">
        <v>1523</v>
      </c>
      <c r="C2959" s="8" t="s">
        <v>3421</v>
      </c>
      <c r="D2959" s="8" t="s">
        <v>1228</v>
      </c>
      <c r="E2959" s="52">
        <v>417</v>
      </c>
      <c r="F2959" s="13"/>
      <c r="G2959" s="13">
        <v>41.8</v>
      </c>
    </row>
    <row r="2960" spans="1:7" hidden="1" x14ac:dyDescent="0.75">
      <c r="A2960" s="51">
        <v>44929</v>
      </c>
      <c r="B2960" s="52">
        <v>1523</v>
      </c>
      <c r="C2960" s="8" t="s">
        <v>3422</v>
      </c>
      <c r="D2960" s="8" t="s">
        <v>1228</v>
      </c>
      <c r="E2960" s="52">
        <v>417</v>
      </c>
      <c r="F2960" s="13"/>
      <c r="G2960" s="13">
        <v>499.2</v>
      </c>
    </row>
    <row r="2961" spans="1:7" hidden="1" x14ac:dyDescent="0.75">
      <c r="A2961" s="51">
        <v>44929</v>
      </c>
      <c r="B2961" s="52">
        <v>1523</v>
      </c>
      <c r="C2961" s="8" t="s">
        <v>3423</v>
      </c>
      <c r="D2961" s="8" t="s">
        <v>1228</v>
      </c>
      <c r="E2961" s="52">
        <v>417</v>
      </c>
      <c r="F2961" s="13"/>
      <c r="G2961" s="13">
        <v>9.3000000000000007</v>
      </c>
    </row>
    <row r="2962" spans="1:7" hidden="1" x14ac:dyDescent="0.75">
      <c r="A2962" s="51">
        <v>44929</v>
      </c>
      <c r="B2962" s="52">
        <v>1523</v>
      </c>
      <c r="C2962" s="8" t="s">
        <v>3424</v>
      </c>
      <c r="D2962" s="8" t="s">
        <v>1228</v>
      </c>
      <c r="E2962" s="52">
        <v>417</v>
      </c>
      <c r="F2962" s="13"/>
      <c r="G2962" s="13">
        <v>6</v>
      </c>
    </row>
    <row r="2963" spans="1:7" hidden="1" x14ac:dyDescent="0.75">
      <c r="A2963" s="51">
        <v>44929</v>
      </c>
      <c r="B2963" s="52">
        <v>1523</v>
      </c>
      <c r="C2963" s="8" t="s">
        <v>3425</v>
      </c>
      <c r="D2963" s="8" t="s">
        <v>1228</v>
      </c>
      <c r="E2963" s="52">
        <v>417</v>
      </c>
      <c r="F2963" s="13"/>
      <c r="G2963" s="13">
        <v>4.8</v>
      </c>
    </row>
    <row r="2964" spans="1:7" hidden="1" x14ac:dyDescent="0.75">
      <c r="A2964" s="51">
        <v>44929</v>
      </c>
      <c r="B2964" s="52">
        <v>1523</v>
      </c>
      <c r="C2964" s="8" t="s">
        <v>3426</v>
      </c>
      <c r="D2964" s="8" t="s">
        <v>1228</v>
      </c>
      <c r="E2964" s="52">
        <v>417</v>
      </c>
      <c r="F2964" s="13"/>
      <c r="G2964" s="13">
        <v>25.5</v>
      </c>
    </row>
    <row r="2965" spans="1:7" hidden="1" x14ac:dyDescent="0.75">
      <c r="A2965" s="51">
        <v>44930</v>
      </c>
      <c r="B2965" s="52">
        <v>1523</v>
      </c>
      <c r="C2965" s="8" t="s">
        <v>3427</v>
      </c>
      <c r="D2965" s="8" t="s">
        <v>1228</v>
      </c>
      <c r="E2965" s="52">
        <v>1362</v>
      </c>
      <c r="F2965" s="13">
        <v>54</v>
      </c>
      <c r="G2965" s="13"/>
    </row>
    <row r="2966" spans="1:7" hidden="1" x14ac:dyDescent="0.75">
      <c r="A2966" s="51">
        <v>44930</v>
      </c>
      <c r="B2966" s="52">
        <v>1523</v>
      </c>
      <c r="C2966" s="8" t="s">
        <v>3428</v>
      </c>
      <c r="D2966" s="8" t="s">
        <v>1228</v>
      </c>
      <c r="E2966" s="52">
        <v>1362</v>
      </c>
      <c r="F2966" s="13">
        <v>75</v>
      </c>
      <c r="G2966" s="13"/>
    </row>
    <row r="2967" spans="1:7" hidden="1" x14ac:dyDescent="0.75">
      <c r="A2967" s="51">
        <v>44930</v>
      </c>
      <c r="B2967" s="52">
        <v>1523</v>
      </c>
      <c r="C2967" s="8" t="s">
        <v>3429</v>
      </c>
      <c r="D2967" s="8" t="s">
        <v>1228</v>
      </c>
      <c r="E2967" s="52">
        <v>1362</v>
      </c>
      <c r="F2967" s="13">
        <v>267</v>
      </c>
      <c r="G2967" s="13"/>
    </row>
    <row r="2968" spans="1:7" hidden="1" x14ac:dyDescent="0.75">
      <c r="A2968" s="51">
        <v>44930</v>
      </c>
      <c r="B2968" s="52">
        <v>1523</v>
      </c>
      <c r="C2968" s="8" t="s">
        <v>3430</v>
      </c>
      <c r="D2968" s="8" t="s">
        <v>1228</v>
      </c>
      <c r="E2968" s="52">
        <v>1362</v>
      </c>
      <c r="F2968" s="13">
        <v>68.099999999999994</v>
      </c>
      <c r="G2968" s="13"/>
    </row>
    <row r="2969" spans="1:7" hidden="1" x14ac:dyDescent="0.75">
      <c r="A2969" s="51">
        <v>44930</v>
      </c>
      <c r="B2969" s="52">
        <v>1523</v>
      </c>
      <c r="C2969" s="8" t="s">
        <v>3431</v>
      </c>
      <c r="D2969" s="8" t="s">
        <v>1228</v>
      </c>
      <c r="E2969" s="52">
        <v>1362</v>
      </c>
      <c r="F2969" s="13">
        <v>74.3</v>
      </c>
      <c r="G2969" s="13"/>
    </row>
    <row r="2970" spans="1:7" hidden="1" x14ac:dyDescent="0.75">
      <c r="A2970" s="51">
        <v>44930</v>
      </c>
      <c r="B2970" s="52">
        <v>1523</v>
      </c>
      <c r="C2970" s="8" t="s">
        <v>3432</v>
      </c>
      <c r="D2970" s="8" t="s">
        <v>1228</v>
      </c>
      <c r="E2970" s="52">
        <v>1362</v>
      </c>
      <c r="F2970" s="13">
        <v>367.1</v>
      </c>
      <c r="G2970" s="13"/>
    </row>
    <row r="2971" spans="1:7" hidden="1" x14ac:dyDescent="0.75">
      <c r="A2971" s="51">
        <v>44930</v>
      </c>
      <c r="B2971" s="52">
        <v>1523</v>
      </c>
      <c r="C2971" s="8" t="s">
        <v>3433</v>
      </c>
      <c r="D2971" s="8" t="s">
        <v>1228</v>
      </c>
      <c r="E2971" s="52">
        <v>1362</v>
      </c>
      <c r="F2971" s="13">
        <v>4.8</v>
      </c>
      <c r="G2971" s="13"/>
    </row>
    <row r="2972" spans="1:7" hidden="1" x14ac:dyDescent="0.75">
      <c r="A2972" s="51">
        <v>44930</v>
      </c>
      <c r="B2972" s="52">
        <v>1523</v>
      </c>
      <c r="C2972" s="8" t="s">
        <v>3434</v>
      </c>
      <c r="D2972" s="8" t="s">
        <v>1228</v>
      </c>
      <c r="E2972" s="52">
        <v>1362</v>
      </c>
      <c r="F2972" s="13">
        <v>91.6</v>
      </c>
      <c r="G2972" s="13"/>
    </row>
    <row r="2973" spans="1:7" hidden="1" x14ac:dyDescent="0.75">
      <c r="A2973" s="51">
        <v>44930</v>
      </c>
      <c r="B2973" s="52">
        <v>1523</v>
      </c>
      <c r="C2973" s="8" t="s">
        <v>3435</v>
      </c>
      <c r="D2973" s="8" t="s">
        <v>1228</v>
      </c>
      <c r="E2973" s="52">
        <v>1362</v>
      </c>
      <c r="F2973" s="13">
        <v>43</v>
      </c>
      <c r="G2973" s="13"/>
    </row>
    <row r="2974" spans="1:7" hidden="1" x14ac:dyDescent="0.75">
      <c r="A2974" s="51">
        <v>44930</v>
      </c>
      <c r="B2974" s="52">
        <v>1523</v>
      </c>
      <c r="C2974" s="8" t="s">
        <v>3436</v>
      </c>
      <c r="D2974" s="8" t="s">
        <v>1228</v>
      </c>
      <c r="E2974" s="52">
        <v>1362</v>
      </c>
      <c r="F2974" s="13">
        <v>139.1</v>
      </c>
      <c r="G2974" s="13"/>
    </row>
    <row r="2975" spans="1:7" hidden="1" x14ac:dyDescent="0.75">
      <c r="A2975" s="51">
        <v>44930</v>
      </c>
      <c r="B2975" s="52">
        <v>1523</v>
      </c>
      <c r="C2975" s="8" t="s">
        <v>3437</v>
      </c>
      <c r="D2975" s="8" t="s">
        <v>1228</v>
      </c>
      <c r="E2975" s="52">
        <v>1362</v>
      </c>
      <c r="F2975" s="13">
        <v>19.760000000000002</v>
      </c>
      <c r="G2975" s="13"/>
    </row>
    <row r="2976" spans="1:7" hidden="1" x14ac:dyDescent="0.75">
      <c r="A2976" s="51">
        <v>44930</v>
      </c>
      <c r="B2976" s="52">
        <v>1523</v>
      </c>
      <c r="C2976" s="8" t="s">
        <v>3438</v>
      </c>
      <c r="D2976" s="8" t="s">
        <v>1228</v>
      </c>
      <c r="E2976" s="52">
        <v>1362</v>
      </c>
      <c r="F2976" s="13">
        <v>60</v>
      </c>
      <c r="G2976" s="13"/>
    </row>
    <row r="2977" spans="1:7" hidden="1" x14ac:dyDescent="0.75">
      <c r="A2977" s="51">
        <v>44930</v>
      </c>
      <c r="B2977" s="52">
        <v>1523</v>
      </c>
      <c r="C2977" s="8" t="s">
        <v>3439</v>
      </c>
      <c r="D2977" s="8" t="s">
        <v>1228</v>
      </c>
      <c r="E2977" s="52">
        <v>1362</v>
      </c>
      <c r="F2977" s="13">
        <v>545.4</v>
      </c>
      <c r="G2977" s="13"/>
    </row>
    <row r="2978" spans="1:7" hidden="1" x14ac:dyDescent="0.75">
      <c r="A2978" s="51">
        <v>44930</v>
      </c>
      <c r="B2978" s="52">
        <v>1523</v>
      </c>
      <c r="C2978" s="8" t="s">
        <v>3440</v>
      </c>
      <c r="D2978" s="8" t="s">
        <v>1228</v>
      </c>
      <c r="E2978" s="52">
        <v>1362</v>
      </c>
      <c r="F2978" s="13">
        <v>62</v>
      </c>
      <c r="G2978" s="13"/>
    </row>
    <row r="2979" spans="1:7" hidden="1" x14ac:dyDescent="0.75">
      <c r="A2979" s="51">
        <v>44930</v>
      </c>
      <c r="B2979" s="52">
        <v>1523</v>
      </c>
      <c r="C2979" s="8" t="s">
        <v>3441</v>
      </c>
      <c r="D2979" s="8" t="s">
        <v>1228</v>
      </c>
      <c r="E2979" s="52">
        <v>1362</v>
      </c>
      <c r="F2979" s="13">
        <v>14</v>
      </c>
      <c r="G2979" s="13"/>
    </row>
    <row r="2980" spans="1:7" hidden="1" x14ac:dyDescent="0.75">
      <c r="A2980" s="51">
        <v>44930</v>
      </c>
      <c r="B2980" s="52">
        <v>1523</v>
      </c>
      <c r="C2980" s="8" t="s">
        <v>3442</v>
      </c>
      <c r="D2980" s="8" t="s">
        <v>1228</v>
      </c>
      <c r="E2980" s="52">
        <v>1362</v>
      </c>
      <c r="F2980" s="13">
        <v>28.8</v>
      </c>
      <c r="G2980" s="13"/>
    </row>
    <row r="2981" spans="1:7" hidden="1" x14ac:dyDescent="0.75">
      <c r="A2981" s="51">
        <v>44930</v>
      </c>
      <c r="B2981" s="52">
        <v>1523</v>
      </c>
      <c r="C2981" s="8" t="s">
        <v>3443</v>
      </c>
      <c r="D2981" s="8" t="s">
        <v>1228</v>
      </c>
      <c r="E2981" s="52">
        <v>1362</v>
      </c>
      <c r="F2981" s="13">
        <v>14.2</v>
      </c>
      <c r="G2981" s="13"/>
    </row>
    <row r="2982" spans="1:7" hidden="1" x14ac:dyDescent="0.75">
      <c r="A2982" s="51">
        <v>44930</v>
      </c>
      <c r="B2982" s="52">
        <v>1523</v>
      </c>
      <c r="C2982" s="8" t="s">
        <v>3444</v>
      </c>
      <c r="D2982" s="8" t="s">
        <v>1228</v>
      </c>
      <c r="E2982" s="52">
        <v>1362</v>
      </c>
      <c r="F2982" s="13">
        <v>147.9</v>
      </c>
      <c r="G2982" s="13"/>
    </row>
    <row r="2983" spans="1:7" hidden="1" x14ac:dyDescent="0.75">
      <c r="A2983" s="51">
        <v>44930</v>
      </c>
      <c r="B2983" s="52">
        <v>1523</v>
      </c>
      <c r="C2983" s="8" t="s">
        <v>3445</v>
      </c>
      <c r="D2983" s="8" t="s">
        <v>1228</v>
      </c>
      <c r="E2983" s="52">
        <v>1362</v>
      </c>
      <c r="F2983" s="13">
        <v>12</v>
      </c>
      <c r="G2983" s="13"/>
    </row>
    <row r="2984" spans="1:7" hidden="1" x14ac:dyDescent="0.75">
      <c r="A2984" s="51">
        <v>44930</v>
      </c>
      <c r="B2984" s="52">
        <v>1523</v>
      </c>
      <c r="C2984" s="8" t="s">
        <v>3446</v>
      </c>
      <c r="D2984" s="8" t="s">
        <v>1228</v>
      </c>
      <c r="E2984" s="52">
        <v>1362</v>
      </c>
      <c r="F2984" s="13">
        <v>121.6</v>
      </c>
      <c r="G2984" s="13"/>
    </row>
    <row r="2985" spans="1:7" hidden="1" x14ac:dyDescent="0.75">
      <c r="A2985" s="51">
        <v>44930</v>
      </c>
      <c r="B2985" s="52">
        <v>1523</v>
      </c>
      <c r="C2985" s="8" t="s">
        <v>3447</v>
      </c>
      <c r="D2985" s="8" t="s">
        <v>1228</v>
      </c>
      <c r="E2985" s="52">
        <v>1362</v>
      </c>
      <c r="F2985" s="13">
        <v>6.9</v>
      </c>
      <c r="G2985" s="13"/>
    </row>
    <row r="2986" spans="1:7" hidden="1" x14ac:dyDescent="0.75">
      <c r="A2986" s="51">
        <v>44930</v>
      </c>
      <c r="B2986" s="52">
        <v>1523</v>
      </c>
      <c r="C2986" s="8" t="s">
        <v>3448</v>
      </c>
      <c r="D2986" s="8" t="s">
        <v>1228</v>
      </c>
      <c r="E2986" s="52">
        <v>1362</v>
      </c>
      <c r="F2986" s="13">
        <v>8.64</v>
      </c>
      <c r="G2986" s="13"/>
    </row>
    <row r="2987" spans="1:7" hidden="1" x14ac:dyDescent="0.75">
      <c r="A2987" s="51">
        <v>44930</v>
      </c>
      <c r="B2987" s="52">
        <v>1523</v>
      </c>
      <c r="C2987" s="8" t="s">
        <v>3449</v>
      </c>
      <c r="D2987" s="8" t="s">
        <v>1228</v>
      </c>
      <c r="E2987" s="52">
        <v>417</v>
      </c>
      <c r="F2987" s="13"/>
      <c r="G2987" s="13">
        <v>46.4</v>
      </c>
    </row>
    <row r="2988" spans="1:7" hidden="1" x14ac:dyDescent="0.75">
      <c r="A2988" s="51">
        <v>44932</v>
      </c>
      <c r="B2988" s="52">
        <v>1523</v>
      </c>
      <c r="C2988" s="8" t="s">
        <v>3450</v>
      </c>
      <c r="D2988" s="8" t="s">
        <v>1228</v>
      </c>
      <c r="E2988" s="52">
        <v>417</v>
      </c>
      <c r="F2988" s="13"/>
      <c r="G2988" s="13">
        <v>170.8</v>
      </c>
    </row>
    <row r="2989" spans="1:7" hidden="1" x14ac:dyDescent="0.75">
      <c r="A2989" s="51">
        <v>44932</v>
      </c>
      <c r="B2989" s="52">
        <v>1523</v>
      </c>
      <c r="C2989" s="8" t="s">
        <v>3451</v>
      </c>
      <c r="D2989" s="8" t="s">
        <v>1228</v>
      </c>
      <c r="E2989" s="52">
        <v>417</v>
      </c>
      <c r="F2989" s="13"/>
      <c r="G2989" s="13">
        <v>31.9</v>
      </c>
    </row>
    <row r="2990" spans="1:7" hidden="1" x14ac:dyDescent="0.75">
      <c r="A2990" s="51">
        <v>44932</v>
      </c>
      <c r="B2990" s="52">
        <v>1523</v>
      </c>
      <c r="C2990" s="8" t="s">
        <v>3452</v>
      </c>
      <c r="D2990" s="8" t="s">
        <v>1228</v>
      </c>
      <c r="E2990" s="52">
        <v>417</v>
      </c>
      <c r="F2990" s="13"/>
      <c r="G2990" s="13">
        <v>63.9</v>
      </c>
    </row>
    <row r="2991" spans="1:7" hidden="1" x14ac:dyDescent="0.75">
      <c r="A2991" s="51">
        <v>44932</v>
      </c>
      <c r="B2991" s="52">
        <v>1523</v>
      </c>
      <c r="C2991" s="8" t="s">
        <v>3453</v>
      </c>
      <c r="D2991" s="8" t="s">
        <v>1228</v>
      </c>
      <c r="E2991" s="52">
        <v>417</v>
      </c>
      <c r="F2991" s="13"/>
      <c r="G2991" s="13">
        <v>123.1</v>
      </c>
    </row>
    <row r="2992" spans="1:7" hidden="1" x14ac:dyDescent="0.75">
      <c r="A2992" s="51">
        <v>44932</v>
      </c>
      <c r="B2992" s="52">
        <v>1523</v>
      </c>
      <c r="C2992" s="8" t="s">
        <v>3454</v>
      </c>
      <c r="D2992" s="8" t="s">
        <v>1228</v>
      </c>
      <c r="E2992" s="52">
        <v>417</v>
      </c>
      <c r="F2992" s="13"/>
      <c r="G2992" s="13">
        <v>2.5</v>
      </c>
    </row>
    <row r="2993" spans="1:7" hidden="1" x14ac:dyDescent="0.75">
      <c r="A2993" s="51">
        <v>44932</v>
      </c>
      <c r="B2993" s="52">
        <v>1523</v>
      </c>
      <c r="C2993" s="8" t="s">
        <v>3455</v>
      </c>
      <c r="D2993" s="8" t="s">
        <v>1228</v>
      </c>
      <c r="E2993" s="52">
        <v>417</v>
      </c>
      <c r="F2993" s="13"/>
      <c r="G2993" s="13">
        <v>54.4</v>
      </c>
    </row>
    <row r="2994" spans="1:7" hidden="1" x14ac:dyDescent="0.75">
      <c r="A2994" s="51">
        <v>44933</v>
      </c>
      <c r="B2994" s="52">
        <v>1523</v>
      </c>
      <c r="C2994" s="8" t="s">
        <v>3456</v>
      </c>
      <c r="D2994" s="8" t="s">
        <v>1228</v>
      </c>
      <c r="E2994" s="52">
        <v>417</v>
      </c>
      <c r="F2994" s="13"/>
      <c r="G2994" s="13">
        <v>22.5</v>
      </c>
    </row>
    <row r="2995" spans="1:7" hidden="1" x14ac:dyDescent="0.75">
      <c r="A2995" s="51">
        <v>44933</v>
      </c>
      <c r="B2995" s="52">
        <v>1523</v>
      </c>
      <c r="C2995" s="8" t="s">
        <v>3457</v>
      </c>
      <c r="D2995" s="8" t="s">
        <v>1228</v>
      </c>
      <c r="E2995" s="52">
        <v>417</v>
      </c>
      <c r="F2995" s="13"/>
      <c r="G2995" s="13">
        <v>99.8</v>
      </c>
    </row>
    <row r="2996" spans="1:7" hidden="1" x14ac:dyDescent="0.75">
      <c r="A2996" s="51">
        <v>44933</v>
      </c>
      <c r="B2996" s="52">
        <v>1523</v>
      </c>
      <c r="C2996" s="8" t="s">
        <v>3458</v>
      </c>
      <c r="D2996" s="8" t="s">
        <v>1228</v>
      </c>
      <c r="E2996" s="52">
        <v>417</v>
      </c>
      <c r="F2996" s="13"/>
      <c r="G2996" s="13">
        <v>37.76</v>
      </c>
    </row>
    <row r="2997" spans="1:7" hidden="1" x14ac:dyDescent="0.75">
      <c r="A2997" s="51">
        <v>44933</v>
      </c>
      <c r="B2997" s="52">
        <v>1523</v>
      </c>
      <c r="C2997" s="8" t="s">
        <v>3459</v>
      </c>
      <c r="D2997" s="8" t="s">
        <v>1228</v>
      </c>
      <c r="E2997" s="52">
        <v>417</v>
      </c>
      <c r="F2997" s="13"/>
      <c r="G2997" s="13">
        <v>1.8</v>
      </c>
    </row>
    <row r="2998" spans="1:7" hidden="1" x14ac:dyDescent="0.75">
      <c r="A2998" s="51">
        <v>44935</v>
      </c>
      <c r="B2998" s="52">
        <v>1523</v>
      </c>
      <c r="C2998" s="8" t="s">
        <v>3460</v>
      </c>
      <c r="D2998" s="8" t="s">
        <v>1228</v>
      </c>
      <c r="E2998" s="52">
        <v>417</v>
      </c>
      <c r="F2998" s="13"/>
      <c r="G2998" s="13">
        <v>11.5</v>
      </c>
    </row>
    <row r="2999" spans="1:7" hidden="1" x14ac:dyDescent="0.75">
      <c r="A2999" s="51">
        <v>44935</v>
      </c>
      <c r="B2999" s="52">
        <v>1523</v>
      </c>
      <c r="C2999" s="8" t="s">
        <v>3461</v>
      </c>
      <c r="D2999" s="8" t="s">
        <v>1228</v>
      </c>
      <c r="E2999" s="52">
        <v>417</v>
      </c>
      <c r="F2999" s="13"/>
      <c r="G2999" s="13">
        <v>202.2</v>
      </c>
    </row>
    <row r="3000" spans="1:7" hidden="1" x14ac:dyDescent="0.75">
      <c r="A3000" s="51">
        <v>44936</v>
      </c>
      <c r="B3000" s="52">
        <v>1523</v>
      </c>
      <c r="C3000" s="8" t="s">
        <v>3462</v>
      </c>
      <c r="D3000" s="8" t="s">
        <v>1228</v>
      </c>
      <c r="E3000" s="52">
        <v>417</v>
      </c>
      <c r="F3000" s="13"/>
      <c r="G3000" s="13">
        <v>462.5</v>
      </c>
    </row>
    <row r="3001" spans="1:7" hidden="1" x14ac:dyDescent="0.75">
      <c r="A3001" s="51">
        <v>44936</v>
      </c>
      <c r="B3001" s="52">
        <v>1523</v>
      </c>
      <c r="C3001" s="8" t="s">
        <v>3463</v>
      </c>
      <c r="D3001" s="8" t="s">
        <v>1228</v>
      </c>
      <c r="E3001" s="52">
        <v>417</v>
      </c>
      <c r="F3001" s="13"/>
      <c r="G3001" s="13">
        <v>18.600000000000001</v>
      </c>
    </row>
    <row r="3002" spans="1:7" hidden="1" x14ac:dyDescent="0.75">
      <c r="A3002" s="51">
        <v>44936</v>
      </c>
      <c r="B3002" s="52">
        <v>1523</v>
      </c>
      <c r="C3002" s="8" t="s">
        <v>3464</v>
      </c>
      <c r="D3002" s="8" t="s">
        <v>1228</v>
      </c>
      <c r="E3002" s="52">
        <v>417</v>
      </c>
      <c r="F3002" s="13"/>
      <c r="G3002" s="13">
        <v>6</v>
      </c>
    </row>
    <row r="3003" spans="1:7" hidden="1" x14ac:dyDescent="0.75">
      <c r="A3003" s="51">
        <v>44936</v>
      </c>
      <c r="B3003" s="52">
        <v>1523</v>
      </c>
      <c r="C3003" s="8" t="s">
        <v>3465</v>
      </c>
      <c r="D3003" s="8" t="s">
        <v>1228</v>
      </c>
      <c r="E3003" s="52">
        <v>417</v>
      </c>
      <c r="F3003" s="13"/>
      <c r="G3003" s="13">
        <v>320.3</v>
      </c>
    </row>
    <row r="3004" spans="1:7" hidden="1" x14ac:dyDescent="0.75">
      <c r="A3004" s="51">
        <v>44937</v>
      </c>
      <c r="B3004" s="52">
        <v>1523</v>
      </c>
      <c r="C3004" s="8" t="s">
        <v>3466</v>
      </c>
      <c r="D3004" s="8" t="s">
        <v>1228</v>
      </c>
      <c r="E3004" s="52">
        <v>1362</v>
      </c>
      <c r="F3004" s="13">
        <v>12.6</v>
      </c>
      <c r="G3004" s="13"/>
    </row>
    <row r="3005" spans="1:7" hidden="1" x14ac:dyDescent="0.75">
      <c r="A3005" s="51">
        <v>44937</v>
      </c>
      <c r="B3005" s="52">
        <v>1523</v>
      </c>
      <c r="C3005" s="8" t="s">
        <v>3467</v>
      </c>
      <c r="D3005" s="8" t="s">
        <v>1228</v>
      </c>
      <c r="E3005" s="52">
        <v>1362</v>
      </c>
      <c r="F3005" s="13">
        <v>310.60000000000002</v>
      </c>
      <c r="G3005" s="13"/>
    </row>
    <row r="3006" spans="1:7" hidden="1" x14ac:dyDescent="0.75">
      <c r="A3006" s="51">
        <v>44937</v>
      </c>
      <c r="B3006" s="52">
        <v>1523</v>
      </c>
      <c r="C3006" s="8" t="s">
        <v>3468</v>
      </c>
      <c r="D3006" s="8" t="s">
        <v>1228</v>
      </c>
      <c r="E3006" s="52">
        <v>1362</v>
      </c>
      <c r="F3006" s="13">
        <v>9.8000000000000007</v>
      </c>
      <c r="G3006" s="13"/>
    </row>
    <row r="3007" spans="1:7" hidden="1" x14ac:dyDescent="0.75">
      <c r="A3007" s="51">
        <v>44937</v>
      </c>
      <c r="B3007" s="52">
        <v>1523</v>
      </c>
      <c r="C3007" s="8" t="s">
        <v>3469</v>
      </c>
      <c r="D3007" s="8" t="s">
        <v>1228</v>
      </c>
      <c r="E3007" s="52">
        <v>1362</v>
      </c>
      <c r="F3007" s="13">
        <v>9.3000000000000007</v>
      </c>
      <c r="G3007" s="13"/>
    </row>
    <row r="3008" spans="1:7" hidden="1" x14ac:dyDescent="0.75">
      <c r="A3008" s="51">
        <v>44937</v>
      </c>
      <c r="B3008" s="52">
        <v>1523</v>
      </c>
      <c r="C3008" s="8" t="s">
        <v>3470</v>
      </c>
      <c r="D3008" s="8" t="s">
        <v>1228</v>
      </c>
      <c r="E3008" s="52">
        <v>1362</v>
      </c>
      <c r="F3008" s="13">
        <v>156.4</v>
      </c>
      <c r="G3008" s="13"/>
    </row>
    <row r="3009" spans="1:7" hidden="1" x14ac:dyDescent="0.75">
      <c r="A3009" s="51">
        <v>44937</v>
      </c>
      <c r="B3009" s="52">
        <v>1523</v>
      </c>
      <c r="C3009" s="8" t="s">
        <v>3471</v>
      </c>
      <c r="D3009" s="8" t="s">
        <v>1228</v>
      </c>
      <c r="E3009" s="52">
        <v>1362</v>
      </c>
      <c r="F3009" s="13">
        <v>9.8000000000000007</v>
      </c>
      <c r="G3009" s="13"/>
    </row>
    <row r="3010" spans="1:7" hidden="1" x14ac:dyDescent="0.75">
      <c r="A3010" s="51">
        <v>44937</v>
      </c>
      <c r="B3010" s="52">
        <v>1523</v>
      </c>
      <c r="C3010" s="8" t="s">
        <v>3472</v>
      </c>
      <c r="D3010" s="8" t="s">
        <v>1228</v>
      </c>
      <c r="E3010" s="52">
        <v>1362</v>
      </c>
      <c r="F3010" s="13">
        <v>5.6</v>
      </c>
      <c r="G3010" s="13"/>
    </row>
    <row r="3011" spans="1:7" hidden="1" x14ac:dyDescent="0.75">
      <c r="A3011" s="51">
        <v>44937</v>
      </c>
      <c r="B3011" s="52">
        <v>1523</v>
      </c>
      <c r="C3011" s="8" t="s">
        <v>3473</v>
      </c>
      <c r="D3011" s="8" t="s">
        <v>1228</v>
      </c>
      <c r="E3011" s="52">
        <v>1362</v>
      </c>
      <c r="F3011" s="13">
        <v>72</v>
      </c>
      <c r="G3011" s="13"/>
    </row>
    <row r="3012" spans="1:7" hidden="1" x14ac:dyDescent="0.75">
      <c r="A3012" s="51">
        <v>44937</v>
      </c>
      <c r="B3012" s="52">
        <v>1523</v>
      </c>
      <c r="C3012" s="8" t="s">
        <v>3474</v>
      </c>
      <c r="D3012" s="8" t="s">
        <v>1228</v>
      </c>
      <c r="E3012" s="52">
        <v>1362</v>
      </c>
      <c r="F3012" s="13">
        <v>7.5</v>
      </c>
      <c r="G3012" s="13"/>
    </row>
    <row r="3013" spans="1:7" hidden="1" x14ac:dyDescent="0.75">
      <c r="A3013" s="51">
        <v>44937</v>
      </c>
      <c r="B3013" s="52">
        <v>1523</v>
      </c>
      <c r="C3013" s="8" t="s">
        <v>3475</v>
      </c>
      <c r="D3013" s="8" t="s">
        <v>1228</v>
      </c>
      <c r="E3013" s="52">
        <v>1362</v>
      </c>
      <c r="F3013" s="13">
        <v>146.5</v>
      </c>
      <c r="G3013" s="13"/>
    </row>
    <row r="3014" spans="1:7" hidden="1" x14ac:dyDescent="0.75">
      <c r="A3014" s="51">
        <v>44937</v>
      </c>
      <c r="B3014" s="52">
        <v>1523</v>
      </c>
      <c r="C3014" s="8" t="s">
        <v>3476</v>
      </c>
      <c r="D3014" s="8" t="s">
        <v>1228</v>
      </c>
      <c r="E3014" s="52">
        <v>1362</v>
      </c>
      <c r="F3014" s="13">
        <v>20.9</v>
      </c>
      <c r="G3014" s="13"/>
    </row>
    <row r="3015" spans="1:7" hidden="1" x14ac:dyDescent="0.75">
      <c r="A3015" s="51">
        <v>44937</v>
      </c>
      <c r="B3015" s="52">
        <v>1523</v>
      </c>
      <c r="C3015" s="8" t="s">
        <v>3477</v>
      </c>
      <c r="D3015" s="8" t="s">
        <v>1228</v>
      </c>
      <c r="E3015" s="52">
        <v>1362</v>
      </c>
      <c r="F3015" s="13">
        <v>62</v>
      </c>
      <c r="G3015" s="13"/>
    </row>
    <row r="3016" spans="1:7" hidden="1" x14ac:dyDescent="0.75">
      <c r="A3016" s="51">
        <v>44937</v>
      </c>
      <c r="B3016" s="52">
        <v>1523</v>
      </c>
      <c r="C3016" s="8" t="s">
        <v>3478</v>
      </c>
      <c r="D3016" s="8" t="s">
        <v>1228</v>
      </c>
      <c r="E3016" s="52">
        <v>1362</v>
      </c>
      <c r="F3016" s="13">
        <v>10.5</v>
      </c>
      <c r="G3016" s="13"/>
    </row>
    <row r="3017" spans="1:7" hidden="1" x14ac:dyDescent="0.75">
      <c r="A3017" s="51">
        <v>44937</v>
      </c>
      <c r="B3017" s="52">
        <v>1523</v>
      </c>
      <c r="C3017" s="8" t="s">
        <v>3479</v>
      </c>
      <c r="D3017" s="8" t="s">
        <v>1228</v>
      </c>
      <c r="E3017" s="52">
        <v>1362</v>
      </c>
      <c r="F3017" s="13">
        <v>7.5</v>
      </c>
      <c r="G3017" s="13"/>
    </row>
    <row r="3018" spans="1:7" hidden="1" x14ac:dyDescent="0.75">
      <c r="A3018" s="51">
        <v>44937</v>
      </c>
      <c r="B3018" s="52">
        <v>1523</v>
      </c>
      <c r="C3018" s="8" t="s">
        <v>3480</v>
      </c>
      <c r="D3018" s="8" t="s">
        <v>1228</v>
      </c>
      <c r="E3018" s="52">
        <v>1362</v>
      </c>
      <c r="F3018" s="13">
        <v>36.799999999999997</v>
      </c>
      <c r="G3018" s="13"/>
    </row>
    <row r="3019" spans="1:7" hidden="1" x14ac:dyDescent="0.75">
      <c r="A3019" s="51">
        <v>44937</v>
      </c>
      <c r="B3019" s="52">
        <v>1523</v>
      </c>
      <c r="C3019" s="8" t="s">
        <v>3481</v>
      </c>
      <c r="D3019" s="8" t="s">
        <v>1228</v>
      </c>
      <c r="E3019" s="52">
        <v>1362</v>
      </c>
      <c r="F3019" s="13">
        <v>84.8</v>
      </c>
      <c r="G3019" s="13"/>
    </row>
    <row r="3020" spans="1:7" hidden="1" x14ac:dyDescent="0.75">
      <c r="A3020" s="51">
        <v>44937</v>
      </c>
      <c r="B3020" s="52">
        <v>1523</v>
      </c>
      <c r="C3020" s="8" t="s">
        <v>3482</v>
      </c>
      <c r="D3020" s="8" t="s">
        <v>1228</v>
      </c>
      <c r="E3020" s="52">
        <v>1362</v>
      </c>
      <c r="F3020" s="13">
        <v>110.97</v>
      </c>
      <c r="G3020" s="13"/>
    </row>
    <row r="3021" spans="1:7" hidden="1" x14ac:dyDescent="0.75">
      <c r="A3021" s="51">
        <v>44937</v>
      </c>
      <c r="B3021" s="52">
        <v>1523</v>
      </c>
      <c r="C3021" s="8" t="s">
        <v>3483</v>
      </c>
      <c r="D3021" s="8" t="s">
        <v>1228</v>
      </c>
      <c r="E3021" s="52">
        <v>417</v>
      </c>
      <c r="F3021" s="13"/>
      <c r="G3021" s="13">
        <v>112.8</v>
      </c>
    </row>
    <row r="3022" spans="1:7" hidden="1" x14ac:dyDescent="0.75">
      <c r="A3022" s="51">
        <v>44937</v>
      </c>
      <c r="B3022" s="52">
        <v>1523</v>
      </c>
      <c r="C3022" s="8" t="s">
        <v>3484</v>
      </c>
      <c r="D3022" s="8" t="s">
        <v>1228</v>
      </c>
      <c r="E3022" s="52">
        <v>417</v>
      </c>
      <c r="F3022" s="13"/>
      <c r="G3022" s="13">
        <v>104.1</v>
      </c>
    </row>
    <row r="3023" spans="1:7" hidden="1" x14ac:dyDescent="0.75">
      <c r="A3023" s="51">
        <v>44938</v>
      </c>
      <c r="B3023" s="52">
        <v>1523</v>
      </c>
      <c r="C3023" s="8" t="s">
        <v>3485</v>
      </c>
      <c r="D3023" s="8" t="s">
        <v>1228</v>
      </c>
      <c r="E3023" s="52">
        <v>417</v>
      </c>
      <c r="F3023" s="13"/>
      <c r="G3023" s="13">
        <v>94.5</v>
      </c>
    </row>
    <row r="3024" spans="1:7" hidden="1" x14ac:dyDescent="0.75">
      <c r="A3024" s="51">
        <v>44938</v>
      </c>
      <c r="B3024" s="52">
        <v>1523</v>
      </c>
      <c r="C3024" s="8" t="s">
        <v>3486</v>
      </c>
      <c r="D3024" s="8" t="s">
        <v>1228</v>
      </c>
      <c r="E3024" s="52">
        <v>417</v>
      </c>
      <c r="F3024" s="13"/>
      <c r="G3024" s="13">
        <v>69.599999999999994</v>
      </c>
    </row>
    <row r="3025" spans="1:7" hidden="1" x14ac:dyDescent="0.75">
      <c r="A3025" s="51">
        <v>44938</v>
      </c>
      <c r="B3025" s="52">
        <v>1523</v>
      </c>
      <c r="C3025" s="8" t="s">
        <v>3487</v>
      </c>
      <c r="D3025" s="8" t="s">
        <v>1228</v>
      </c>
      <c r="E3025" s="52">
        <v>417</v>
      </c>
      <c r="F3025" s="13"/>
      <c r="G3025" s="13">
        <v>38</v>
      </c>
    </row>
    <row r="3026" spans="1:7" hidden="1" x14ac:dyDescent="0.75">
      <c r="A3026" s="51">
        <v>44938</v>
      </c>
      <c r="B3026" s="52">
        <v>1523</v>
      </c>
      <c r="C3026" s="8" t="s">
        <v>3488</v>
      </c>
      <c r="D3026" s="8" t="s">
        <v>1228</v>
      </c>
      <c r="E3026" s="52">
        <v>417</v>
      </c>
      <c r="F3026" s="13"/>
      <c r="G3026" s="13">
        <v>86.4</v>
      </c>
    </row>
    <row r="3027" spans="1:7" hidden="1" x14ac:dyDescent="0.75">
      <c r="A3027" s="51">
        <v>44938</v>
      </c>
      <c r="B3027" s="52">
        <v>1523</v>
      </c>
      <c r="C3027" s="8" t="s">
        <v>3489</v>
      </c>
      <c r="D3027" s="8" t="s">
        <v>1228</v>
      </c>
      <c r="E3027" s="52">
        <v>417</v>
      </c>
      <c r="F3027" s="13"/>
      <c r="G3027" s="13">
        <v>32</v>
      </c>
    </row>
    <row r="3028" spans="1:7" hidden="1" x14ac:dyDescent="0.75">
      <c r="A3028" s="51">
        <v>44938</v>
      </c>
      <c r="B3028" s="52">
        <v>1523</v>
      </c>
      <c r="C3028" s="8" t="s">
        <v>3490</v>
      </c>
      <c r="D3028" s="8" t="s">
        <v>1228</v>
      </c>
      <c r="E3028" s="52">
        <v>417</v>
      </c>
      <c r="F3028" s="13"/>
      <c r="G3028" s="13">
        <v>507.8</v>
      </c>
    </row>
    <row r="3029" spans="1:7" hidden="1" x14ac:dyDescent="0.75">
      <c r="A3029" s="51">
        <v>44938</v>
      </c>
      <c r="B3029" s="52">
        <v>1523</v>
      </c>
      <c r="C3029" s="8" t="s">
        <v>3491</v>
      </c>
      <c r="D3029" s="8" t="s">
        <v>1228</v>
      </c>
      <c r="E3029" s="52">
        <v>417</v>
      </c>
      <c r="F3029" s="13"/>
      <c r="G3029" s="13">
        <v>192</v>
      </c>
    </row>
    <row r="3030" spans="1:7" hidden="1" x14ac:dyDescent="0.75">
      <c r="A3030" s="51">
        <v>44939</v>
      </c>
      <c r="B3030" s="52">
        <v>1523</v>
      </c>
      <c r="C3030" s="8" t="s">
        <v>3492</v>
      </c>
      <c r="D3030" s="8" t="s">
        <v>1228</v>
      </c>
      <c r="E3030" s="52">
        <v>417</v>
      </c>
      <c r="F3030" s="13"/>
      <c r="G3030" s="13">
        <v>32</v>
      </c>
    </row>
    <row r="3031" spans="1:7" hidden="1" x14ac:dyDescent="0.75">
      <c r="A3031" s="51">
        <v>44939</v>
      </c>
      <c r="B3031" s="52">
        <v>1523</v>
      </c>
      <c r="C3031" s="8" t="s">
        <v>3493</v>
      </c>
      <c r="D3031" s="8" t="s">
        <v>1228</v>
      </c>
      <c r="E3031" s="52">
        <v>417</v>
      </c>
      <c r="F3031" s="13"/>
      <c r="G3031" s="13">
        <v>8</v>
      </c>
    </row>
    <row r="3032" spans="1:7" hidden="1" x14ac:dyDescent="0.75">
      <c r="A3032" s="51">
        <v>44939</v>
      </c>
      <c r="B3032" s="52">
        <v>1523</v>
      </c>
      <c r="C3032" s="8" t="s">
        <v>3494</v>
      </c>
      <c r="D3032" s="8" t="s">
        <v>1228</v>
      </c>
      <c r="E3032" s="52">
        <v>417</v>
      </c>
      <c r="F3032" s="13"/>
      <c r="G3032" s="13">
        <v>277</v>
      </c>
    </row>
    <row r="3033" spans="1:7" hidden="1" x14ac:dyDescent="0.75">
      <c r="A3033" s="51">
        <v>44939</v>
      </c>
      <c r="B3033" s="52">
        <v>1523</v>
      </c>
      <c r="C3033" s="8" t="s">
        <v>3495</v>
      </c>
      <c r="D3033" s="8" t="s">
        <v>1228</v>
      </c>
      <c r="E3033" s="52">
        <v>417</v>
      </c>
      <c r="F3033" s="13"/>
      <c r="G3033" s="13">
        <v>120</v>
      </c>
    </row>
    <row r="3034" spans="1:7" hidden="1" x14ac:dyDescent="0.75">
      <c r="A3034" s="51">
        <v>44939</v>
      </c>
      <c r="B3034" s="52">
        <v>1523</v>
      </c>
      <c r="C3034" s="8" t="s">
        <v>3496</v>
      </c>
      <c r="D3034" s="8" t="s">
        <v>1228</v>
      </c>
      <c r="E3034" s="52">
        <v>417</v>
      </c>
      <c r="F3034" s="13"/>
      <c r="G3034" s="13">
        <v>171.9</v>
      </c>
    </row>
    <row r="3035" spans="1:7" hidden="1" x14ac:dyDescent="0.75">
      <c r="A3035" s="51">
        <v>44939</v>
      </c>
      <c r="B3035" s="52">
        <v>1523</v>
      </c>
      <c r="C3035" s="8" t="s">
        <v>3497</v>
      </c>
      <c r="D3035" s="8" t="s">
        <v>1228</v>
      </c>
      <c r="E3035" s="52">
        <v>417</v>
      </c>
      <c r="F3035" s="13"/>
      <c r="G3035" s="13">
        <v>162</v>
      </c>
    </row>
    <row r="3036" spans="1:7" hidden="1" x14ac:dyDescent="0.75">
      <c r="A3036" s="51">
        <v>44939</v>
      </c>
      <c r="B3036" s="52">
        <v>1523</v>
      </c>
      <c r="C3036" s="8" t="s">
        <v>3498</v>
      </c>
      <c r="D3036" s="8" t="s">
        <v>1228</v>
      </c>
      <c r="E3036" s="52">
        <v>417</v>
      </c>
      <c r="F3036" s="13"/>
      <c r="G3036" s="13">
        <v>213.6</v>
      </c>
    </row>
    <row r="3037" spans="1:7" hidden="1" x14ac:dyDescent="0.75">
      <c r="A3037" s="51">
        <v>44939</v>
      </c>
      <c r="B3037" s="52">
        <v>1523</v>
      </c>
      <c r="C3037" s="8" t="s">
        <v>3499</v>
      </c>
      <c r="D3037" s="8" t="s">
        <v>1228</v>
      </c>
      <c r="E3037" s="52">
        <v>417</v>
      </c>
      <c r="F3037" s="13"/>
      <c r="G3037" s="13">
        <v>5.6</v>
      </c>
    </row>
    <row r="3038" spans="1:7" hidden="1" x14ac:dyDescent="0.75">
      <c r="A3038" s="51">
        <v>44940</v>
      </c>
      <c r="B3038" s="52">
        <v>1523</v>
      </c>
      <c r="C3038" s="8" t="s">
        <v>3500</v>
      </c>
      <c r="D3038" s="8" t="s">
        <v>1228</v>
      </c>
      <c r="E3038" s="52">
        <v>417</v>
      </c>
      <c r="F3038" s="13"/>
      <c r="G3038" s="13">
        <v>3.6</v>
      </c>
    </row>
    <row r="3039" spans="1:7" hidden="1" x14ac:dyDescent="0.75">
      <c r="A3039" s="51">
        <v>44940</v>
      </c>
      <c r="B3039" s="52">
        <v>1523</v>
      </c>
      <c r="C3039" s="8" t="s">
        <v>3501</v>
      </c>
      <c r="D3039" s="8" t="s">
        <v>1228</v>
      </c>
      <c r="E3039" s="52">
        <v>417</v>
      </c>
      <c r="F3039" s="13"/>
      <c r="G3039" s="13">
        <v>148.5</v>
      </c>
    </row>
    <row r="3040" spans="1:7" hidden="1" x14ac:dyDescent="0.75">
      <c r="A3040" s="51">
        <v>44942</v>
      </c>
      <c r="B3040" s="52">
        <v>1523</v>
      </c>
      <c r="C3040" s="8" t="s">
        <v>3502</v>
      </c>
      <c r="D3040" s="8" t="s">
        <v>1228</v>
      </c>
      <c r="E3040" s="52">
        <v>417</v>
      </c>
      <c r="F3040" s="13"/>
      <c r="G3040" s="13">
        <v>124.7</v>
      </c>
    </row>
    <row r="3041" spans="1:7" hidden="1" x14ac:dyDescent="0.75">
      <c r="A3041" s="51">
        <v>44942</v>
      </c>
      <c r="B3041" s="52">
        <v>1523</v>
      </c>
      <c r="C3041" s="8" t="s">
        <v>3503</v>
      </c>
      <c r="D3041" s="8" t="s">
        <v>1228</v>
      </c>
      <c r="E3041" s="52">
        <v>417</v>
      </c>
      <c r="F3041" s="13"/>
      <c r="G3041" s="13">
        <v>420</v>
      </c>
    </row>
    <row r="3042" spans="1:7" hidden="1" x14ac:dyDescent="0.75">
      <c r="A3042" s="51">
        <v>44943</v>
      </c>
      <c r="B3042" s="52">
        <v>1523</v>
      </c>
      <c r="C3042" s="8" t="s">
        <v>3504</v>
      </c>
      <c r="D3042" s="8" t="s">
        <v>1228</v>
      </c>
      <c r="E3042" s="52">
        <v>417</v>
      </c>
      <c r="F3042" s="13"/>
      <c r="G3042" s="13">
        <v>18.7</v>
      </c>
    </row>
    <row r="3043" spans="1:7" hidden="1" x14ac:dyDescent="0.75">
      <c r="A3043" s="51">
        <v>44943</v>
      </c>
      <c r="B3043" s="52">
        <v>1523</v>
      </c>
      <c r="C3043" s="8" t="s">
        <v>3505</v>
      </c>
      <c r="D3043" s="8" t="s">
        <v>1228</v>
      </c>
      <c r="E3043" s="52">
        <v>417</v>
      </c>
      <c r="F3043" s="13"/>
      <c r="G3043" s="13">
        <v>294.8</v>
      </c>
    </row>
    <row r="3044" spans="1:7" hidden="1" x14ac:dyDescent="0.75">
      <c r="A3044" s="51">
        <v>44944</v>
      </c>
      <c r="B3044" s="52">
        <v>1523</v>
      </c>
      <c r="C3044" s="8" t="s">
        <v>3506</v>
      </c>
      <c r="D3044" s="8" t="s">
        <v>1228</v>
      </c>
      <c r="E3044" s="52">
        <v>1362</v>
      </c>
      <c r="F3044" s="13">
        <v>552.70000000000005</v>
      </c>
      <c r="G3044" s="13"/>
    </row>
    <row r="3045" spans="1:7" hidden="1" x14ac:dyDescent="0.75">
      <c r="A3045" s="51">
        <v>44944</v>
      </c>
      <c r="B3045" s="52">
        <v>1523</v>
      </c>
      <c r="C3045" s="8" t="s">
        <v>3507</v>
      </c>
      <c r="D3045" s="8" t="s">
        <v>1228</v>
      </c>
      <c r="E3045" s="52">
        <v>1362</v>
      </c>
      <c r="F3045" s="13">
        <v>151.5</v>
      </c>
      <c r="G3045" s="13"/>
    </row>
    <row r="3046" spans="1:7" hidden="1" x14ac:dyDescent="0.75">
      <c r="A3046" s="51">
        <v>44944</v>
      </c>
      <c r="B3046" s="52">
        <v>1523</v>
      </c>
      <c r="C3046" s="8" t="s">
        <v>3508</v>
      </c>
      <c r="D3046" s="8" t="s">
        <v>1228</v>
      </c>
      <c r="E3046" s="52">
        <v>1362</v>
      </c>
      <c r="F3046" s="13">
        <v>12.1</v>
      </c>
      <c r="G3046" s="13"/>
    </row>
    <row r="3047" spans="1:7" hidden="1" x14ac:dyDescent="0.75">
      <c r="A3047" s="51">
        <v>44944</v>
      </c>
      <c r="B3047" s="52">
        <v>1523</v>
      </c>
      <c r="C3047" s="8" t="s">
        <v>3509</v>
      </c>
      <c r="D3047" s="8" t="s">
        <v>1228</v>
      </c>
      <c r="E3047" s="52">
        <v>1362</v>
      </c>
      <c r="F3047" s="13">
        <v>2.2999999999999998</v>
      </c>
      <c r="G3047" s="13"/>
    </row>
    <row r="3048" spans="1:7" hidden="1" x14ac:dyDescent="0.75">
      <c r="A3048" s="51">
        <v>44944</v>
      </c>
      <c r="B3048" s="52">
        <v>1523</v>
      </c>
      <c r="C3048" s="8" t="s">
        <v>3510</v>
      </c>
      <c r="D3048" s="8" t="s">
        <v>1228</v>
      </c>
      <c r="E3048" s="52">
        <v>1362</v>
      </c>
      <c r="F3048" s="13">
        <v>278.10000000000002</v>
      </c>
      <c r="G3048" s="13"/>
    </row>
    <row r="3049" spans="1:7" hidden="1" x14ac:dyDescent="0.75">
      <c r="A3049" s="51">
        <v>44944</v>
      </c>
      <c r="B3049" s="52">
        <v>1523</v>
      </c>
      <c r="C3049" s="8" t="s">
        <v>3511</v>
      </c>
      <c r="D3049" s="8" t="s">
        <v>1228</v>
      </c>
      <c r="E3049" s="52">
        <v>1362</v>
      </c>
      <c r="F3049" s="13">
        <v>9.1999999999999993</v>
      </c>
      <c r="G3049" s="13"/>
    </row>
    <row r="3050" spans="1:7" hidden="1" x14ac:dyDescent="0.75">
      <c r="A3050" s="51">
        <v>44944</v>
      </c>
      <c r="B3050" s="52">
        <v>1523</v>
      </c>
      <c r="C3050" s="8" t="s">
        <v>3512</v>
      </c>
      <c r="D3050" s="8" t="s">
        <v>1228</v>
      </c>
      <c r="E3050" s="52">
        <v>1362</v>
      </c>
      <c r="F3050" s="13">
        <v>12</v>
      </c>
      <c r="G3050" s="13"/>
    </row>
    <row r="3051" spans="1:7" hidden="1" x14ac:dyDescent="0.75">
      <c r="A3051" s="51">
        <v>44944</v>
      </c>
      <c r="B3051" s="52">
        <v>1523</v>
      </c>
      <c r="C3051" s="8" t="s">
        <v>3513</v>
      </c>
      <c r="D3051" s="8" t="s">
        <v>1228</v>
      </c>
      <c r="E3051" s="52">
        <v>1362</v>
      </c>
      <c r="F3051" s="13">
        <v>7</v>
      </c>
      <c r="G3051" s="13"/>
    </row>
    <row r="3052" spans="1:7" hidden="1" x14ac:dyDescent="0.75">
      <c r="A3052" s="51">
        <v>44944</v>
      </c>
      <c r="B3052" s="52">
        <v>1523</v>
      </c>
      <c r="C3052" s="8" t="s">
        <v>3514</v>
      </c>
      <c r="D3052" s="8" t="s">
        <v>1228</v>
      </c>
      <c r="E3052" s="52">
        <v>1362</v>
      </c>
      <c r="F3052" s="13">
        <v>68.599999999999994</v>
      </c>
      <c r="G3052" s="13"/>
    </row>
    <row r="3053" spans="1:7" hidden="1" x14ac:dyDescent="0.75">
      <c r="A3053" s="51">
        <v>44944</v>
      </c>
      <c r="B3053" s="52">
        <v>1523</v>
      </c>
      <c r="C3053" s="8" t="s">
        <v>3515</v>
      </c>
      <c r="D3053" s="8" t="s">
        <v>1228</v>
      </c>
      <c r="E3053" s="52">
        <v>1362</v>
      </c>
      <c r="F3053" s="13">
        <v>43.5</v>
      </c>
      <c r="G3053" s="13"/>
    </row>
    <row r="3054" spans="1:7" hidden="1" x14ac:dyDescent="0.75">
      <c r="A3054" s="51">
        <v>44944</v>
      </c>
      <c r="B3054" s="52">
        <v>1523</v>
      </c>
      <c r="C3054" s="8" t="s">
        <v>3516</v>
      </c>
      <c r="D3054" s="8" t="s">
        <v>1228</v>
      </c>
      <c r="E3054" s="52">
        <v>1362</v>
      </c>
      <c r="F3054" s="13">
        <v>32</v>
      </c>
      <c r="G3054" s="13"/>
    </row>
    <row r="3055" spans="1:7" hidden="1" x14ac:dyDescent="0.75">
      <c r="A3055" s="51">
        <v>44944</v>
      </c>
      <c r="B3055" s="52">
        <v>1523</v>
      </c>
      <c r="C3055" s="8" t="s">
        <v>3517</v>
      </c>
      <c r="D3055" s="8" t="s">
        <v>1228</v>
      </c>
      <c r="E3055" s="52">
        <v>1362</v>
      </c>
      <c r="F3055" s="13">
        <v>108.4</v>
      </c>
      <c r="G3055" s="13"/>
    </row>
    <row r="3056" spans="1:7" hidden="1" x14ac:dyDescent="0.75">
      <c r="A3056" s="51">
        <v>44944</v>
      </c>
      <c r="B3056" s="52">
        <v>1523</v>
      </c>
      <c r="C3056" s="8" t="s">
        <v>3518</v>
      </c>
      <c r="D3056" s="8" t="s">
        <v>1228</v>
      </c>
      <c r="E3056" s="52">
        <v>1362</v>
      </c>
      <c r="F3056" s="13">
        <v>52.8</v>
      </c>
      <c r="G3056" s="13"/>
    </row>
    <row r="3057" spans="1:7" hidden="1" x14ac:dyDescent="0.75">
      <c r="A3057" s="51">
        <v>44944</v>
      </c>
      <c r="B3057" s="52">
        <v>1523</v>
      </c>
      <c r="C3057" s="8" t="s">
        <v>3519</v>
      </c>
      <c r="D3057" s="8" t="s">
        <v>1228</v>
      </c>
      <c r="E3057" s="52">
        <v>1362</v>
      </c>
      <c r="F3057" s="13">
        <v>139</v>
      </c>
      <c r="G3057" s="13"/>
    </row>
    <row r="3058" spans="1:7" hidden="1" x14ac:dyDescent="0.75">
      <c r="A3058" s="51">
        <v>44944</v>
      </c>
      <c r="B3058" s="52">
        <v>1523</v>
      </c>
      <c r="C3058" s="8" t="s">
        <v>3520</v>
      </c>
      <c r="D3058" s="8" t="s">
        <v>1228</v>
      </c>
      <c r="E3058" s="52">
        <v>1362</v>
      </c>
      <c r="F3058" s="13">
        <v>141.30000000000001</v>
      </c>
      <c r="G3058" s="13"/>
    </row>
    <row r="3059" spans="1:7" hidden="1" x14ac:dyDescent="0.75">
      <c r="A3059" s="51">
        <v>44944</v>
      </c>
      <c r="B3059" s="52">
        <v>1523</v>
      </c>
      <c r="C3059" s="8" t="s">
        <v>3521</v>
      </c>
      <c r="D3059" s="8" t="s">
        <v>1228</v>
      </c>
      <c r="E3059" s="52">
        <v>1362</v>
      </c>
      <c r="F3059" s="13">
        <v>131.5</v>
      </c>
      <c r="G3059" s="13"/>
    </row>
    <row r="3060" spans="1:7" hidden="1" x14ac:dyDescent="0.75">
      <c r="A3060" s="51">
        <v>44944</v>
      </c>
      <c r="B3060" s="52">
        <v>1523</v>
      </c>
      <c r="C3060" s="8" t="s">
        <v>3522</v>
      </c>
      <c r="D3060" s="8" t="s">
        <v>1228</v>
      </c>
      <c r="E3060" s="52">
        <v>1362</v>
      </c>
      <c r="F3060" s="13">
        <v>187.9</v>
      </c>
      <c r="G3060" s="13"/>
    </row>
    <row r="3061" spans="1:7" hidden="1" x14ac:dyDescent="0.75">
      <c r="A3061" s="51">
        <v>44944</v>
      </c>
      <c r="B3061" s="52">
        <v>1523</v>
      </c>
      <c r="C3061" s="8" t="s">
        <v>3523</v>
      </c>
      <c r="D3061" s="8" t="s">
        <v>1228</v>
      </c>
      <c r="E3061" s="52">
        <v>1362</v>
      </c>
      <c r="F3061" s="13">
        <v>127.5</v>
      </c>
      <c r="G3061" s="13"/>
    </row>
    <row r="3062" spans="1:7" hidden="1" x14ac:dyDescent="0.75">
      <c r="A3062" s="51">
        <v>44944</v>
      </c>
      <c r="B3062" s="52">
        <v>1523</v>
      </c>
      <c r="C3062" s="8" t="s">
        <v>3524</v>
      </c>
      <c r="D3062" s="8" t="s">
        <v>1228</v>
      </c>
      <c r="E3062" s="52">
        <v>1362</v>
      </c>
      <c r="F3062" s="13">
        <v>26.1</v>
      </c>
      <c r="G3062" s="13"/>
    </row>
    <row r="3063" spans="1:7" hidden="1" x14ac:dyDescent="0.75">
      <c r="A3063" s="51">
        <v>44944</v>
      </c>
      <c r="B3063" s="52">
        <v>1523</v>
      </c>
      <c r="C3063" s="8" t="s">
        <v>3525</v>
      </c>
      <c r="D3063" s="8" t="s">
        <v>1228</v>
      </c>
      <c r="E3063" s="52">
        <v>417</v>
      </c>
      <c r="F3063" s="13"/>
      <c r="G3063" s="13">
        <v>17</v>
      </c>
    </row>
    <row r="3064" spans="1:7" hidden="1" x14ac:dyDescent="0.75">
      <c r="A3064" s="51">
        <v>44944</v>
      </c>
      <c r="B3064" s="52">
        <v>1523</v>
      </c>
      <c r="C3064" s="8" t="s">
        <v>3526</v>
      </c>
      <c r="D3064" s="8" t="s">
        <v>1228</v>
      </c>
      <c r="E3064" s="52">
        <v>417</v>
      </c>
      <c r="F3064" s="13"/>
      <c r="G3064" s="13">
        <v>201.2</v>
      </c>
    </row>
    <row r="3065" spans="1:7" hidden="1" x14ac:dyDescent="0.75">
      <c r="A3065" s="51">
        <v>44944</v>
      </c>
      <c r="B3065" s="52">
        <v>1523</v>
      </c>
      <c r="C3065" s="8" t="s">
        <v>3527</v>
      </c>
      <c r="D3065" s="8" t="s">
        <v>1228</v>
      </c>
      <c r="E3065" s="52">
        <v>417</v>
      </c>
      <c r="F3065" s="13"/>
      <c r="G3065" s="13">
        <v>85</v>
      </c>
    </row>
    <row r="3066" spans="1:7" hidden="1" x14ac:dyDescent="0.75">
      <c r="A3066" s="51">
        <v>44945</v>
      </c>
      <c r="B3066" s="52">
        <v>1523</v>
      </c>
      <c r="C3066" s="8" t="s">
        <v>3528</v>
      </c>
      <c r="D3066" s="8" t="s">
        <v>1228</v>
      </c>
      <c r="E3066" s="52">
        <v>417</v>
      </c>
      <c r="F3066" s="13"/>
      <c r="G3066" s="13">
        <v>10.7</v>
      </c>
    </row>
    <row r="3067" spans="1:7" hidden="1" x14ac:dyDescent="0.75">
      <c r="A3067" s="51">
        <v>44945</v>
      </c>
      <c r="B3067" s="52">
        <v>1523</v>
      </c>
      <c r="C3067" s="8" t="s">
        <v>3529</v>
      </c>
      <c r="D3067" s="8" t="s">
        <v>1228</v>
      </c>
      <c r="E3067" s="52">
        <v>417</v>
      </c>
      <c r="F3067" s="13"/>
      <c r="G3067" s="13">
        <v>9.1999999999999993</v>
      </c>
    </row>
    <row r="3068" spans="1:7" hidden="1" x14ac:dyDescent="0.75">
      <c r="A3068" s="51">
        <v>44945</v>
      </c>
      <c r="B3068" s="52">
        <v>1523</v>
      </c>
      <c r="C3068" s="8" t="s">
        <v>3530</v>
      </c>
      <c r="D3068" s="8" t="s">
        <v>1228</v>
      </c>
      <c r="E3068" s="52">
        <v>417</v>
      </c>
      <c r="F3068" s="13"/>
      <c r="G3068" s="13">
        <v>366.3</v>
      </c>
    </row>
    <row r="3069" spans="1:7" hidden="1" x14ac:dyDescent="0.75">
      <c r="A3069" s="51">
        <v>44945</v>
      </c>
      <c r="B3069" s="52">
        <v>1523</v>
      </c>
      <c r="C3069" s="8" t="s">
        <v>3531</v>
      </c>
      <c r="D3069" s="8" t="s">
        <v>1228</v>
      </c>
      <c r="E3069" s="52">
        <v>417</v>
      </c>
      <c r="F3069" s="13"/>
      <c r="G3069" s="13">
        <v>33.4</v>
      </c>
    </row>
    <row r="3070" spans="1:7" hidden="1" x14ac:dyDescent="0.75">
      <c r="A3070" s="51">
        <v>44945</v>
      </c>
      <c r="B3070" s="52">
        <v>1523</v>
      </c>
      <c r="C3070" s="8" t="s">
        <v>3532</v>
      </c>
      <c r="D3070" s="8" t="s">
        <v>1228</v>
      </c>
      <c r="E3070" s="52">
        <v>417</v>
      </c>
      <c r="F3070" s="13"/>
      <c r="G3070" s="13">
        <v>66.8</v>
      </c>
    </row>
    <row r="3071" spans="1:7" hidden="1" x14ac:dyDescent="0.75">
      <c r="A3071" s="51">
        <v>44946</v>
      </c>
      <c r="B3071" s="52">
        <v>1523</v>
      </c>
      <c r="C3071" s="8" t="s">
        <v>3533</v>
      </c>
      <c r="D3071" s="8" t="s">
        <v>1228</v>
      </c>
      <c r="E3071" s="52">
        <v>417</v>
      </c>
      <c r="F3071" s="13"/>
      <c r="G3071" s="13">
        <v>33</v>
      </c>
    </row>
    <row r="3072" spans="1:7" hidden="1" x14ac:dyDescent="0.75">
      <c r="A3072" s="51">
        <v>44946</v>
      </c>
      <c r="B3072" s="52">
        <v>1523</v>
      </c>
      <c r="C3072" s="8" t="s">
        <v>3534</v>
      </c>
      <c r="D3072" s="8" t="s">
        <v>1228</v>
      </c>
      <c r="E3072" s="52">
        <v>417</v>
      </c>
      <c r="F3072" s="13"/>
      <c r="G3072" s="13">
        <v>214.5</v>
      </c>
    </row>
    <row r="3073" spans="1:7" hidden="1" x14ac:dyDescent="0.75">
      <c r="A3073" s="51">
        <v>44947</v>
      </c>
      <c r="B3073" s="52">
        <v>1523</v>
      </c>
      <c r="C3073" s="8" t="s">
        <v>3535</v>
      </c>
      <c r="D3073" s="8" t="s">
        <v>1228</v>
      </c>
      <c r="E3073" s="52">
        <v>417</v>
      </c>
      <c r="F3073" s="13"/>
      <c r="G3073" s="13">
        <v>348.2</v>
      </c>
    </row>
    <row r="3074" spans="1:7" hidden="1" x14ac:dyDescent="0.75">
      <c r="A3074" s="51">
        <v>44947</v>
      </c>
      <c r="B3074" s="52">
        <v>1523</v>
      </c>
      <c r="C3074" s="8" t="s">
        <v>3536</v>
      </c>
      <c r="D3074" s="8" t="s">
        <v>1228</v>
      </c>
      <c r="E3074" s="52">
        <v>417</v>
      </c>
      <c r="F3074" s="13"/>
      <c r="G3074" s="13">
        <v>3.6</v>
      </c>
    </row>
    <row r="3075" spans="1:7" hidden="1" x14ac:dyDescent="0.75">
      <c r="A3075" s="51">
        <v>44947</v>
      </c>
      <c r="B3075" s="52">
        <v>1523</v>
      </c>
      <c r="C3075" s="8" t="s">
        <v>3537</v>
      </c>
      <c r="D3075" s="8" t="s">
        <v>1228</v>
      </c>
      <c r="E3075" s="52">
        <v>417</v>
      </c>
      <c r="F3075" s="13"/>
      <c r="G3075" s="13">
        <v>11.9</v>
      </c>
    </row>
    <row r="3076" spans="1:7" hidden="1" x14ac:dyDescent="0.75">
      <c r="A3076" s="51">
        <v>44947</v>
      </c>
      <c r="B3076" s="52">
        <v>1523</v>
      </c>
      <c r="C3076" s="8" t="s">
        <v>3538</v>
      </c>
      <c r="D3076" s="8" t="s">
        <v>1228</v>
      </c>
      <c r="E3076" s="52">
        <v>417</v>
      </c>
      <c r="F3076" s="13"/>
      <c r="G3076" s="13">
        <v>69.7</v>
      </c>
    </row>
    <row r="3077" spans="1:7" hidden="1" x14ac:dyDescent="0.75">
      <c r="A3077" s="51">
        <v>44947</v>
      </c>
      <c r="B3077" s="52">
        <v>1523</v>
      </c>
      <c r="C3077" s="8" t="s">
        <v>3539</v>
      </c>
      <c r="D3077" s="8" t="s">
        <v>1228</v>
      </c>
      <c r="E3077" s="52">
        <v>417</v>
      </c>
      <c r="F3077" s="13"/>
      <c r="G3077" s="13">
        <v>35.4</v>
      </c>
    </row>
    <row r="3078" spans="1:7" hidden="1" x14ac:dyDescent="0.75">
      <c r="A3078" s="51">
        <v>44947</v>
      </c>
      <c r="B3078" s="52">
        <v>1523</v>
      </c>
      <c r="C3078" s="8" t="s">
        <v>3540</v>
      </c>
      <c r="D3078" s="8" t="s">
        <v>1228</v>
      </c>
      <c r="E3078" s="52">
        <v>417</v>
      </c>
      <c r="F3078" s="13"/>
      <c r="G3078" s="13">
        <v>75.099999999999994</v>
      </c>
    </row>
    <row r="3079" spans="1:7" hidden="1" x14ac:dyDescent="0.75">
      <c r="A3079" s="51">
        <v>44949</v>
      </c>
      <c r="B3079" s="52">
        <v>1523</v>
      </c>
      <c r="C3079" s="8" t="s">
        <v>3541</v>
      </c>
      <c r="D3079" s="8" t="s">
        <v>1228</v>
      </c>
      <c r="E3079" s="52">
        <v>417</v>
      </c>
      <c r="F3079" s="13"/>
      <c r="G3079" s="13">
        <v>19.2</v>
      </c>
    </row>
    <row r="3080" spans="1:7" hidden="1" x14ac:dyDescent="0.75">
      <c r="A3080" s="51">
        <v>44949</v>
      </c>
      <c r="B3080" s="52">
        <v>1523</v>
      </c>
      <c r="C3080" s="8" t="s">
        <v>3542</v>
      </c>
      <c r="D3080" s="8" t="s">
        <v>1228</v>
      </c>
      <c r="E3080" s="52">
        <v>417</v>
      </c>
      <c r="F3080" s="13"/>
      <c r="G3080" s="13">
        <v>54.3</v>
      </c>
    </row>
    <row r="3081" spans="1:7" hidden="1" x14ac:dyDescent="0.75">
      <c r="A3081" s="51">
        <v>44951</v>
      </c>
      <c r="B3081" s="52">
        <v>1523</v>
      </c>
      <c r="C3081" s="8" t="s">
        <v>3543</v>
      </c>
      <c r="D3081" s="8" t="s">
        <v>1228</v>
      </c>
      <c r="E3081" s="52">
        <v>1362</v>
      </c>
      <c r="F3081" s="13">
        <v>9</v>
      </c>
      <c r="G3081" s="13"/>
    </row>
    <row r="3082" spans="1:7" hidden="1" x14ac:dyDescent="0.75">
      <c r="A3082" s="51">
        <v>44951</v>
      </c>
      <c r="B3082" s="52">
        <v>1523</v>
      </c>
      <c r="C3082" s="8" t="s">
        <v>3544</v>
      </c>
      <c r="D3082" s="8" t="s">
        <v>1228</v>
      </c>
      <c r="E3082" s="52">
        <v>1362</v>
      </c>
      <c r="F3082" s="13">
        <v>368.8</v>
      </c>
      <c r="G3082" s="13"/>
    </row>
    <row r="3083" spans="1:7" hidden="1" x14ac:dyDescent="0.75">
      <c r="A3083" s="51">
        <v>44951</v>
      </c>
      <c r="B3083" s="52">
        <v>1523</v>
      </c>
      <c r="C3083" s="8" t="s">
        <v>3545</v>
      </c>
      <c r="D3083" s="8" t="s">
        <v>1228</v>
      </c>
      <c r="E3083" s="52">
        <v>1362</v>
      </c>
      <c r="F3083" s="13">
        <v>203.8</v>
      </c>
      <c r="G3083" s="13"/>
    </row>
    <row r="3084" spans="1:7" hidden="1" x14ac:dyDescent="0.75">
      <c r="A3084" s="51">
        <v>44951</v>
      </c>
      <c r="B3084" s="52">
        <v>1523</v>
      </c>
      <c r="C3084" s="8" t="s">
        <v>3546</v>
      </c>
      <c r="D3084" s="8" t="s">
        <v>1228</v>
      </c>
      <c r="E3084" s="52">
        <v>1362</v>
      </c>
      <c r="F3084" s="13">
        <v>28</v>
      </c>
      <c r="G3084" s="13"/>
    </row>
    <row r="3085" spans="1:7" hidden="1" x14ac:dyDescent="0.75">
      <c r="A3085" s="51">
        <v>44951</v>
      </c>
      <c r="B3085" s="52">
        <v>1523</v>
      </c>
      <c r="C3085" s="8" t="s">
        <v>3547</v>
      </c>
      <c r="D3085" s="8" t="s">
        <v>1228</v>
      </c>
      <c r="E3085" s="52">
        <v>1362</v>
      </c>
      <c r="F3085" s="13">
        <v>64.599999999999994</v>
      </c>
      <c r="G3085" s="13"/>
    </row>
    <row r="3086" spans="1:7" hidden="1" x14ac:dyDescent="0.75">
      <c r="A3086" s="51">
        <v>44951</v>
      </c>
      <c r="B3086" s="52">
        <v>1523</v>
      </c>
      <c r="C3086" s="8" t="s">
        <v>3548</v>
      </c>
      <c r="D3086" s="8" t="s">
        <v>1228</v>
      </c>
      <c r="E3086" s="52">
        <v>1362</v>
      </c>
      <c r="F3086" s="13">
        <v>62.8</v>
      </c>
      <c r="G3086" s="13"/>
    </row>
    <row r="3087" spans="1:7" hidden="1" x14ac:dyDescent="0.75">
      <c r="A3087" s="51">
        <v>44951</v>
      </c>
      <c r="B3087" s="52">
        <v>1523</v>
      </c>
      <c r="C3087" s="8" t="s">
        <v>3549</v>
      </c>
      <c r="D3087" s="8" t="s">
        <v>1228</v>
      </c>
      <c r="E3087" s="52">
        <v>1362</v>
      </c>
      <c r="F3087" s="13">
        <v>182.9</v>
      </c>
      <c r="G3087" s="13"/>
    </row>
    <row r="3088" spans="1:7" hidden="1" x14ac:dyDescent="0.75">
      <c r="A3088" s="51">
        <v>44951</v>
      </c>
      <c r="B3088" s="52">
        <v>1523</v>
      </c>
      <c r="C3088" s="8" t="s">
        <v>3550</v>
      </c>
      <c r="D3088" s="8" t="s">
        <v>1228</v>
      </c>
      <c r="E3088" s="52">
        <v>1362</v>
      </c>
      <c r="F3088" s="13">
        <v>23.4</v>
      </c>
      <c r="G3088" s="13"/>
    </row>
    <row r="3089" spans="1:7" hidden="1" x14ac:dyDescent="0.75">
      <c r="A3089" s="51">
        <v>44951</v>
      </c>
      <c r="B3089" s="52">
        <v>1523</v>
      </c>
      <c r="C3089" s="8" t="s">
        <v>3551</v>
      </c>
      <c r="D3089" s="8" t="s">
        <v>1228</v>
      </c>
      <c r="E3089" s="52">
        <v>1362</v>
      </c>
      <c r="F3089" s="13">
        <v>5.4</v>
      </c>
      <c r="G3089" s="13"/>
    </row>
    <row r="3090" spans="1:7" hidden="1" x14ac:dyDescent="0.75">
      <c r="A3090" s="51">
        <v>44951</v>
      </c>
      <c r="B3090" s="52">
        <v>1523</v>
      </c>
      <c r="C3090" s="8" t="s">
        <v>3552</v>
      </c>
      <c r="D3090" s="8" t="s">
        <v>1228</v>
      </c>
      <c r="E3090" s="52">
        <v>1362</v>
      </c>
      <c r="F3090" s="13">
        <v>14.1</v>
      </c>
      <c r="G3090" s="13"/>
    </row>
    <row r="3091" spans="1:7" hidden="1" x14ac:dyDescent="0.75">
      <c r="A3091" s="51">
        <v>44951</v>
      </c>
      <c r="B3091" s="52">
        <v>1523</v>
      </c>
      <c r="C3091" s="8" t="s">
        <v>3553</v>
      </c>
      <c r="D3091" s="8" t="s">
        <v>1228</v>
      </c>
      <c r="E3091" s="52">
        <v>1362</v>
      </c>
      <c r="F3091" s="13">
        <v>1.8</v>
      </c>
      <c r="G3091" s="13"/>
    </row>
    <row r="3092" spans="1:7" hidden="1" x14ac:dyDescent="0.75">
      <c r="A3092" s="51">
        <v>44951</v>
      </c>
      <c r="B3092" s="52">
        <v>1523</v>
      </c>
      <c r="C3092" s="8" t="s">
        <v>3554</v>
      </c>
      <c r="D3092" s="8" t="s">
        <v>1228</v>
      </c>
      <c r="E3092" s="52">
        <v>1362</v>
      </c>
      <c r="F3092" s="13">
        <v>15.5</v>
      </c>
      <c r="G3092" s="13"/>
    </row>
    <row r="3093" spans="1:7" hidden="1" x14ac:dyDescent="0.75">
      <c r="A3093" s="51">
        <v>44951</v>
      </c>
      <c r="B3093" s="52">
        <v>1523</v>
      </c>
      <c r="C3093" s="8" t="s">
        <v>3555</v>
      </c>
      <c r="D3093" s="8" t="s">
        <v>1228</v>
      </c>
      <c r="E3093" s="52">
        <v>1362</v>
      </c>
      <c r="F3093" s="13">
        <v>108.9</v>
      </c>
      <c r="G3093" s="13"/>
    </row>
    <row r="3094" spans="1:7" hidden="1" x14ac:dyDescent="0.75">
      <c r="A3094" s="51">
        <v>44951</v>
      </c>
      <c r="B3094" s="52">
        <v>1523</v>
      </c>
      <c r="C3094" s="8" t="s">
        <v>3556</v>
      </c>
      <c r="D3094" s="8" t="s">
        <v>1228</v>
      </c>
      <c r="E3094" s="52">
        <v>1362</v>
      </c>
      <c r="F3094" s="13">
        <v>6.2</v>
      </c>
      <c r="G3094" s="13"/>
    </row>
    <row r="3095" spans="1:7" hidden="1" x14ac:dyDescent="0.75">
      <c r="A3095" s="51">
        <v>44951</v>
      </c>
      <c r="B3095" s="52">
        <v>1523</v>
      </c>
      <c r="C3095" s="8" t="s">
        <v>3557</v>
      </c>
      <c r="D3095" s="8" t="s">
        <v>1228</v>
      </c>
      <c r="E3095" s="52">
        <v>1362</v>
      </c>
      <c r="F3095" s="13">
        <v>82.7</v>
      </c>
      <c r="G3095" s="13"/>
    </row>
    <row r="3096" spans="1:7" hidden="1" x14ac:dyDescent="0.75">
      <c r="A3096" s="51">
        <v>44951</v>
      </c>
      <c r="B3096" s="52">
        <v>1523</v>
      </c>
      <c r="C3096" s="8" t="s">
        <v>3558</v>
      </c>
      <c r="D3096" s="8" t="s">
        <v>1228</v>
      </c>
      <c r="E3096" s="52">
        <v>1362</v>
      </c>
      <c r="F3096" s="13">
        <v>169.5</v>
      </c>
      <c r="G3096" s="13"/>
    </row>
    <row r="3097" spans="1:7" hidden="1" x14ac:dyDescent="0.75">
      <c r="A3097" s="51">
        <v>44951</v>
      </c>
      <c r="B3097" s="52">
        <v>1523</v>
      </c>
      <c r="C3097" s="8" t="s">
        <v>3559</v>
      </c>
      <c r="D3097" s="8" t="s">
        <v>1228</v>
      </c>
      <c r="E3097" s="52">
        <v>417</v>
      </c>
      <c r="F3097" s="13"/>
      <c r="G3097" s="13">
        <v>3.4</v>
      </c>
    </row>
    <row r="3098" spans="1:7" hidden="1" x14ac:dyDescent="0.75">
      <c r="A3098" s="51">
        <v>44951</v>
      </c>
      <c r="B3098" s="52">
        <v>1523</v>
      </c>
      <c r="C3098" s="8" t="s">
        <v>3560</v>
      </c>
      <c r="D3098" s="8" t="s">
        <v>1228</v>
      </c>
      <c r="E3098" s="52">
        <v>417</v>
      </c>
      <c r="F3098" s="13"/>
      <c r="G3098" s="13">
        <v>17.2</v>
      </c>
    </row>
    <row r="3099" spans="1:7" hidden="1" x14ac:dyDescent="0.75">
      <c r="A3099" s="51">
        <v>44951</v>
      </c>
      <c r="B3099" s="52">
        <v>1523</v>
      </c>
      <c r="C3099" s="8" t="s">
        <v>3561</v>
      </c>
      <c r="D3099" s="8" t="s">
        <v>1228</v>
      </c>
      <c r="E3099" s="52">
        <v>417</v>
      </c>
      <c r="F3099" s="13"/>
      <c r="G3099" s="13">
        <v>15</v>
      </c>
    </row>
    <row r="3100" spans="1:7" hidden="1" x14ac:dyDescent="0.75">
      <c r="A3100" s="51">
        <v>44951</v>
      </c>
      <c r="B3100" s="52">
        <v>1523</v>
      </c>
      <c r="C3100" s="8" t="s">
        <v>3562</v>
      </c>
      <c r="D3100" s="8" t="s">
        <v>1228</v>
      </c>
      <c r="E3100" s="52">
        <v>417</v>
      </c>
      <c r="F3100" s="13"/>
      <c r="G3100" s="13">
        <v>231</v>
      </c>
    </row>
    <row r="3101" spans="1:7" hidden="1" x14ac:dyDescent="0.75">
      <c r="A3101" s="51">
        <v>44951</v>
      </c>
      <c r="B3101" s="52">
        <v>1523</v>
      </c>
      <c r="C3101" s="8" t="s">
        <v>3563</v>
      </c>
      <c r="D3101" s="8" t="s">
        <v>1228</v>
      </c>
      <c r="E3101" s="52">
        <v>417</v>
      </c>
      <c r="F3101" s="13"/>
      <c r="G3101" s="13">
        <v>13.1</v>
      </c>
    </row>
    <row r="3102" spans="1:7" hidden="1" x14ac:dyDescent="0.75">
      <c r="A3102" s="51">
        <v>44952</v>
      </c>
      <c r="B3102" s="52">
        <v>1523</v>
      </c>
      <c r="C3102" s="8" t="s">
        <v>3564</v>
      </c>
      <c r="D3102" s="8" t="s">
        <v>1228</v>
      </c>
      <c r="E3102" s="52">
        <v>417</v>
      </c>
      <c r="F3102" s="13"/>
      <c r="G3102" s="13">
        <v>9.1999999999999993</v>
      </c>
    </row>
    <row r="3103" spans="1:7" hidden="1" x14ac:dyDescent="0.75">
      <c r="A3103" s="51">
        <v>44952</v>
      </c>
      <c r="B3103" s="52">
        <v>1523</v>
      </c>
      <c r="C3103" s="8" t="s">
        <v>3565</v>
      </c>
      <c r="D3103" s="8" t="s">
        <v>1228</v>
      </c>
      <c r="E3103" s="52">
        <v>417</v>
      </c>
      <c r="F3103" s="13"/>
      <c r="G3103" s="13">
        <v>6.9</v>
      </c>
    </row>
    <row r="3104" spans="1:7" hidden="1" x14ac:dyDescent="0.75">
      <c r="A3104" s="51">
        <v>44952</v>
      </c>
      <c r="B3104" s="52">
        <v>1523</v>
      </c>
      <c r="C3104" s="8" t="s">
        <v>3566</v>
      </c>
      <c r="D3104" s="8" t="s">
        <v>1228</v>
      </c>
      <c r="E3104" s="52">
        <v>417</v>
      </c>
      <c r="F3104" s="13"/>
      <c r="G3104" s="13">
        <v>9.1999999999999993</v>
      </c>
    </row>
    <row r="3105" spans="1:7" hidden="1" x14ac:dyDescent="0.75">
      <c r="A3105" s="51">
        <v>44952</v>
      </c>
      <c r="B3105" s="52">
        <v>1523</v>
      </c>
      <c r="C3105" s="8" t="s">
        <v>3567</v>
      </c>
      <c r="D3105" s="8" t="s">
        <v>1228</v>
      </c>
      <c r="E3105" s="52">
        <v>417</v>
      </c>
      <c r="F3105" s="13"/>
      <c r="G3105" s="13">
        <v>4.2</v>
      </c>
    </row>
    <row r="3106" spans="1:7" hidden="1" x14ac:dyDescent="0.75">
      <c r="A3106" s="51">
        <v>44952</v>
      </c>
      <c r="B3106" s="52">
        <v>1523</v>
      </c>
      <c r="C3106" s="8" t="s">
        <v>3568</v>
      </c>
      <c r="D3106" s="8" t="s">
        <v>1228</v>
      </c>
      <c r="E3106" s="52">
        <v>417</v>
      </c>
      <c r="F3106" s="13"/>
      <c r="G3106" s="13">
        <v>24</v>
      </c>
    </row>
    <row r="3107" spans="1:7" hidden="1" x14ac:dyDescent="0.75">
      <c r="A3107" s="51">
        <v>44952</v>
      </c>
      <c r="B3107" s="52">
        <v>1523</v>
      </c>
      <c r="C3107" s="8" t="s">
        <v>3569</v>
      </c>
      <c r="D3107" s="8" t="s">
        <v>1228</v>
      </c>
      <c r="E3107" s="52">
        <v>417</v>
      </c>
      <c r="F3107" s="13"/>
      <c r="G3107" s="13">
        <v>78</v>
      </c>
    </row>
    <row r="3108" spans="1:7" hidden="1" x14ac:dyDescent="0.75">
      <c r="A3108" s="51">
        <v>44952</v>
      </c>
      <c r="B3108" s="52">
        <v>1523</v>
      </c>
      <c r="C3108" s="8" t="s">
        <v>3570</v>
      </c>
      <c r="D3108" s="8" t="s">
        <v>1228</v>
      </c>
      <c r="E3108" s="52">
        <v>417</v>
      </c>
      <c r="F3108" s="13"/>
      <c r="G3108" s="13">
        <v>475.4</v>
      </c>
    </row>
    <row r="3109" spans="1:7" hidden="1" x14ac:dyDescent="0.75">
      <c r="A3109" s="51">
        <v>44952</v>
      </c>
      <c r="B3109" s="52">
        <v>1523</v>
      </c>
      <c r="C3109" s="8" t="s">
        <v>3571</v>
      </c>
      <c r="D3109" s="8" t="s">
        <v>1228</v>
      </c>
      <c r="E3109" s="52">
        <v>417</v>
      </c>
      <c r="F3109" s="13"/>
      <c r="G3109" s="13">
        <v>230.5</v>
      </c>
    </row>
    <row r="3110" spans="1:7" hidden="1" x14ac:dyDescent="0.75">
      <c r="A3110" s="51">
        <v>44952</v>
      </c>
      <c r="B3110" s="52">
        <v>1523</v>
      </c>
      <c r="C3110" s="8" t="s">
        <v>3572</v>
      </c>
      <c r="D3110" s="8" t="s">
        <v>1228</v>
      </c>
      <c r="E3110" s="52">
        <v>417</v>
      </c>
      <c r="F3110" s="13"/>
      <c r="G3110" s="13">
        <v>6.2</v>
      </c>
    </row>
    <row r="3111" spans="1:7" hidden="1" x14ac:dyDescent="0.75">
      <c r="A3111" s="51">
        <v>44952</v>
      </c>
      <c r="B3111" s="52">
        <v>1523</v>
      </c>
      <c r="C3111" s="8" t="s">
        <v>3573</v>
      </c>
      <c r="D3111" s="8" t="s">
        <v>1228</v>
      </c>
      <c r="E3111" s="52">
        <v>417</v>
      </c>
      <c r="F3111" s="13"/>
      <c r="G3111" s="13">
        <v>110.3</v>
      </c>
    </row>
    <row r="3112" spans="1:7" hidden="1" x14ac:dyDescent="0.75">
      <c r="A3112" s="51">
        <v>44953</v>
      </c>
      <c r="B3112" s="52">
        <v>1523</v>
      </c>
      <c r="C3112" s="8" t="s">
        <v>3574</v>
      </c>
      <c r="D3112" s="8" t="s">
        <v>1228</v>
      </c>
      <c r="E3112" s="52">
        <v>417</v>
      </c>
      <c r="F3112" s="13"/>
      <c r="G3112" s="13">
        <v>7.5</v>
      </c>
    </row>
    <row r="3113" spans="1:7" hidden="1" x14ac:dyDescent="0.75">
      <c r="A3113" s="51">
        <v>44953</v>
      </c>
      <c r="B3113" s="52">
        <v>1523</v>
      </c>
      <c r="C3113" s="8" t="s">
        <v>3575</v>
      </c>
      <c r="D3113" s="8" t="s">
        <v>1228</v>
      </c>
      <c r="E3113" s="52">
        <v>417</v>
      </c>
      <c r="F3113" s="13"/>
      <c r="G3113" s="13">
        <v>5.0999999999999996</v>
      </c>
    </row>
    <row r="3114" spans="1:7" hidden="1" x14ac:dyDescent="0.75">
      <c r="A3114" s="51">
        <v>44953</v>
      </c>
      <c r="B3114" s="52">
        <v>1523</v>
      </c>
      <c r="C3114" s="8" t="s">
        <v>3576</v>
      </c>
      <c r="D3114" s="8" t="s">
        <v>1228</v>
      </c>
      <c r="E3114" s="52">
        <v>417</v>
      </c>
      <c r="F3114" s="13"/>
      <c r="G3114" s="13">
        <v>8.5</v>
      </c>
    </row>
    <row r="3115" spans="1:7" hidden="1" x14ac:dyDescent="0.75">
      <c r="A3115" s="51">
        <v>44953</v>
      </c>
      <c r="B3115" s="52">
        <v>1523</v>
      </c>
      <c r="C3115" s="8" t="s">
        <v>3577</v>
      </c>
      <c r="D3115" s="8" t="s">
        <v>1228</v>
      </c>
      <c r="E3115" s="52">
        <v>417</v>
      </c>
      <c r="F3115" s="13"/>
      <c r="G3115" s="13">
        <v>192.5</v>
      </c>
    </row>
    <row r="3116" spans="1:7" hidden="1" x14ac:dyDescent="0.75">
      <c r="A3116" s="51">
        <v>44953</v>
      </c>
      <c r="B3116" s="52">
        <v>1523</v>
      </c>
      <c r="C3116" s="8" t="s">
        <v>3578</v>
      </c>
      <c r="D3116" s="8" t="s">
        <v>1228</v>
      </c>
      <c r="E3116" s="52">
        <v>417</v>
      </c>
      <c r="F3116" s="13"/>
      <c r="G3116" s="13">
        <v>114.6</v>
      </c>
    </row>
    <row r="3117" spans="1:7" hidden="1" x14ac:dyDescent="0.75">
      <c r="A3117" s="51">
        <v>44953</v>
      </c>
      <c r="B3117" s="52">
        <v>1523</v>
      </c>
      <c r="C3117" s="8" t="s">
        <v>3579</v>
      </c>
      <c r="D3117" s="8" t="s">
        <v>1228</v>
      </c>
      <c r="E3117" s="52">
        <v>417</v>
      </c>
      <c r="F3117" s="13"/>
      <c r="G3117" s="13">
        <v>17.2</v>
      </c>
    </row>
    <row r="3118" spans="1:7" hidden="1" x14ac:dyDescent="0.75">
      <c r="A3118" s="51">
        <v>44953</v>
      </c>
      <c r="B3118" s="52">
        <v>1523</v>
      </c>
      <c r="C3118" s="8" t="s">
        <v>3580</v>
      </c>
      <c r="D3118" s="8" t="s">
        <v>1228</v>
      </c>
      <c r="E3118" s="52">
        <v>417</v>
      </c>
      <c r="F3118" s="13"/>
      <c r="G3118" s="13">
        <v>143.30000000000001</v>
      </c>
    </row>
    <row r="3119" spans="1:7" hidden="1" x14ac:dyDescent="0.75">
      <c r="A3119" s="51">
        <v>44954</v>
      </c>
      <c r="B3119" s="52">
        <v>1523</v>
      </c>
      <c r="C3119" s="8" t="s">
        <v>3581</v>
      </c>
      <c r="D3119" s="8" t="s">
        <v>1228</v>
      </c>
      <c r="E3119" s="52">
        <v>417</v>
      </c>
      <c r="F3119" s="13"/>
      <c r="G3119" s="13">
        <v>96.5</v>
      </c>
    </row>
    <row r="3120" spans="1:7" hidden="1" x14ac:dyDescent="0.75">
      <c r="A3120" s="51">
        <v>44954</v>
      </c>
      <c r="B3120" s="52">
        <v>1523</v>
      </c>
      <c r="C3120" s="8" t="s">
        <v>3582</v>
      </c>
      <c r="D3120" s="8" t="s">
        <v>1228</v>
      </c>
      <c r="E3120" s="52">
        <v>417</v>
      </c>
      <c r="F3120" s="13"/>
      <c r="G3120" s="13">
        <v>269.5</v>
      </c>
    </row>
    <row r="3121" spans="1:7" hidden="1" x14ac:dyDescent="0.75">
      <c r="A3121" s="51">
        <v>44954</v>
      </c>
      <c r="B3121" s="52">
        <v>1523</v>
      </c>
      <c r="C3121" s="8" t="s">
        <v>3583</v>
      </c>
      <c r="D3121" s="8" t="s">
        <v>1228</v>
      </c>
      <c r="E3121" s="52">
        <v>417</v>
      </c>
      <c r="F3121" s="13"/>
      <c r="G3121" s="13">
        <v>50.9</v>
      </c>
    </row>
    <row r="3122" spans="1:7" hidden="1" x14ac:dyDescent="0.75">
      <c r="A3122" s="51">
        <v>44954</v>
      </c>
      <c r="B3122" s="52">
        <v>1523</v>
      </c>
      <c r="C3122" s="8" t="s">
        <v>3584</v>
      </c>
      <c r="D3122" s="8" t="s">
        <v>1228</v>
      </c>
      <c r="E3122" s="52">
        <v>417</v>
      </c>
      <c r="F3122" s="13"/>
      <c r="G3122" s="13">
        <v>14.5</v>
      </c>
    </row>
    <row r="3123" spans="1:7" hidden="1" x14ac:dyDescent="0.75">
      <c r="A3123" s="51">
        <v>44954</v>
      </c>
      <c r="B3123" s="52">
        <v>1523</v>
      </c>
      <c r="C3123" s="8" t="s">
        <v>3585</v>
      </c>
      <c r="D3123" s="8" t="s">
        <v>1228</v>
      </c>
      <c r="E3123" s="52">
        <v>417</v>
      </c>
      <c r="F3123" s="13"/>
      <c r="G3123" s="13">
        <v>346</v>
      </c>
    </row>
    <row r="3124" spans="1:7" hidden="1" x14ac:dyDescent="0.75">
      <c r="A3124" s="51">
        <v>44954</v>
      </c>
      <c r="B3124" s="52">
        <v>1523</v>
      </c>
      <c r="C3124" s="8" t="s">
        <v>3586</v>
      </c>
      <c r="D3124" s="8" t="s">
        <v>1228</v>
      </c>
      <c r="E3124" s="52">
        <v>417</v>
      </c>
      <c r="F3124" s="13"/>
      <c r="G3124" s="13">
        <v>28</v>
      </c>
    </row>
    <row r="3125" spans="1:7" hidden="1" x14ac:dyDescent="0.75">
      <c r="A3125" s="51">
        <v>44954</v>
      </c>
      <c r="B3125" s="52">
        <v>1523</v>
      </c>
      <c r="C3125" s="8" t="s">
        <v>3587</v>
      </c>
      <c r="D3125" s="8" t="s">
        <v>1228</v>
      </c>
      <c r="E3125" s="52">
        <v>417</v>
      </c>
      <c r="F3125" s="13"/>
      <c r="G3125" s="13">
        <v>130.9</v>
      </c>
    </row>
    <row r="3126" spans="1:7" hidden="1" x14ac:dyDescent="0.75">
      <c r="A3126" s="51">
        <v>44956</v>
      </c>
      <c r="B3126" s="52">
        <v>1523</v>
      </c>
      <c r="C3126" s="8" t="s">
        <v>3588</v>
      </c>
      <c r="D3126" s="8" t="s">
        <v>1228</v>
      </c>
      <c r="E3126" s="52">
        <v>417</v>
      </c>
      <c r="F3126" s="13"/>
      <c r="G3126" s="13">
        <v>393</v>
      </c>
    </row>
    <row r="3127" spans="1:7" hidden="1" x14ac:dyDescent="0.75">
      <c r="A3127" s="51">
        <v>44956</v>
      </c>
      <c r="B3127" s="52">
        <v>1523</v>
      </c>
      <c r="C3127" s="8" t="s">
        <v>3589</v>
      </c>
      <c r="D3127" s="8" t="s">
        <v>1228</v>
      </c>
      <c r="E3127" s="52">
        <v>417</v>
      </c>
      <c r="F3127" s="13"/>
      <c r="G3127" s="13">
        <v>7.5</v>
      </c>
    </row>
    <row r="3128" spans="1:7" hidden="1" x14ac:dyDescent="0.75">
      <c r="A3128" s="51">
        <v>44956</v>
      </c>
      <c r="B3128" s="52">
        <v>1523</v>
      </c>
      <c r="C3128" s="8" t="s">
        <v>3590</v>
      </c>
      <c r="D3128" s="8" t="s">
        <v>1228</v>
      </c>
      <c r="E3128" s="52">
        <v>417</v>
      </c>
      <c r="F3128" s="13"/>
      <c r="G3128" s="13">
        <v>17</v>
      </c>
    </row>
    <row r="3129" spans="1:7" hidden="1" x14ac:dyDescent="0.75">
      <c r="A3129" s="51">
        <v>44956</v>
      </c>
      <c r="B3129" s="52">
        <v>1523</v>
      </c>
      <c r="C3129" s="8" t="s">
        <v>3591</v>
      </c>
      <c r="D3129" s="8" t="s">
        <v>1228</v>
      </c>
      <c r="E3129" s="52">
        <v>417</v>
      </c>
      <c r="F3129" s="13"/>
      <c r="G3129" s="13">
        <v>665.3</v>
      </c>
    </row>
    <row r="3130" spans="1:7" hidden="1" x14ac:dyDescent="0.75">
      <c r="A3130" s="51">
        <v>44956</v>
      </c>
      <c r="B3130" s="52">
        <v>1523</v>
      </c>
      <c r="C3130" s="8" t="s">
        <v>3592</v>
      </c>
      <c r="D3130" s="8" t="s">
        <v>1228</v>
      </c>
      <c r="E3130" s="52">
        <v>417</v>
      </c>
      <c r="F3130" s="13"/>
      <c r="G3130" s="13">
        <v>75.2</v>
      </c>
    </row>
    <row r="3131" spans="1:7" hidden="1" x14ac:dyDescent="0.75">
      <c r="A3131" s="51">
        <v>44956</v>
      </c>
      <c r="B3131" s="52">
        <v>1523</v>
      </c>
      <c r="C3131" s="8" t="s">
        <v>3593</v>
      </c>
      <c r="D3131" s="8" t="s">
        <v>1228</v>
      </c>
      <c r="E3131" s="52">
        <v>417</v>
      </c>
      <c r="F3131" s="13"/>
      <c r="G3131" s="13">
        <v>25.4</v>
      </c>
    </row>
    <row r="3132" spans="1:7" hidden="1" x14ac:dyDescent="0.75">
      <c r="A3132" s="51">
        <v>44956</v>
      </c>
      <c r="B3132" s="52">
        <v>1523</v>
      </c>
      <c r="C3132" s="8" t="s">
        <v>3594</v>
      </c>
      <c r="D3132" s="8" t="s">
        <v>1228</v>
      </c>
      <c r="E3132" s="52">
        <v>417</v>
      </c>
      <c r="F3132" s="13"/>
      <c r="G3132" s="13">
        <v>45.2</v>
      </c>
    </row>
    <row r="3133" spans="1:7" hidden="1" x14ac:dyDescent="0.75">
      <c r="A3133" s="51">
        <v>44957</v>
      </c>
      <c r="B3133" s="52">
        <v>1523</v>
      </c>
      <c r="C3133" s="8" t="s">
        <v>3595</v>
      </c>
      <c r="D3133" s="8" t="s">
        <v>1228</v>
      </c>
      <c r="E3133" s="52">
        <v>417</v>
      </c>
      <c r="F3133" s="13"/>
      <c r="G3133" s="13">
        <v>2.2999999999999998</v>
      </c>
    </row>
    <row r="3134" spans="1:7" hidden="1" x14ac:dyDescent="0.75">
      <c r="A3134" s="51">
        <v>44957</v>
      </c>
      <c r="B3134" s="52">
        <v>1523</v>
      </c>
      <c r="C3134" s="8" t="s">
        <v>3596</v>
      </c>
      <c r="D3134" s="8" t="s">
        <v>1228</v>
      </c>
      <c r="E3134" s="52">
        <v>417</v>
      </c>
      <c r="F3134" s="13"/>
      <c r="G3134" s="13">
        <v>11.5</v>
      </c>
    </row>
    <row r="3135" spans="1:7" hidden="1" x14ac:dyDescent="0.75">
      <c r="A3135" s="51">
        <v>44957</v>
      </c>
      <c r="B3135" s="52">
        <v>1523</v>
      </c>
      <c r="C3135" s="8" t="s">
        <v>3597</v>
      </c>
      <c r="D3135" s="8" t="s">
        <v>1228</v>
      </c>
      <c r="E3135" s="52">
        <v>417</v>
      </c>
      <c r="F3135" s="13"/>
      <c r="G3135" s="13">
        <v>2.2999999999999998</v>
      </c>
    </row>
    <row r="3136" spans="1:7" hidden="1" x14ac:dyDescent="0.75">
      <c r="A3136" s="51">
        <v>44957</v>
      </c>
      <c r="B3136" s="52">
        <v>1523</v>
      </c>
      <c r="C3136" s="8" t="s">
        <v>3598</v>
      </c>
      <c r="D3136" s="8" t="s">
        <v>1228</v>
      </c>
      <c r="E3136" s="52">
        <v>417</v>
      </c>
      <c r="F3136" s="13"/>
      <c r="G3136" s="13">
        <v>6.9</v>
      </c>
    </row>
    <row r="3137" spans="1:7" hidden="1" x14ac:dyDescent="0.75">
      <c r="A3137" s="51">
        <v>44957</v>
      </c>
      <c r="B3137" s="52">
        <v>1523</v>
      </c>
      <c r="C3137" s="8" t="s">
        <v>3599</v>
      </c>
      <c r="D3137" s="8" t="s">
        <v>1228</v>
      </c>
      <c r="E3137" s="52">
        <v>417</v>
      </c>
      <c r="F3137" s="13"/>
      <c r="G3137" s="13">
        <v>7.5</v>
      </c>
    </row>
    <row r="3138" spans="1:7" hidden="1" x14ac:dyDescent="0.75">
      <c r="A3138" s="51">
        <v>44957</v>
      </c>
      <c r="B3138" s="52">
        <v>1523</v>
      </c>
      <c r="C3138" s="8" t="s">
        <v>3600</v>
      </c>
      <c r="D3138" s="8" t="s">
        <v>1228</v>
      </c>
      <c r="E3138" s="52">
        <v>417</v>
      </c>
      <c r="F3138" s="13"/>
      <c r="G3138" s="13">
        <v>7.5</v>
      </c>
    </row>
    <row r="3139" spans="1:7" hidden="1" x14ac:dyDescent="0.75">
      <c r="A3139" s="51">
        <v>44957</v>
      </c>
      <c r="B3139" s="52">
        <v>1523</v>
      </c>
      <c r="C3139" s="8" t="s">
        <v>3601</v>
      </c>
      <c r="D3139" s="8" t="s">
        <v>1228</v>
      </c>
      <c r="E3139" s="52">
        <v>417</v>
      </c>
      <c r="F3139" s="13"/>
      <c r="G3139" s="13">
        <v>56.8</v>
      </c>
    </row>
    <row r="3140" spans="1:7" hidden="1" x14ac:dyDescent="0.75">
      <c r="A3140" s="51">
        <v>44957</v>
      </c>
      <c r="B3140" s="52">
        <v>1523</v>
      </c>
      <c r="C3140" s="8" t="s">
        <v>3602</v>
      </c>
      <c r="D3140" s="8" t="s">
        <v>1228</v>
      </c>
      <c r="E3140" s="52">
        <v>417</v>
      </c>
      <c r="F3140" s="13"/>
      <c r="G3140" s="13">
        <v>172</v>
      </c>
    </row>
    <row r="3141" spans="1:7" hidden="1" x14ac:dyDescent="0.75">
      <c r="A3141" s="51">
        <v>44957</v>
      </c>
      <c r="B3141" s="52">
        <v>1523</v>
      </c>
      <c r="C3141" s="8" t="s">
        <v>3603</v>
      </c>
      <c r="D3141" s="8" t="s">
        <v>1228</v>
      </c>
      <c r="E3141" s="52">
        <v>417</v>
      </c>
      <c r="F3141" s="13"/>
      <c r="G3141" s="13">
        <v>28.5</v>
      </c>
    </row>
    <row r="3142" spans="1:7" hidden="1" x14ac:dyDescent="0.75">
      <c r="A3142" s="51">
        <v>44957</v>
      </c>
      <c r="B3142" s="52">
        <v>1523</v>
      </c>
      <c r="C3142" s="8" t="s">
        <v>3604</v>
      </c>
      <c r="D3142" s="8" t="s">
        <v>1228</v>
      </c>
      <c r="E3142" s="52">
        <v>417</v>
      </c>
      <c r="F3142" s="13"/>
      <c r="G3142" s="13">
        <v>252</v>
      </c>
    </row>
    <row r="3143" spans="1:7" hidden="1" x14ac:dyDescent="0.75">
      <c r="A3143" s="51">
        <v>44957</v>
      </c>
      <c r="B3143" s="52">
        <v>1523</v>
      </c>
      <c r="C3143" s="8" t="s">
        <v>3605</v>
      </c>
      <c r="D3143" s="8" t="s">
        <v>1228</v>
      </c>
      <c r="E3143" s="52">
        <v>417</v>
      </c>
      <c r="F3143" s="13"/>
      <c r="G3143" s="13">
        <v>333.8</v>
      </c>
    </row>
    <row r="3144" spans="1:7" hidden="1" x14ac:dyDescent="0.75">
      <c r="A3144" s="51">
        <v>44957</v>
      </c>
      <c r="B3144" s="52">
        <v>1523</v>
      </c>
      <c r="C3144" s="8" t="s">
        <v>3606</v>
      </c>
      <c r="D3144" s="8" t="s">
        <v>1228</v>
      </c>
      <c r="E3144" s="52">
        <v>417</v>
      </c>
      <c r="F3144" s="13"/>
      <c r="G3144" s="13">
        <v>176.6</v>
      </c>
    </row>
    <row r="3145" spans="1:7" hidden="1" x14ac:dyDescent="0.75">
      <c r="A3145" s="51">
        <v>44929</v>
      </c>
      <c r="B3145" s="52">
        <v>1429</v>
      </c>
      <c r="C3145" s="8" t="s">
        <v>3607</v>
      </c>
      <c r="D3145" s="8" t="s">
        <v>134</v>
      </c>
      <c r="E3145" s="52">
        <v>417</v>
      </c>
      <c r="F3145" s="13"/>
      <c r="G3145" s="13">
        <v>52</v>
      </c>
    </row>
    <row r="3146" spans="1:7" hidden="1" x14ac:dyDescent="0.75">
      <c r="A3146" s="51">
        <v>44929</v>
      </c>
      <c r="B3146" s="52">
        <v>1429</v>
      </c>
      <c r="C3146" s="8" t="s">
        <v>3608</v>
      </c>
      <c r="D3146" s="8" t="s">
        <v>134</v>
      </c>
      <c r="E3146" s="52">
        <v>417</v>
      </c>
      <c r="F3146" s="13"/>
      <c r="G3146" s="13">
        <v>89.32</v>
      </c>
    </row>
    <row r="3147" spans="1:7" hidden="1" x14ac:dyDescent="0.75">
      <c r="A3147" s="51">
        <v>44929</v>
      </c>
      <c r="B3147" s="52">
        <v>1429</v>
      </c>
      <c r="C3147" s="8" t="s">
        <v>3609</v>
      </c>
      <c r="D3147" s="8" t="s">
        <v>134</v>
      </c>
      <c r="E3147" s="52">
        <v>417</v>
      </c>
      <c r="F3147" s="13"/>
      <c r="G3147" s="13">
        <v>5.5</v>
      </c>
    </row>
    <row r="3148" spans="1:7" hidden="1" x14ac:dyDescent="0.75">
      <c r="A3148" s="51">
        <v>44931</v>
      </c>
      <c r="B3148" s="52">
        <v>1429</v>
      </c>
      <c r="C3148" s="8" t="s">
        <v>3610</v>
      </c>
      <c r="D3148" s="8" t="s">
        <v>134</v>
      </c>
      <c r="E3148" s="52">
        <v>1362</v>
      </c>
      <c r="F3148" s="13">
        <v>1250.6300000000001</v>
      </c>
      <c r="G3148" s="13"/>
    </row>
    <row r="3149" spans="1:7" hidden="1" x14ac:dyDescent="0.75">
      <c r="A3149" s="51">
        <v>44931</v>
      </c>
      <c r="B3149" s="52">
        <v>1429</v>
      </c>
      <c r="C3149" s="8" t="s">
        <v>3611</v>
      </c>
      <c r="D3149" s="8" t="s">
        <v>134</v>
      </c>
      <c r="E3149" s="52">
        <v>417</v>
      </c>
      <c r="F3149" s="13"/>
      <c r="G3149" s="13">
        <v>44</v>
      </c>
    </row>
    <row r="3150" spans="1:7" hidden="1" x14ac:dyDescent="0.75">
      <c r="A3150" s="51">
        <v>44931</v>
      </c>
      <c r="B3150" s="52">
        <v>1429</v>
      </c>
      <c r="C3150" s="8" t="s">
        <v>3612</v>
      </c>
      <c r="D3150" s="8" t="s">
        <v>134</v>
      </c>
      <c r="E3150" s="52">
        <v>417</v>
      </c>
      <c r="F3150" s="13"/>
      <c r="G3150" s="13">
        <v>65.599999999999994</v>
      </c>
    </row>
    <row r="3151" spans="1:7" hidden="1" x14ac:dyDescent="0.75">
      <c r="A3151" s="51">
        <v>44931</v>
      </c>
      <c r="B3151" s="52">
        <v>1429</v>
      </c>
      <c r="C3151" s="8" t="s">
        <v>3613</v>
      </c>
      <c r="D3151" s="8" t="s">
        <v>134</v>
      </c>
      <c r="E3151" s="52">
        <v>417</v>
      </c>
      <c r="F3151" s="13"/>
      <c r="G3151" s="13">
        <v>226.1</v>
      </c>
    </row>
    <row r="3152" spans="1:7" hidden="1" x14ac:dyDescent="0.75">
      <c r="A3152" s="51">
        <v>44931</v>
      </c>
      <c r="B3152" s="52">
        <v>1429</v>
      </c>
      <c r="C3152" s="8" t="s">
        <v>3614</v>
      </c>
      <c r="D3152" s="8" t="s">
        <v>134</v>
      </c>
      <c r="E3152" s="52">
        <v>417</v>
      </c>
      <c r="F3152" s="13"/>
      <c r="G3152" s="13">
        <v>26</v>
      </c>
    </row>
    <row r="3153" spans="1:7" hidden="1" x14ac:dyDescent="0.75">
      <c r="A3153" s="51">
        <v>44931</v>
      </c>
      <c r="B3153" s="52">
        <v>1429</v>
      </c>
      <c r="C3153" s="8" t="s">
        <v>3615</v>
      </c>
      <c r="D3153" s="8" t="s">
        <v>134</v>
      </c>
      <c r="E3153" s="52">
        <v>417</v>
      </c>
      <c r="F3153" s="13"/>
      <c r="G3153" s="13">
        <v>80.599999999999994</v>
      </c>
    </row>
    <row r="3154" spans="1:7" hidden="1" x14ac:dyDescent="0.75">
      <c r="A3154" s="51">
        <v>44933</v>
      </c>
      <c r="B3154" s="52">
        <v>1429</v>
      </c>
      <c r="C3154" s="8" t="s">
        <v>3616</v>
      </c>
      <c r="D3154" s="8" t="s">
        <v>134</v>
      </c>
      <c r="E3154" s="52">
        <v>417</v>
      </c>
      <c r="F3154" s="13"/>
      <c r="G3154" s="13">
        <v>8.6</v>
      </c>
    </row>
    <row r="3155" spans="1:7" hidden="1" x14ac:dyDescent="0.75">
      <c r="A3155" s="51">
        <v>44933</v>
      </c>
      <c r="B3155" s="52">
        <v>1429</v>
      </c>
      <c r="C3155" s="8" t="s">
        <v>3617</v>
      </c>
      <c r="D3155" s="8" t="s">
        <v>134</v>
      </c>
      <c r="E3155" s="52">
        <v>417</v>
      </c>
      <c r="F3155" s="13"/>
      <c r="G3155" s="13">
        <v>19</v>
      </c>
    </row>
    <row r="3156" spans="1:7" hidden="1" x14ac:dyDescent="0.75">
      <c r="A3156" s="51">
        <v>44933</v>
      </c>
      <c r="B3156" s="52">
        <v>1429</v>
      </c>
      <c r="C3156" s="8" t="s">
        <v>3618</v>
      </c>
      <c r="D3156" s="8" t="s">
        <v>134</v>
      </c>
      <c r="E3156" s="52">
        <v>417</v>
      </c>
      <c r="F3156" s="13"/>
      <c r="G3156" s="13">
        <v>62</v>
      </c>
    </row>
    <row r="3157" spans="1:7" hidden="1" x14ac:dyDescent="0.75">
      <c r="A3157" s="51">
        <v>44933</v>
      </c>
      <c r="B3157" s="52">
        <v>1429</v>
      </c>
      <c r="C3157" s="8" t="s">
        <v>3619</v>
      </c>
      <c r="D3157" s="8" t="s">
        <v>134</v>
      </c>
      <c r="E3157" s="52">
        <v>417</v>
      </c>
      <c r="F3157" s="13"/>
      <c r="G3157" s="13">
        <v>104.2</v>
      </c>
    </row>
    <row r="3158" spans="1:7" hidden="1" x14ac:dyDescent="0.75">
      <c r="A3158" s="51">
        <v>44933</v>
      </c>
      <c r="B3158" s="52">
        <v>1429</v>
      </c>
      <c r="C3158" s="8" t="s">
        <v>3620</v>
      </c>
      <c r="D3158" s="8" t="s">
        <v>134</v>
      </c>
      <c r="E3158" s="52">
        <v>417</v>
      </c>
      <c r="F3158" s="13"/>
      <c r="G3158" s="13">
        <v>2.75</v>
      </c>
    </row>
    <row r="3159" spans="1:7" hidden="1" x14ac:dyDescent="0.75">
      <c r="A3159" s="51">
        <v>44936</v>
      </c>
      <c r="B3159" s="52">
        <v>1429</v>
      </c>
      <c r="C3159" s="8" t="s">
        <v>3621</v>
      </c>
      <c r="D3159" s="8" t="s">
        <v>134</v>
      </c>
      <c r="E3159" s="52">
        <v>417</v>
      </c>
      <c r="F3159" s="13"/>
      <c r="G3159" s="13">
        <v>72</v>
      </c>
    </row>
    <row r="3160" spans="1:7" hidden="1" x14ac:dyDescent="0.75">
      <c r="A3160" s="51">
        <v>44936</v>
      </c>
      <c r="B3160" s="52">
        <v>1429</v>
      </c>
      <c r="C3160" s="8" t="s">
        <v>3622</v>
      </c>
      <c r="D3160" s="8" t="s">
        <v>134</v>
      </c>
      <c r="E3160" s="52">
        <v>417</v>
      </c>
      <c r="F3160" s="13"/>
      <c r="G3160" s="13">
        <v>84.8</v>
      </c>
    </row>
    <row r="3161" spans="1:7" hidden="1" x14ac:dyDescent="0.75">
      <c r="A3161" s="51">
        <v>44937</v>
      </c>
      <c r="B3161" s="52">
        <v>1429</v>
      </c>
      <c r="C3161" s="8" t="s">
        <v>3623</v>
      </c>
      <c r="D3161" s="8" t="s">
        <v>134</v>
      </c>
      <c r="E3161" s="52">
        <v>417</v>
      </c>
      <c r="F3161" s="13"/>
      <c r="G3161" s="13">
        <v>156.1</v>
      </c>
    </row>
    <row r="3162" spans="1:7" hidden="1" x14ac:dyDescent="0.75">
      <c r="A3162" s="51">
        <v>44938</v>
      </c>
      <c r="B3162" s="52">
        <v>1429</v>
      </c>
      <c r="C3162" s="8" t="s">
        <v>3624</v>
      </c>
      <c r="D3162" s="8" t="s">
        <v>134</v>
      </c>
      <c r="E3162" s="52">
        <v>417</v>
      </c>
      <c r="F3162" s="13"/>
      <c r="G3162" s="13">
        <v>99</v>
      </c>
    </row>
    <row r="3163" spans="1:7" hidden="1" x14ac:dyDescent="0.75">
      <c r="A3163" s="51">
        <v>44938</v>
      </c>
      <c r="B3163" s="52">
        <v>1429</v>
      </c>
      <c r="C3163" s="8" t="s">
        <v>3625</v>
      </c>
      <c r="D3163" s="8" t="s">
        <v>134</v>
      </c>
      <c r="E3163" s="52">
        <v>417</v>
      </c>
      <c r="F3163" s="13"/>
      <c r="G3163" s="13">
        <v>26</v>
      </c>
    </row>
    <row r="3164" spans="1:7" hidden="1" x14ac:dyDescent="0.75">
      <c r="A3164" s="51">
        <v>44938</v>
      </c>
      <c r="B3164" s="52">
        <v>1429</v>
      </c>
      <c r="C3164" s="8" t="s">
        <v>3626</v>
      </c>
      <c r="D3164" s="8" t="s">
        <v>134</v>
      </c>
      <c r="E3164" s="52">
        <v>417</v>
      </c>
      <c r="F3164" s="13"/>
      <c r="G3164" s="13">
        <v>225</v>
      </c>
    </row>
    <row r="3165" spans="1:7" hidden="1" x14ac:dyDescent="0.75">
      <c r="A3165" s="51">
        <v>44938</v>
      </c>
      <c r="B3165" s="52">
        <v>1429</v>
      </c>
      <c r="C3165" s="8" t="s">
        <v>3627</v>
      </c>
      <c r="D3165" s="8" t="s">
        <v>134</v>
      </c>
      <c r="E3165" s="52">
        <v>417</v>
      </c>
      <c r="F3165" s="13"/>
      <c r="G3165" s="13">
        <v>16.5</v>
      </c>
    </row>
    <row r="3166" spans="1:7" hidden="1" x14ac:dyDescent="0.75">
      <c r="A3166" s="51">
        <v>44939</v>
      </c>
      <c r="B3166" s="52">
        <v>1429</v>
      </c>
      <c r="C3166" s="8" t="s">
        <v>3628</v>
      </c>
      <c r="D3166" s="8" t="s">
        <v>134</v>
      </c>
      <c r="E3166" s="52">
        <v>417</v>
      </c>
      <c r="F3166" s="13"/>
      <c r="G3166" s="13">
        <v>189.2</v>
      </c>
    </row>
    <row r="3167" spans="1:7" hidden="1" x14ac:dyDescent="0.75">
      <c r="A3167" s="51">
        <v>44940</v>
      </c>
      <c r="B3167" s="52">
        <v>1429</v>
      </c>
      <c r="C3167" s="8" t="s">
        <v>3629</v>
      </c>
      <c r="D3167" s="8" t="s">
        <v>134</v>
      </c>
      <c r="E3167" s="52">
        <v>417</v>
      </c>
      <c r="F3167" s="13"/>
      <c r="G3167" s="13">
        <v>51.9</v>
      </c>
    </row>
    <row r="3168" spans="1:7" hidden="1" x14ac:dyDescent="0.75">
      <c r="A3168" s="51">
        <v>44940</v>
      </c>
      <c r="B3168" s="52">
        <v>1429</v>
      </c>
      <c r="C3168" s="8" t="s">
        <v>3630</v>
      </c>
      <c r="D3168" s="8" t="s">
        <v>134</v>
      </c>
      <c r="E3168" s="52">
        <v>417</v>
      </c>
      <c r="F3168" s="13"/>
      <c r="G3168" s="13">
        <v>17.600000000000001</v>
      </c>
    </row>
    <row r="3169" spans="1:7" hidden="1" x14ac:dyDescent="0.75">
      <c r="A3169" s="51">
        <v>44940</v>
      </c>
      <c r="B3169" s="52">
        <v>1429</v>
      </c>
      <c r="C3169" s="8" t="s">
        <v>3631</v>
      </c>
      <c r="D3169" s="8" t="s">
        <v>134</v>
      </c>
      <c r="E3169" s="52">
        <v>417</v>
      </c>
      <c r="F3169" s="13"/>
      <c r="G3169" s="13">
        <v>2.6</v>
      </c>
    </row>
    <row r="3170" spans="1:7" hidden="1" x14ac:dyDescent="0.75">
      <c r="A3170" s="51">
        <v>44942</v>
      </c>
      <c r="B3170" s="52">
        <v>1429</v>
      </c>
      <c r="C3170" s="8" t="s">
        <v>3632</v>
      </c>
      <c r="D3170" s="8" t="s">
        <v>134</v>
      </c>
      <c r="E3170" s="52">
        <v>1362</v>
      </c>
      <c r="F3170" s="13">
        <v>30.4</v>
      </c>
      <c r="G3170" s="13"/>
    </row>
    <row r="3171" spans="1:7" hidden="1" x14ac:dyDescent="0.75">
      <c r="A3171" s="51">
        <v>44942</v>
      </c>
      <c r="B3171" s="52">
        <v>1429</v>
      </c>
      <c r="C3171" s="8" t="s">
        <v>3633</v>
      </c>
      <c r="D3171" s="8" t="s">
        <v>134</v>
      </c>
      <c r="E3171" s="52">
        <v>1362</v>
      </c>
      <c r="F3171" s="13">
        <v>15.5</v>
      </c>
      <c r="G3171" s="13"/>
    </row>
    <row r="3172" spans="1:7" hidden="1" x14ac:dyDescent="0.75">
      <c r="A3172" s="51">
        <v>44942</v>
      </c>
      <c r="B3172" s="52">
        <v>1429</v>
      </c>
      <c r="C3172" s="8" t="s">
        <v>3634</v>
      </c>
      <c r="D3172" s="8" t="s">
        <v>134</v>
      </c>
      <c r="E3172" s="52">
        <v>1362</v>
      </c>
      <c r="F3172" s="13">
        <v>93.55</v>
      </c>
      <c r="G3172" s="13"/>
    </row>
    <row r="3173" spans="1:7" hidden="1" x14ac:dyDescent="0.75">
      <c r="A3173" s="51">
        <v>44942</v>
      </c>
      <c r="B3173" s="52">
        <v>1429</v>
      </c>
      <c r="C3173" s="8" t="s">
        <v>3635</v>
      </c>
      <c r="D3173" s="8" t="s">
        <v>134</v>
      </c>
      <c r="E3173" s="52">
        <v>1362</v>
      </c>
      <c r="F3173" s="13">
        <v>194.4</v>
      </c>
      <c r="G3173" s="13"/>
    </row>
    <row r="3174" spans="1:7" hidden="1" x14ac:dyDescent="0.75">
      <c r="A3174" s="51">
        <v>44942</v>
      </c>
      <c r="B3174" s="52">
        <v>1429</v>
      </c>
      <c r="C3174" s="8" t="s">
        <v>3636</v>
      </c>
      <c r="D3174" s="8" t="s">
        <v>134</v>
      </c>
      <c r="E3174" s="52">
        <v>1362</v>
      </c>
      <c r="F3174" s="13">
        <v>178.6</v>
      </c>
      <c r="G3174" s="13"/>
    </row>
    <row r="3175" spans="1:7" hidden="1" x14ac:dyDescent="0.75">
      <c r="A3175" s="51">
        <v>44942</v>
      </c>
      <c r="B3175" s="52">
        <v>1429</v>
      </c>
      <c r="C3175" s="8" t="s">
        <v>3637</v>
      </c>
      <c r="D3175" s="8" t="s">
        <v>134</v>
      </c>
      <c r="E3175" s="52">
        <v>1362</v>
      </c>
      <c r="F3175" s="13">
        <v>34.6</v>
      </c>
      <c r="G3175" s="13"/>
    </row>
    <row r="3176" spans="1:7" hidden="1" x14ac:dyDescent="0.75">
      <c r="A3176" s="51">
        <v>44942</v>
      </c>
      <c r="B3176" s="52">
        <v>1429</v>
      </c>
      <c r="C3176" s="8" t="s">
        <v>3638</v>
      </c>
      <c r="D3176" s="8" t="s">
        <v>134</v>
      </c>
      <c r="E3176" s="52">
        <v>1362</v>
      </c>
      <c r="F3176" s="13">
        <v>87.1</v>
      </c>
      <c r="G3176" s="13"/>
    </row>
    <row r="3177" spans="1:7" hidden="1" x14ac:dyDescent="0.75">
      <c r="A3177" s="51">
        <v>44942</v>
      </c>
      <c r="B3177" s="52">
        <v>1429</v>
      </c>
      <c r="C3177" s="8" t="s">
        <v>3639</v>
      </c>
      <c r="D3177" s="8" t="s">
        <v>134</v>
      </c>
      <c r="E3177" s="52">
        <v>1362</v>
      </c>
      <c r="F3177" s="13">
        <v>136.9</v>
      </c>
      <c r="G3177" s="13"/>
    </row>
    <row r="3178" spans="1:7" hidden="1" x14ac:dyDescent="0.75">
      <c r="A3178" s="51">
        <v>44942</v>
      </c>
      <c r="B3178" s="52">
        <v>1429</v>
      </c>
      <c r="C3178" s="8" t="s">
        <v>3640</v>
      </c>
      <c r="D3178" s="8" t="s">
        <v>134</v>
      </c>
      <c r="E3178" s="52">
        <v>1362</v>
      </c>
      <c r="F3178" s="13">
        <v>110</v>
      </c>
      <c r="G3178" s="13"/>
    </row>
    <row r="3179" spans="1:7" hidden="1" x14ac:dyDescent="0.75">
      <c r="A3179" s="51">
        <v>44942</v>
      </c>
      <c r="B3179" s="52">
        <v>1429</v>
      </c>
      <c r="C3179" s="8" t="s">
        <v>3641</v>
      </c>
      <c r="D3179" s="8" t="s">
        <v>134</v>
      </c>
      <c r="E3179" s="52">
        <v>1362</v>
      </c>
      <c r="F3179" s="13">
        <v>176</v>
      </c>
      <c r="G3179" s="13"/>
    </row>
    <row r="3180" spans="1:7" hidden="1" x14ac:dyDescent="0.75">
      <c r="A3180" s="51">
        <v>44942</v>
      </c>
      <c r="B3180" s="52">
        <v>1429</v>
      </c>
      <c r="C3180" s="8" t="s">
        <v>3642</v>
      </c>
      <c r="D3180" s="8" t="s">
        <v>134</v>
      </c>
      <c r="E3180" s="52">
        <v>1362</v>
      </c>
      <c r="F3180" s="13">
        <v>52</v>
      </c>
      <c r="G3180" s="13"/>
    </row>
    <row r="3181" spans="1:7" hidden="1" x14ac:dyDescent="0.75">
      <c r="A3181" s="51">
        <v>44942</v>
      </c>
      <c r="B3181" s="52">
        <v>1429</v>
      </c>
      <c r="C3181" s="8" t="s">
        <v>3643</v>
      </c>
      <c r="D3181" s="8" t="s">
        <v>134</v>
      </c>
      <c r="E3181" s="52">
        <v>1362</v>
      </c>
      <c r="F3181" s="13">
        <v>17.3</v>
      </c>
      <c r="G3181" s="13"/>
    </row>
    <row r="3182" spans="1:7" hidden="1" x14ac:dyDescent="0.75">
      <c r="A3182" s="51">
        <v>44942</v>
      </c>
      <c r="B3182" s="52">
        <v>1429</v>
      </c>
      <c r="C3182" s="8" t="s">
        <v>3644</v>
      </c>
      <c r="D3182" s="8" t="s">
        <v>134</v>
      </c>
      <c r="E3182" s="52">
        <v>1362</v>
      </c>
      <c r="F3182" s="13">
        <v>180.3</v>
      </c>
      <c r="G3182" s="13"/>
    </row>
    <row r="3183" spans="1:7" hidden="1" x14ac:dyDescent="0.75">
      <c r="A3183" s="51">
        <v>44942</v>
      </c>
      <c r="B3183" s="52">
        <v>1429</v>
      </c>
      <c r="C3183" s="8" t="s">
        <v>3645</v>
      </c>
      <c r="D3183" s="8" t="s">
        <v>134</v>
      </c>
      <c r="E3183" s="52">
        <v>1362</v>
      </c>
      <c r="F3183" s="13">
        <v>2.2000000000000002</v>
      </c>
      <c r="G3183" s="13"/>
    </row>
    <row r="3184" spans="1:7" hidden="1" x14ac:dyDescent="0.75">
      <c r="A3184" s="51">
        <v>44942</v>
      </c>
      <c r="B3184" s="52">
        <v>1429</v>
      </c>
      <c r="C3184" s="8" t="s">
        <v>3646</v>
      </c>
      <c r="D3184" s="8" t="s">
        <v>134</v>
      </c>
      <c r="E3184" s="52">
        <v>1362</v>
      </c>
      <c r="F3184" s="13">
        <v>54.5</v>
      </c>
      <c r="G3184" s="13"/>
    </row>
    <row r="3185" spans="1:7" hidden="1" x14ac:dyDescent="0.75">
      <c r="A3185" s="51">
        <v>44942</v>
      </c>
      <c r="B3185" s="52">
        <v>1429</v>
      </c>
      <c r="C3185" s="8" t="s">
        <v>3647</v>
      </c>
      <c r="D3185" s="8" t="s">
        <v>134</v>
      </c>
      <c r="E3185" s="52">
        <v>1362</v>
      </c>
      <c r="F3185" s="13">
        <v>106.5</v>
      </c>
      <c r="G3185" s="13"/>
    </row>
    <row r="3186" spans="1:7" hidden="1" x14ac:dyDescent="0.75">
      <c r="A3186" s="51">
        <v>44942</v>
      </c>
      <c r="B3186" s="52">
        <v>1429</v>
      </c>
      <c r="C3186" s="8" t="s">
        <v>3648</v>
      </c>
      <c r="D3186" s="8" t="s">
        <v>134</v>
      </c>
      <c r="E3186" s="52">
        <v>1362</v>
      </c>
      <c r="F3186" s="13">
        <v>173</v>
      </c>
      <c r="G3186" s="13"/>
    </row>
    <row r="3187" spans="1:7" hidden="1" x14ac:dyDescent="0.75">
      <c r="A3187" s="51">
        <v>44942</v>
      </c>
      <c r="B3187" s="52">
        <v>1429</v>
      </c>
      <c r="C3187" s="8" t="s">
        <v>3649</v>
      </c>
      <c r="D3187" s="8" t="s">
        <v>134</v>
      </c>
      <c r="E3187" s="52">
        <v>1362</v>
      </c>
      <c r="F3187" s="13">
        <v>62</v>
      </c>
      <c r="G3187" s="13"/>
    </row>
    <row r="3188" spans="1:7" hidden="1" x14ac:dyDescent="0.75">
      <c r="A3188" s="51">
        <v>44942</v>
      </c>
      <c r="B3188" s="52">
        <v>1429</v>
      </c>
      <c r="C3188" s="8" t="s">
        <v>3650</v>
      </c>
      <c r="D3188" s="8" t="s">
        <v>134</v>
      </c>
      <c r="E3188" s="52">
        <v>1362</v>
      </c>
      <c r="F3188" s="13">
        <v>37</v>
      </c>
      <c r="G3188" s="13"/>
    </row>
    <row r="3189" spans="1:7" hidden="1" x14ac:dyDescent="0.75">
      <c r="A3189" s="51">
        <v>44942</v>
      </c>
      <c r="B3189" s="52">
        <v>1429</v>
      </c>
      <c r="C3189" s="8" t="s">
        <v>3651</v>
      </c>
      <c r="D3189" s="8" t="s">
        <v>134</v>
      </c>
      <c r="E3189" s="52">
        <v>1362</v>
      </c>
      <c r="F3189" s="13">
        <v>91.5</v>
      </c>
      <c r="G3189" s="13"/>
    </row>
    <row r="3190" spans="1:7" hidden="1" x14ac:dyDescent="0.75">
      <c r="A3190" s="51">
        <v>44942</v>
      </c>
      <c r="B3190" s="52">
        <v>1429</v>
      </c>
      <c r="C3190" s="8" t="s">
        <v>3652</v>
      </c>
      <c r="D3190" s="8" t="s">
        <v>134</v>
      </c>
      <c r="E3190" s="52">
        <v>1362</v>
      </c>
      <c r="F3190" s="13">
        <v>80.8</v>
      </c>
      <c r="G3190" s="13"/>
    </row>
    <row r="3191" spans="1:7" hidden="1" x14ac:dyDescent="0.75">
      <c r="A3191" s="51">
        <v>44942</v>
      </c>
      <c r="B3191" s="52">
        <v>1429</v>
      </c>
      <c r="C3191" s="8" t="s">
        <v>3653</v>
      </c>
      <c r="D3191" s="8" t="s">
        <v>134</v>
      </c>
      <c r="E3191" s="52">
        <v>1362</v>
      </c>
      <c r="F3191" s="13">
        <v>44.4</v>
      </c>
      <c r="G3191" s="13"/>
    </row>
    <row r="3192" spans="1:7" hidden="1" x14ac:dyDescent="0.75">
      <c r="A3192" s="51">
        <v>44942</v>
      </c>
      <c r="B3192" s="52">
        <v>1429</v>
      </c>
      <c r="C3192" s="8" t="s">
        <v>3654</v>
      </c>
      <c r="D3192" s="8" t="s">
        <v>134</v>
      </c>
      <c r="E3192" s="52">
        <v>1362</v>
      </c>
      <c r="F3192" s="13">
        <v>62</v>
      </c>
      <c r="G3192" s="13"/>
    </row>
    <row r="3193" spans="1:7" hidden="1" x14ac:dyDescent="0.75">
      <c r="A3193" s="51">
        <v>44942</v>
      </c>
      <c r="B3193" s="52">
        <v>1429</v>
      </c>
      <c r="C3193" s="8" t="s">
        <v>3655</v>
      </c>
      <c r="D3193" s="8" t="s">
        <v>134</v>
      </c>
      <c r="E3193" s="52">
        <v>1362</v>
      </c>
      <c r="F3193" s="13">
        <v>272</v>
      </c>
      <c r="G3193" s="13"/>
    </row>
    <row r="3194" spans="1:7" hidden="1" x14ac:dyDescent="0.75">
      <c r="A3194" s="51">
        <v>44942</v>
      </c>
      <c r="B3194" s="52">
        <v>1429</v>
      </c>
      <c r="C3194" s="8" t="s">
        <v>3656</v>
      </c>
      <c r="D3194" s="8" t="s">
        <v>134</v>
      </c>
      <c r="E3194" s="52">
        <v>1362</v>
      </c>
      <c r="F3194" s="13">
        <v>60.4</v>
      </c>
      <c r="G3194" s="13"/>
    </row>
    <row r="3195" spans="1:7" hidden="1" x14ac:dyDescent="0.75">
      <c r="A3195" s="51">
        <v>44942</v>
      </c>
      <c r="B3195" s="52">
        <v>1429</v>
      </c>
      <c r="C3195" s="8" t="s">
        <v>3657</v>
      </c>
      <c r="D3195" s="8" t="s">
        <v>134</v>
      </c>
      <c r="E3195" s="52">
        <v>1362</v>
      </c>
      <c r="F3195" s="13">
        <v>108.5</v>
      </c>
      <c r="G3195" s="13"/>
    </row>
    <row r="3196" spans="1:7" hidden="1" x14ac:dyDescent="0.75">
      <c r="A3196" s="51">
        <v>44942</v>
      </c>
      <c r="B3196" s="52">
        <v>1429</v>
      </c>
      <c r="C3196" s="8" t="s">
        <v>3658</v>
      </c>
      <c r="D3196" s="8" t="s">
        <v>134</v>
      </c>
      <c r="E3196" s="52">
        <v>1362</v>
      </c>
      <c r="F3196" s="13">
        <v>235.4</v>
      </c>
      <c r="G3196" s="13"/>
    </row>
    <row r="3197" spans="1:7" hidden="1" x14ac:dyDescent="0.75">
      <c r="A3197" s="51">
        <v>44943</v>
      </c>
      <c r="B3197" s="52">
        <v>1429</v>
      </c>
      <c r="C3197" s="8" t="s">
        <v>3659</v>
      </c>
      <c r="D3197" s="8" t="s">
        <v>134</v>
      </c>
      <c r="E3197" s="52">
        <v>417</v>
      </c>
      <c r="F3197" s="13"/>
      <c r="G3197" s="13">
        <v>44</v>
      </c>
    </row>
    <row r="3198" spans="1:7" hidden="1" x14ac:dyDescent="0.75">
      <c r="A3198" s="51">
        <v>44943</v>
      </c>
      <c r="B3198" s="52">
        <v>1429</v>
      </c>
      <c r="C3198" s="8" t="s">
        <v>3660</v>
      </c>
      <c r="D3198" s="8" t="s">
        <v>134</v>
      </c>
      <c r="E3198" s="52">
        <v>417</v>
      </c>
      <c r="F3198" s="13"/>
      <c r="G3198" s="13">
        <v>26.4</v>
      </c>
    </row>
    <row r="3199" spans="1:7" hidden="1" x14ac:dyDescent="0.75">
      <c r="A3199" s="51">
        <v>44943</v>
      </c>
      <c r="B3199" s="52">
        <v>1429</v>
      </c>
      <c r="C3199" s="8" t="s">
        <v>3661</v>
      </c>
      <c r="D3199" s="8" t="s">
        <v>134</v>
      </c>
      <c r="E3199" s="52">
        <v>417</v>
      </c>
      <c r="F3199" s="13"/>
      <c r="G3199" s="13">
        <v>6.4</v>
      </c>
    </row>
    <row r="3200" spans="1:7" hidden="1" x14ac:dyDescent="0.75">
      <c r="A3200" s="51">
        <v>44943</v>
      </c>
      <c r="B3200" s="52">
        <v>1429</v>
      </c>
      <c r="C3200" s="8" t="s">
        <v>3662</v>
      </c>
      <c r="D3200" s="8" t="s">
        <v>134</v>
      </c>
      <c r="E3200" s="52">
        <v>417</v>
      </c>
      <c r="F3200" s="13"/>
      <c r="G3200" s="13">
        <v>17.3</v>
      </c>
    </row>
    <row r="3201" spans="1:7" hidden="1" x14ac:dyDescent="0.75">
      <c r="A3201" s="51">
        <v>44945</v>
      </c>
      <c r="B3201" s="52">
        <v>1429</v>
      </c>
      <c r="C3201" s="8" t="s">
        <v>3663</v>
      </c>
      <c r="D3201" s="8" t="s">
        <v>134</v>
      </c>
      <c r="E3201" s="52">
        <v>417</v>
      </c>
      <c r="F3201" s="13"/>
      <c r="G3201" s="13">
        <v>43.4</v>
      </c>
    </row>
    <row r="3202" spans="1:7" hidden="1" x14ac:dyDescent="0.75">
      <c r="A3202" s="51">
        <v>44945</v>
      </c>
      <c r="B3202" s="52">
        <v>1429</v>
      </c>
      <c r="C3202" s="8" t="s">
        <v>3664</v>
      </c>
      <c r="D3202" s="8" t="s">
        <v>134</v>
      </c>
      <c r="E3202" s="52">
        <v>417</v>
      </c>
      <c r="F3202" s="13"/>
      <c r="G3202" s="13">
        <v>86.5</v>
      </c>
    </row>
    <row r="3203" spans="1:7" hidden="1" x14ac:dyDescent="0.75">
      <c r="A3203" s="51">
        <v>44945</v>
      </c>
      <c r="B3203" s="52">
        <v>1429</v>
      </c>
      <c r="C3203" s="8" t="s">
        <v>3665</v>
      </c>
      <c r="D3203" s="8" t="s">
        <v>134</v>
      </c>
      <c r="E3203" s="52">
        <v>417</v>
      </c>
      <c r="F3203" s="13"/>
      <c r="G3203" s="13">
        <v>63.65</v>
      </c>
    </row>
    <row r="3204" spans="1:7" hidden="1" x14ac:dyDescent="0.75">
      <c r="A3204" s="51">
        <v>44947</v>
      </c>
      <c r="B3204" s="52">
        <v>1429</v>
      </c>
      <c r="C3204" s="8" t="s">
        <v>3666</v>
      </c>
      <c r="D3204" s="8" t="s">
        <v>134</v>
      </c>
      <c r="E3204" s="52">
        <v>417</v>
      </c>
      <c r="F3204" s="13"/>
      <c r="G3204" s="13">
        <v>247.5</v>
      </c>
    </row>
    <row r="3205" spans="1:7" hidden="1" x14ac:dyDescent="0.75">
      <c r="A3205" s="51">
        <v>44947</v>
      </c>
      <c r="B3205" s="52">
        <v>1429</v>
      </c>
      <c r="C3205" s="8" t="s">
        <v>3667</v>
      </c>
      <c r="D3205" s="8" t="s">
        <v>134</v>
      </c>
      <c r="E3205" s="52">
        <v>417</v>
      </c>
      <c r="F3205" s="13"/>
      <c r="G3205" s="13">
        <v>65.3</v>
      </c>
    </row>
    <row r="3206" spans="1:7" hidden="1" x14ac:dyDescent="0.75">
      <c r="A3206" s="51">
        <v>44949</v>
      </c>
      <c r="B3206" s="52">
        <v>1429</v>
      </c>
      <c r="C3206" s="8" t="s">
        <v>3668</v>
      </c>
      <c r="D3206" s="8" t="s">
        <v>134</v>
      </c>
      <c r="E3206" s="52">
        <v>417</v>
      </c>
      <c r="F3206" s="13"/>
      <c r="G3206" s="13">
        <v>91</v>
      </c>
    </row>
    <row r="3207" spans="1:7" hidden="1" x14ac:dyDescent="0.75">
      <c r="A3207" s="51">
        <v>44950</v>
      </c>
      <c r="B3207" s="52">
        <v>1429</v>
      </c>
      <c r="C3207" s="8" t="s">
        <v>3669</v>
      </c>
      <c r="D3207" s="8" t="s">
        <v>134</v>
      </c>
      <c r="E3207" s="52">
        <v>417</v>
      </c>
      <c r="F3207" s="13"/>
      <c r="G3207" s="13">
        <v>91</v>
      </c>
    </row>
    <row r="3208" spans="1:7" hidden="1" x14ac:dyDescent="0.75">
      <c r="A3208" s="51">
        <v>44950</v>
      </c>
      <c r="B3208" s="52">
        <v>1429</v>
      </c>
      <c r="C3208" s="8" t="s">
        <v>3670</v>
      </c>
      <c r="D3208" s="8" t="s">
        <v>134</v>
      </c>
      <c r="E3208" s="52">
        <v>417</v>
      </c>
      <c r="F3208" s="13"/>
      <c r="G3208" s="13">
        <v>10</v>
      </c>
    </row>
    <row r="3209" spans="1:7" hidden="1" x14ac:dyDescent="0.75">
      <c r="A3209" s="51">
        <v>44950</v>
      </c>
      <c r="B3209" s="52">
        <v>1429</v>
      </c>
      <c r="C3209" s="8" t="s">
        <v>3671</v>
      </c>
      <c r="D3209" s="8" t="s">
        <v>134</v>
      </c>
      <c r="E3209" s="52">
        <v>417</v>
      </c>
      <c r="F3209" s="13"/>
      <c r="G3209" s="13">
        <v>133.30000000000001</v>
      </c>
    </row>
    <row r="3210" spans="1:7" hidden="1" x14ac:dyDescent="0.75">
      <c r="A3210" s="51">
        <v>44950</v>
      </c>
      <c r="B3210" s="52">
        <v>1429</v>
      </c>
      <c r="C3210" s="8" t="s">
        <v>3672</v>
      </c>
      <c r="D3210" s="8" t="s">
        <v>134</v>
      </c>
      <c r="E3210" s="52">
        <v>417</v>
      </c>
      <c r="F3210" s="13"/>
      <c r="G3210" s="13">
        <v>30</v>
      </c>
    </row>
    <row r="3211" spans="1:7" hidden="1" x14ac:dyDescent="0.75">
      <c r="A3211" s="51">
        <v>44951</v>
      </c>
      <c r="B3211" s="52">
        <v>1429</v>
      </c>
      <c r="C3211" s="8" t="s">
        <v>3673</v>
      </c>
      <c r="D3211" s="8" t="s">
        <v>134</v>
      </c>
      <c r="E3211" s="52">
        <v>1362</v>
      </c>
      <c r="F3211" s="13">
        <v>323.3</v>
      </c>
      <c r="G3211" s="13"/>
    </row>
    <row r="3212" spans="1:7" hidden="1" x14ac:dyDescent="0.75">
      <c r="A3212" s="51">
        <v>44951</v>
      </c>
      <c r="B3212" s="52">
        <v>1429</v>
      </c>
      <c r="C3212" s="8" t="s">
        <v>3674</v>
      </c>
      <c r="D3212" s="8" t="s">
        <v>134</v>
      </c>
      <c r="E3212" s="52">
        <v>1362</v>
      </c>
      <c r="F3212" s="13">
        <v>38.5</v>
      </c>
      <c r="G3212" s="13"/>
    </row>
    <row r="3213" spans="1:7" hidden="1" x14ac:dyDescent="0.75">
      <c r="A3213" s="51">
        <v>44951</v>
      </c>
      <c r="B3213" s="52">
        <v>1429</v>
      </c>
      <c r="C3213" s="8" t="s">
        <v>3675</v>
      </c>
      <c r="D3213" s="8" t="s">
        <v>134</v>
      </c>
      <c r="E3213" s="52">
        <v>1362</v>
      </c>
      <c r="F3213" s="13">
        <v>49.5</v>
      </c>
      <c r="G3213" s="13"/>
    </row>
    <row r="3214" spans="1:7" hidden="1" x14ac:dyDescent="0.75">
      <c r="A3214" s="51">
        <v>44951</v>
      </c>
      <c r="B3214" s="52">
        <v>1429</v>
      </c>
      <c r="C3214" s="8" t="s">
        <v>3676</v>
      </c>
      <c r="D3214" s="8" t="s">
        <v>134</v>
      </c>
      <c r="E3214" s="52">
        <v>1362</v>
      </c>
      <c r="F3214" s="13">
        <v>26</v>
      </c>
      <c r="G3214" s="13"/>
    </row>
    <row r="3215" spans="1:7" hidden="1" x14ac:dyDescent="0.75">
      <c r="A3215" s="51">
        <v>44951</v>
      </c>
      <c r="B3215" s="52">
        <v>1429</v>
      </c>
      <c r="C3215" s="8" t="s">
        <v>3677</v>
      </c>
      <c r="D3215" s="8" t="s">
        <v>134</v>
      </c>
      <c r="E3215" s="52">
        <v>1362</v>
      </c>
      <c r="F3215" s="13">
        <v>174.2</v>
      </c>
      <c r="G3215" s="13"/>
    </row>
    <row r="3216" spans="1:7" hidden="1" x14ac:dyDescent="0.75">
      <c r="A3216" s="51">
        <v>44951</v>
      </c>
      <c r="B3216" s="52">
        <v>1429</v>
      </c>
      <c r="C3216" s="8" t="s">
        <v>3678</v>
      </c>
      <c r="D3216" s="8" t="s">
        <v>134</v>
      </c>
      <c r="E3216" s="52">
        <v>1362</v>
      </c>
      <c r="F3216" s="13">
        <v>77.5</v>
      </c>
      <c r="G3216" s="13"/>
    </row>
    <row r="3217" spans="1:7" hidden="1" x14ac:dyDescent="0.75">
      <c r="A3217" s="51">
        <v>44951</v>
      </c>
      <c r="B3217" s="52">
        <v>1429</v>
      </c>
      <c r="C3217" s="8" t="s">
        <v>3679</v>
      </c>
      <c r="D3217" s="8" t="s">
        <v>134</v>
      </c>
      <c r="E3217" s="52">
        <v>1362</v>
      </c>
      <c r="F3217" s="13">
        <v>10</v>
      </c>
      <c r="G3217" s="13"/>
    </row>
    <row r="3218" spans="1:7" hidden="1" x14ac:dyDescent="0.75">
      <c r="A3218" s="51">
        <v>44951</v>
      </c>
      <c r="B3218" s="52">
        <v>1429</v>
      </c>
      <c r="C3218" s="8" t="s">
        <v>3680</v>
      </c>
      <c r="D3218" s="8" t="s">
        <v>134</v>
      </c>
      <c r="E3218" s="52">
        <v>1362</v>
      </c>
      <c r="F3218" s="13">
        <v>81.2</v>
      </c>
      <c r="G3218" s="13"/>
    </row>
    <row r="3219" spans="1:7" hidden="1" x14ac:dyDescent="0.75">
      <c r="A3219" s="51">
        <v>44951</v>
      </c>
      <c r="B3219" s="52">
        <v>1429</v>
      </c>
      <c r="C3219" s="8" t="s">
        <v>3681</v>
      </c>
      <c r="D3219" s="8" t="s">
        <v>134</v>
      </c>
      <c r="E3219" s="52">
        <v>1362</v>
      </c>
      <c r="F3219" s="13">
        <v>8.65</v>
      </c>
      <c r="G3219" s="13"/>
    </row>
    <row r="3220" spans="1:7" hidden="1" x14ac:dyDescent="0.75">
      <c r="A3220" s="51">
        <v>44951</v>
      </c>
      <c r="B3220" s="52">
        <v>1429</v>
      </c>
      <c r="C3220" s="8" t="s">
        <v>3682</v>
      </c>
      <c r="D3220" s="8" t="s">
        <v>134</v>
      </c>
      <c r="E3220" s="52">
        <v>1362</v>
      </c>
      <c r="F3220" s="13">
        <v>71.5</v>
      </c>
      <c r="G3220" s="13"/>
    </row>
    <row r="3221" spans="1:7" hidden="1" x14ac:dyDescent="0.75">
      <c r="A3221" s="51">
        <v>44951</v>
      </c>
      <c r="B3221" s="52">
        <v>1429</v>
      </c>
      <c r="C3221" s="8" t="s">
        <v>3683</v>
      </c>
      <c r="D3221" s="8" t="s">
        <v>134</v>
      </c>
      <c r="E3221" s="52">
        <v>1362</v>
      </c>
      <c r="F3221" s="13">
        <v>46.8</v>
      </c>
      <c r="G3221" s="13"/>
    </row>
    <row r="3222" spans="1:7" hidden="1" x14ac:dyDescent="0.75">
      <c r="A3222" s="51">
        <v>44951</v>
      </c>
      <c r="B3222" s="52">
        <v>1429</v>
      </c>
      <c r="C3222" s="8" t="s">
        <v>3684</v>
      </c>
      <c r="D3222" s="8" t="s">
        <v>134</v>
      </c>
      <c r="E3222" s="52">
        <v>1362</v>
      </c>
      <c r="F3222" s="13">
        <v>44</v>
      </c>
      <c r="G3222" s="13"/>
    </row>
    <row r="3223" spans="1:7" hidden="1" x14ac:dyDescent="0.75">
      <c r="A3223" s="51">
        <v>44951</v>
      </c>
      <c r="B3223" s="52">
        <v>1429</v>
      </c>
      <c r="C3223" s="8" t="s">
        <v>3685</v>
      </c>
      <c r="D3223" s="8" t="s">
        <v>134</v>
      </c>
      <c r="E3223" s="52">
        <v>1362</v>
      </c>
      <c r="F3223" s="13">
        <v>286</v>
      </c>
      <c r="G3223" s="13"/>
    </row>
    <row r="3224" spans="1:7" hidden="1" x14ac:dyDescent="0.75">
      <c r="A3224" s="51">
        <v>44951</v>
      </c>
      <c r="B3224" s="52">
        <v>1429</v>
      </c>
      <c r="C3224" s="8" t="s">
        <v>3686</v>
      </c>
      <c r="D3224" s="8" t="s">
        <v>134</v>
      </c>
      <c r="E3224" s="52">
        <v>1362</v>
      </c>
      <c r="F3224" s="13">
        <v>3.75</v>
      </c>
      <c r="G3224" s="13"/>
    </row>
    <row r="3225" spans="1:7" hidden="1" x14ac:dyDescent="0.75">
      <c r="A3225" s="51">
        <v>44951</v>
      </c>
      <c r="B3225" s="52">
        <v>1429</v>
      </c>
      <c r="C3225" s="8" t="s">
        <v>3687</v>
      </c>
      <c r="D3225" s="8" t="s">
        <v>134</v>
      </c>
      <c r="E3225" s="52">
        <v>1362</v>
      </c>
      <c r="F3225" s="13">
        <v>8.8000000000000007</v>
      </c>
      <c r="G3225" s="13"/>
    </row>
    <row r="3226" spans="1:7" hidden="1" x14ac:dyDescent="0.75">
      <c r="A3226" s="51">
        <v>44951</v>
      </c>
      <c r="B3226" s="52">
        <v>1429</v>
      </c>
      <c r="C3226" s="8" t="s">
        <v>3688</v>
      </c>
      <c r="D3226" s="8" t="s">
        <v>134</v>
      </c>
      <c r="E3226" s="52">
        <v>1362</v>
      </c>
      <c r="F3226" s="13">
        <v>35</v>
      </c>
      <c r="G3226" s="13"/>
    </row>
    <row r="3227" spans="1:7" hidden="1" x14ac:dyDescent="0.75">
      <c r="A3227" s="51">
        <v>44951</v>
      </c>
      <c r="B3227" s="52">
        <v>1429</v>
      </c>
      <c r="C3227" s="8" t="s">
        <v>3689</v>
      </c>
      <c r="D3227" s="8" t="s">
        <v>134</v>
      </c>
      <c r="E3227" s="52">
        <v>1362</v>
      </c>
      <c r="F3227" s="13">
        <v>39.299999999999997</v>
      </c>
      <c r="G3227" s="13"/>
    </row>
    <row r="3228" spans="1:7" hidden="1" x14ac:dyDescent="0.75">
      <c r="A3228" s="51">
        <v>44951</v>
      </c>
      <c r="B3228" s="52">
        <v>1429</v>
      </c>
      <c r="C3228" s="8" t="s">
        <v>3690</v>
      </c>
      <c r="D3228" s="8" t="s">
        <v>134</v>
      </c>
      <c r="E3228" s="52">
        <v>1362</v>
      </c>
      <c r="F3228" s="13">
        <v>21.2</v>
      </c>
      <c r="G3228" s="13"/>
    </row>
    <row r="3229" spans="1:7" hidden="1" x14ac:dyDescent="0.75">
      <c r="A3229" s="51">
        <v>44951</v>
      </c>
      <c r="B3229" s="52">
        <v>1429</v>
      </c>
      <c r="C3229" s="8" t="s">
        <v>3691</v>
      </c>
      <c r="D3229" s="8" t="s">
        <v>134</v>
      </c>
      <c r="E3229" s="52">
        <v>417</v>
      </c>
      <c r="F3229" s="13"/>
      <c r="G3229" s="13">
        <v>4416.8999999999996</v>
      </c>
    </row>
    <row r="3230" spans="1:7" hidden="1" x14ac:dyDescent="0.75">
      <c r="A3230" s="51">
        <v>44951</v>
      </c>
      <c r="B3230" s="52">
        <v>1429</v>
      </c>
      <c r="C3230" s="8" t="s">
        <v>3692</v>
      </c>
      <c r="D3230" s="8" t="s">
        <v>134</v>
      </c>
      <c r="E3230" s="52">
        <v>417</v>
      </c>
      <c r="F3230" s="13"/>
      <c r="G3230" s="13">
        <v>197.5</v>
      </c>
    </row>
    <row r="3231" spans="1:7" hidden="1" x14ac:dyDescent="0.75">
      <c r="A3231" s="51">
        <v>44952</v>
      </c>
      <c r="B3231" s="52">
        <v>1429</v>
      </c>
      <c r="C3231" s="8" t="s">
        <v>3693</v>
      </c>
      <c r="D3231" s="8" t="s">
        <v>134</v>
      </c>
      <c r="E3231" s="52">
        <v>417</v>
      </c>
      <c r="F3231" s="13"/>
      <c r="G3231" s="13">
        <v>28.8</v>
      </c>
    </row>
    <row r="3232" spans="1:7" hidden="1" x14ac:dyDescent="0.75">
      <c r="A3232" s="51">
        <v>44952</v>
      </c>
      <c r="B3232" s="52">
        <v>1429</v>
      </c>
      <c r="C3232" s="8" t="s">
        <v>3694</v>
      </c>
      <c r="D3232" s="8" t="s">
        <v>134</v>
      </c>
      <c r="E3232" s="52">
        <v>417</v>
      </c>
      <c r="F3232" s="13"/>
      <c r="G3232" s="13">
        <v>24.8</v>
      </c>
    </row>
    <row r="3233" spans="1:7" hidden="1" x14ac:dyDescent="0.75">
      <c r="A3233" s="51">
        <v>44953</v>
      </c>
      <c r="B3233" s="52">
        <v>1429</v>
      </c>
      <c r="C3233" s="8" t="s">
        <v>3695</v>
      </c>
      <c r="D3233" s="8" t="s">
        <v>134</v>
      </c>
      <c r="E3233" s="52">
        <v>417</v>
      </c>
      <c r="F3233" s="13"/>
      <c r="G3233" s="13">
        <v>72.5</v>
      </c>
    </row>
    <row r="3234" spans="1:7" hidden="1" x14ac:dyDescent="0.75">
      <c r="A3234" s="51">
        <v>44953</v>
      </c>
      <c r="B3234" s="52">
        <v>1429</v>
      </c>
      <c r="C3234" s="8" t="s">
        <v>3696</v>
      </c>
      <c r="D3234" s="8" t="s">
        <v>134</v>
      </c>
      <c r="E3234" s="52">
        <v>417</v>
      </c>
      <c r="F3234" s="13"/>
      <c r="G3234" s="13">
        <v>215.8</v>
      </c>
    </row>
    <row r="3235" spans="1:7" hidden="1" x14ac:dyDescent="0.75">
      <c r="A3235" s="51">
        <v>44954</v>
      </c>
      <c r="B3235" s="52">
        <v>1429</v>
      </c>
      <c r="C3235" s="8" t="s">
        <v>3697</v>
      </c>
      <c r="D3235" s="8" t="s">
        <v>134</v>
      </c>
      <c r="E3235" s="52">
        <v>417</v>
      </c>
      <c r="F3235" s="13"/>
      <c r="G3235" s="13">
        <v>5.5</v>
      </c>
    </row>
    <row r="3236" spans="1:7" hidden="1" x14ac:dyDescent="0.75">
      <c r="A3236" s="51">
        <v>44954</v>
      </c>
      <c r="B3236" s="52">
        <v>1429</v>
      </c>
      <c r="C3236" s="8" t="s">
        <v>3698</v>
      </c>
      <c r="D3236" s="8" t="s">
        <v>134</v>
      </c>
      <c r="E3236" s="52">
        <v>417</v>
      </c>
      <c r="F3236" s="13"/>
      <c r="G3236" s="13">
        <v>16.55</v>
      </c>
    </row>
    <row r="3237" spans="1:7" hidden="1" x14ac:dyDescent="0.75">
      <c r="A3237" s="51">
        <v>44956</v>
      </c>
      <c r="B3237" s="52">
        <v>1429</v>
      </c>
      <c r="C3237" s="8" t="s">
        <v>3699</v>
      </c>
      <c r="D3237" s="8" t="s">
        <v>134</v>
      </c>
      <c r="E3237" s="52">
        <v>417</v>
      </c>
      <c r="F3237" s="13"/>
      <c r="G3237" s="13">
        <v>26</v>
      </c>
    </row>
    <row r="3238" spans="1:7" hidden="1" x14ac:dyDescent="0.75">
      <c r="A3238" s="51">
        <v>44957</v>
      </c>
      <c r="B3238" s="52">
        <v>1429</v>
      </c>
      <c r="C3238" s="8" t="s">
        <v>3700</v>
      </c>
      <c r="D3238" s="8" t="s">
        <v>134</v>
      </c>
      <c r="E3238" s="52">
        <v>417</v>
      </c>
      <c r="F3238" s="13"/>
      <c r="G3238" s="13">
        <v>151.5</v>
      </c>
    </row>
    <row r="3239" spans="1:7" hidden="1" x14ac:dyDescent="0.75">
      <c r="A3239" s="51">
        <v>44957</v>
      </c>
      <c r="B3239" s="52">
        <v>1429</v>
      </c>
      <c r="C3239" s="8" t="s">
        <v>3701</v>
      </c>
      <c r="D3239" s="8" t="s">
        <v>134</v>
      </c>
      <c r="E3239" s="52">
        <v>417</v>
      </c>
      <c r="F3239" s="13"/>
      <c r="G3239" s="13">
        <v>19.600000000000001</v>
      </c>
    </row>
    <row r="3240" spans="1:7" hidden="1" x14ac:dyDescent="0.75">
      <c r="A3240" s="51">
        <v>44957</v>
      </c>
      <c r="B3240" s="52">
        <v>1429</v>
      </c>
      <c r="C3240" s="8" t="s">
        <v>3702</v>
      </c>
      <c r="D3240" s="8" t="s">
        <v>134</v>
      </c>
      <c r="E3240" s="52">
        <v>417</v>
      </c>
      <c r="F3240" s="13"/>
      <c r="G3240" s="13">
        <v>2.75</v>
      </c>
    </row>
    <row r="3241" spans="1:7" hidden="1" x14ac:dyDescent="0.75">
      <c r="A3241" s="51">
        <v>44957</v>
      </c>
      <c r="B3241" s="52">
        <v>1429</v>
      </c>
      <c r="C3241" s="8" t="s">
        <v>3703</v>
      </c>
      <c r="D3241" s="8" t="s">
        <v>134</v>
      </c>
      <c r="E3241" s="52">
        <v>417</v>
      </c>
      <c r="F3241" s="13"/>
      <c r="G3241" s="13">
        <v>49.5</v>
      </c>
    </row>
    <row r="3242" spans="1:7" hidden="1" x14ac:dyDescent="0.75">
      <c r="A3242" s="51">
        <v>44929</v>
      </c>
      <c r="B3242" s="52">
        <v>1433</v>
      </c>
      <c r="C3242" s="8" t="s">
        <v>1530</v>
      </c>
      <c r="D3242" s="8" t="s">
        <v>136</v>
      </c>
      <c r="E3242" s="52">
        <v>8</v>
      </c>
      <c r="F3242" s="13"/>
      <c r="G3242" s="13">
        <v>1733.05</v>
      </c>
    </row>
    <row r="3243" spans="1:7" hidden="1" x14ac:dyDescent="0.75">
      <c r="A3243" s="51">
        <v>44930</v>
      </c>
      <c r="B3243" s="52">
        <v>1433</v>
      </c>
      <c r="C3243" s="8" t="s">
        <v>3704</v>
      </c>
      <c r="D3243" s="8" t="s">
        <v>136</v>
      </c>
      <c r="E3243" s="52">
        <v>417</v>
      </c>
      <c r="F3243" s="13"/>
      <c r="G3243" s="13">
        <v>436</v>
      </c>
    </row>
    <row r="3244" spans="1:7" hidden="1" x14ac:dyDescent="0.75">
      <c r="A3244" s="51">
        <v>44936</v>
      </c>
      <c r="B3244" s="52">
        <v>1433</v>
      </c>
      <c r="C3244" s="8" t="s">
        <v>3705</v>
      </c>
      <c r="D3244" s="8" t="s">
        <v>136</v>
      </c>
      <c r="E3244" s="52">
        <v>1362</v>
      </c>
      <c r="F3244" s="13">
        <v>1128.4000000000001</v>
      </c>
      <c r="G3244" s="13"/>
    </row>
    <row r="3245" spans="1:7" hidden="1" x14ac:dyDescent="0.75">
      <c r="A3245" s="51">
        <v>44936</v>
      </c>
      <c r="B3245" s="52">
        <v>1433</v>
      </c>
      <c r="C3245" s="8" t="s">
        <v>3706</v>
      </c>
      <c r="D3245" s="8" t="s">
        <v>136</v>
      </c>
      <c r="E3245" s="52">
        <v>1362</v>
      </c>
      <c r="F3245" s="13">
        <v>1699.4</v>
      </c>
      <c r="G3245" s="13"/>
    </row>
    <row r="3246" spans="1:7" hidden="1" x14ac:dyDescent="0.75">
      <c r="A3246" s="51">
        <v>44936</v>
      </c>
      <c r="B3246" s="52">
        <v>1433</v>
      </c>
      <c r="C3246" s="8" t="s">
        <v>3707</v>
      </c>
      <c r="D3246" s="8" t="s">
        <v>136</v>
      </c>
      <c r="E3246" s="52">
        <v>1362</v>
      </c>
      <c r="F3246" s="13">
        <v>436</v>
      </c>
      <c r="G3246" s="13"/>
    </row>
    <row r="3247" spans="1:7" hidden="1" x14ac:dyDescent="0.75">
      <c r="A3247" s="51">
        <v>44943</v>
      </c>
      <c r="B3247" s="52">
        <v>1433</v>
      </c>
      <c r="C3247" s="8" t="s">
        <v>3708</v>
      </c>
      <c r="D3247" s="8" t="s">
        <v>136</v>
      </c>
      <c r="E3247" s="52">
        <v>417</v>
      </c>
      <c r="F3247" s="13"/>
      <c r="G3247" s="13">
        <v>305.2</v>
      </c>
    </row>
    <row r="3248" spans="1:7" hidden="1" x14ac:dyDescent="0.75">
      <c r="A3248" s="51">
        <v>44947</v>
      </c>
      <c r="B3248" s="52">
        <v>1433</v>
      </c>
      <c r="C3248" s="8" t="s">
        <v>3709</v>
      </c>
      <c r="D3248" s="8" t="s">
        <v>136</v>
      </c>
      <c r="E3248" s="52">
        <v>417</v>
      </c>
      <c r="F3248" s="13"/>
      <c r="G3248" s="13">
        <v>654</v>
      </c>
    </row>
    <row r="3249" spans="1:7" hidden="1" x14ac:dyDescent="0.75">
      <c r="A3249" s="51">
        <v>44949</v>
      </c>
      <c r="B3249" s="52">
        <v>1433</v>
      </c>
      <c r="C3249" s="8" t="s">
        <v>3710</v>
      </c>
      <c r="D3249" s="8" t="s">
        <v>136</v>
      </c>
      <c r="E3249" s="52">
        <v>417</v>
      </c>
      <c r="F3249" s="13"/>
      <c r="G3249" s="13">
        <v>179</v>
      </c>
    </row>
    <row r="3250" spans="1:7" hidden="1" x14ac:dyDescent="0.75">
      <c r="A3250" s="51">
        <v>44949</v>
      </c>
      <c r="B3250" s="52">
        <v>1433</v>
      </c>
      <c r="C3250" s="8" t="s">
        <v>3711</v>
      </c>
      <c r="D3250" s="8" t="s">
        <v>136</v>
      </c>
      <c r="E3250" s="52">
        <v>417</v>
      </c>
      <c r="F3250" s="13"/>
      <c r="G3250" s="13">
        <v>218</v>
      </c>
    </row>
    <row r="3251" spans="1:7" hidden="1" x14ac:dyDescent="0.75">
      <c r="A3251" s="51">
        <v>44953</v>
      </c>
      <c r="B3251" s="52">
        <v>1433</v>
      </c>
      <c r="C3251" s="8" t="s">
        <v>3712</v>
      </c>
      <c r="D3251" s="8" t="s">
        <v>136</v>
      </c>
      <c r="E3251" s="52">
        <v>417</v>
      </c>
      <c r="F3251" s="13"/>
      <c r="G3251" s="13">
        <v>392.4</v>
      </c>
    </row>
    <row r="3252" spans="1:7" hidden="1" x14ac:dyDescent="0.75">
      <c r="A3252" s="51">
        <v>44953</v>
      </c>
      <c r="B3252" s="52">
        <v>1433</v>
      </c>
      <c r="C3252" s="8" t="s">
        <v>3713</v>
      </c>
      <c r="D3252" s="8" t="s">
        <v>136</v>
      </c>
      <c r="E3252" s="52">
        <v>417</v>
      </c>
      <c r="F3252" s="13"/>
      <c r="G3252" s="13">
        <v>392.4</v>
      </c>
    </row>
    <row r="3253" spans="1:7" hidden="1" x14ac:dyDescent="0.75">
      <c r="A3253" s="51">
        <v>44957</v>
      </c>
      <c r="B3253" s="52">
        <v>1433</v>
      </c>
      <c r="C3253" s="8" t="s">
        <v>3714</v>
      </c>
      <c r="D3253" s="8" t="s">
        <v>136</v>
      </c>
      <c r="E3253" s="52">
        <v>417</v>
      </c>
      <c r="F3253" s="13"/>
      <c r="G3253" s="13">
        <v>327</v>
      </c>
    </row>
    <row r="3254" spans="1:7" hidden="1" x14ac:dyDescent="0.75">
      <c r="A3254" s="51">
        <v>44957</v>
      </c>
      <c r="B3254" s="52">
        <v>1433</v>
      </c>
      <c r="C3254" s="8" t="s">
        <v>3715</v>
      </c>
      <c r="D3254" s="8" t="s">
        <v>136</v>
      </c>
      <c r="E3254" s="52">
        <v>417</v>
      </c>
      <c r="F3254" s="13"/>
      <c r="G3254" s="13">
        <v>870</v>
      </c>
    </row>
    <row r="3255" spans="1:7" hidden="1" x14ac:dyDescent="0.75">
      <c r="A3255" s="51">
        <v>44957</v>
      </c>
      <c r="B3255" s="52">
        <v>1433</v>
      </c>
      <c r="C3255" s="8" t="s">
        <v>3716</v>
      </c>
      <c r="D3255" s="8" t="s">
        <v>136</v>
      </c>
      <c r="E3255" s="52">
        <v>417</v>
      </c>
      <c r="F3255" s="13"/>
      <c r="G3255" s="13">
        <v>276.5</v>
      </c>
    </row>
    <row r="3256" spans="1:7" hidden="1" x14ac:dyDescent="0.75">
      <c r="A3256" s="51">
        <v>44927</v>
      </c>
      <c r="B3256" s="52">
        <v>560</v>
      </c>
      <c r="C3256" s="8" t="s">
        <v>3717</v>
      </c>
      <c r="D3256" s="8" t="s">
        <v>144</v>
      </c>
      <c r="E3256" s="52">
        <v>754</v>
      </c>
      <c r="F3256" s="13">
        <v>1564</v>
      </c>
      <c r="G3256" s="13"/>
    </row>
    <row r="3257" spans="1:7" hidden="1" x14ac:dyDescent="0.75">
      <c r="A3257" s="51">
        <v>44927</v>
      </c>
      <c r="B3257" s="52">
        <v>560</v>
      </c>
      <c r="C3257" s="8" t="s">
        <v>3718</v>
      </c>
      <c r="D3257" s="8" t="s">
        <v>144</v>
      </c>
      <c r="E3257" s="52">
        <v>754</v>
      </c>
      <c r="F3257" s="13">
        <v>608</v>
      </c>
      <c r="G3257" s="13"/>
    </row>
    <row r="3258" spans="1:7" hidden="1" x14ac:dyDescent="0.75">
      <c r="A3258" s="51">
        <v>44949</v>
      </c>
      <c r="B3258" s="52">
        <v>560</v>
      </c>
      <c r="C3258" s="8" t="s">
        <v>1779</v>
      </c>
      <c r="D3258" s="8" t="s">
        <v>144</v>
      </c>
      <c r="E3258" s="52">
        <v>8</v>
      </c>
      <c r="F3258" s="13">
        <v>117.09</v>
      </c>
      <c r="G3258" s="13"/>
    </row>
    <row r="3259" spans="1:7" hidden="1" x14ac:dyDescent="0.75">
      <c r="A3259" s="51">
        <v>44951</v>
      </c>
      <c r="B3259" s="52">
        <v>560</v>
      </c>
      <c r="C3259" s="8" t="s">
        <v>1452</v>
      </c>
      <c r="D3259" s="8" t="s">
        <v>144</v>
      </c>
      <c r="E3259" s="52">
        <v>5</v>
      </c>
      <c r="F3259" s="13">
        <v>52</v>
      </c>
      <c r="G3259" s="13"/>
    </row>
    <row r="3260" spans="1:7" hidden="1" x14ac:dyDescent="0.75">
      <c r="A3260" s="51">
        <v>44957</v>
      </c>
      <c r="B3260" s="52">
        <v>560</v>
      </c>
      <c r="C3260" s="8" t="s">
        <v>1866</v>
      </c>
      <c r="D3260" s="8" t="s">
        <v>144</v>
      </c>
      <c r="E3260" s="52">
        <v>8</v>
      </c>
      <c r="F3260" s="13">
        <v>450</v>
      </c>
      <c r="G3260" s="13"/>
    </row>
    <row r="3261" spans="1:7" hidden="1" x14ac:dyDescent="0.75">
      <c r="A3261" s="51">
        <v>44957</v>
      </c>
      <c r="B3261" s="52">
        <v>560</v>
      </c>
      <c r="C3261" s="8" t="s">
        <v>1868</v>
      </c>
      <c r="D3261" s="8" t="s">
        <v>144</v>
      </c>
      <c r="E3261" s="52">
        <v>8</v>
      </c>
      <c r="F3261" s="13">
        <v>711.64</v>
      </c>
      <c r="G3261" s="13"/>
    </row>
    <row r="3262" spans="1:7" hidden="1" x14ac:dyDescent="0.75">
      <c r="A3262" s="51">
        <v>44927</v>
      </c>
      <c r="B3262" s="52">
        <v>1965</v>
      </c>
      <c r="C3262" s="8" t="s">
        <v>1218</v>
      </c>
      <c r="D3262" s="8" t="s">
        <v>1230</v>
      </c>
      <c r="E3262" s="52">
        <v>1353</v>
      </c>
      <c r="F3262" s="13"/>
      <c r="G3262" s="13">
        <v>880.48</v>
      </c>
    </row>
    <row r="3263" spans="1:7" hidden="1" x14ac:dyDescent="0.75">
      <c r="A3263" s="51">
        <v>44927</v>
      </c>
      <c r="B3263" s="52">
        <v>1966</v>
      </c>
      <c r="C3263" s="8" t="s">
        <v>1219</v>
      </c>
      <c r="D3263" s="8" t="s">
        <v>1231</v>
      </c>
      <c r="E3263" s="52">
        <v>660</v>
      </c>
      <c r="F3263" s="13"/>
      <c r="G3263" s="13">
        <v>320</v>
      </c>
    </row>
    <row r="3264" spans="1:7" hidden="1" x14ac:dyDescent="0.75">
      <c r="A3264" s="51">
        <v>44927</v>
      </c>
      <c r="B3264" s="52">
        <v>1967</v>
      </c>
      <c r="C3264" s="8" t="s">
        <v>3719</v>
      </c>
      <c r="D3264" s="8" t="s">
        <v>1232</v>
      </c>
      <c r="E3264" s="52">
        <v>276</v>
      </c>
      <c r="F3264" s="13"/>
      <c r="G3264" s="13">
        <v>1700</v>
      </c>
    </row>
    <row r="3265" spans="1:7" hidden="1" x14ac:dyDescent="0.75">
      <c r="A3265" s="51">
        <v>44938</v>
      </c>
      <c r="B3265" s="52">
        <v>25</v>
      </c>
      <c r="C3265" s="8" t="s">
        <v>1650</v>
      </c>
      <c r="D3265" s="8" t="s">
        <v>161</v>
      </c>
      <c r="E3265" s="52">
        <v>8</v>
      </c>
      <c r="F3265" s="13">
        <v>40737.480000000003</v>
      </c>
      <c r="G3265" s="13"/>
    </row>
    <row r="3266" spans="1:7" hidden="1" x14ac:dyDescent="0.75">
      <c r="A3266" s="51">
        <v>44939</v>
      </c>
      <c r="B3266" s="52">
        <v>25</v>
      </c>
      <c r="C3266" s="8" t="s">
        <v>1674</v>
      </c>
      <c r="D3266" s="8" t="s">
        <v>161</v>
      </c>
      <c r="E3266" s="52">
        <v>8</v>
      </c>
      <c r="F3266" s="13">
        <v>2155.35</v>
      </c>
      <c r="G3266" s="13"/>
    </row>
    <row r="3267" spans="1:7" hidden="1" x14ac:dyDescent="0.75">
      <c r="A3267" s="51">
        <v>44957</v>
      </c>
      <c r="B3267" s="52">
        <v>25</v>
      </c>
      <c r="C3267" s="8" t="s">
        <v>3720</v>
      </c>
      <c r="D3267" s="8" t="s">
        <v>161</v>
      </c>
      <c r="E3267" s="52"/>
      <c r="F3267" s="13"/>
      <c r="G3267" s="13">
        <v>16651.48</v>
      </c>
    </row>
    <row r="3268" spans="1:7" hidden="1" x14ac:dyDescent="0.75">
      <c r="A3268" s="51">
        <v>44957</v>
      </c>
      <c r="B3268" s="52">
        <v>25</v>
      </c>
      <c r="C3268" s="8" t="s">
        <v>3720</v>
      </c>
      <c r="D3268" s="8" t="s">
        <v>161</v>
      </c>
      <c r="E3268" s="52"/>
      <c r="F3268" s="13"/>
      <c r="G3268" s="13">
        <v>750</v>
      </c>
    </row>
    <row r="3269" spans="1:7" hidden="1" x14ac:dyDescent="0.75">
      <c r="A3269" s="51">
        <v>44957</v>
      </c>
      <c r="B3269" s="52">
        <v>25</v>
      </c>
      <c r="C3269" s="8" t="s">
        <v>3721</v>
      </c>
      <c r="D3269" s="8" t="s">
        <v>161</v>
      </c>
      <c r="E3269" s="52"/>
      <c r="F3269" s="13"/>
      <c r="G3269" s="13">
        <v>7542.65</v>
      </c>
    </row>
    <row r="3270" spans="1:7" hidden="1" x14ac:dyDescent="0.75">
      <c r="A3270" s="51">
        <v>44957</v>
      </c>
      <c r="B3270" s="52">
        <v>25</v>
      </c>
      <c r="C3270" s="8" t="s">
        <v>3720</v>
      </c>
      <c r="D3270" s="8" t="s">
        <v>161</v>
      </c>
      <c r="E3270" s="52"/>
      <c r="F3270" s="13"/>
      <c r="G3270" s="13">
        <v>17948.7</v>
      </c>
    </row>
    <row r="3271" spans="1:7" hidden="1" x14ac:dyDescent="0.75">
      <c r="A3271" s="51">
        <v>44932</v>
      </c>
      <c r="B3271" s="52">
        <v>550</v>
      </c>
      <c r="C3271" s="8" t="s">
        <v>1566</v>
      </c>
      <c r="D3271" s="8" t="s">
        <v>163</v>
      </c>
      <c r="E3271" s="52">
        <v>8</v>
      </c>
      <c r="F3271" s="13">
        <v>1568.63</v>
      </c>
      <c r="G3271" s="13"/>
    </row>
    <row r="3272" spans="1:7" hidden="1" x14ac:dyDescent="0.75">
      <c r="A3272" s="51">
        <v>44953</v>
      </c>
      <c r="B3272" s="52">
        <v>550</v>
      </c>
      <c r="C3272" s="8" t="s">
        <v>1807</v>
      </c>
      <c r="D3272" s="8" t="s">
        <v>163</v>
      </c>
      <c r="E3272" s="52">
        <v>8</v>
      </c>
      <c r="F3272" s="13">
        <v>6459.33</v>
      </c>
      <c r="G3272" s="13"/>
    </row>
    <row r="3273" spans="1:7" hidden="1" x14ac:dyDescent="0.75">
      <c r="A3273" s="51">
        <v>44957</v>
      </c>
      <c r="B3273" s="52">
        <v>550</v>
      </c>
      <c r="C3273" s="8" t="s">
        <v>1857</v>
      </c>
      <c r="D3273" s="8" t="s">
        <v>163</v>
      </c>
      <c r="E3273" s="52">
        <v>8</v>
      </c>
      <c r="F3273" s="13">
        <v>3283.43</v>
      </c>
      <c r="G3273" s="13"/>
    </row>
    <row r="3274" spans="1:7" hidden="1" x14ac:dyDescent="0.75">
      <c r="A3274" s="51">
        <v>44957</v>
      </c>
      <c r="B3274" s="52">
        <v>550</v>
      </c>
      <c r="C3274" s="8" t="s">
        <v>3722</v>
      </c>
      <c r="D3274" s="8" t="s">
        <v>163</v>
      </c>
      <c r="E3274" s="52"/>
      <c r="F3274" s="13"/>
      <c r="G3274" s="13">
        <v>1838.18</v>
      </c>
    </row>
    <row r="3275" spans="1:7" hidden="1" x14ac:dyDescent="0.75">
      <c r="A3275" s="51">
        <v>44957</v>
      </c>
      <c r="B3275" s="52">
        <v>550</v>
      </c>
      <c r="C3275" s="8" t="s">
        <v>3722</v>
      </c>
      <c r="D3275" s="8" t="s">
        <v>163</v>
      </c>
      <c r="E3275" s="52"/>
      <c r="F3275" s="13"/>
      <c r="G3275" s="13">
        <v>2577.9899999999998</v>
      </c>
    </row>
    <row r="3276" spans="1:7" hidden="1" x14ac:dyDescent="0.75">
      <c r="A3276" s="51">
        <v>44957</v>
      </c>
      <c r="B3276" s="52">
        <v>30</v>
      </c>
      <c r="C3276" s="8" t="s">
        <v>996</v>
      </c>
      <c r="D3276" s="8" t="s">
        <v>167</v>
      </c>
      <c r="E3276" s="52"/>
      <c r="F3276" s="13">
        <v>39123.85</v>
      </c>
      <c r="G3276" s="13"/>
    </row>
    <row r="3277" spans="1:7" hidden="1" x14ac:dyDescent="0.75">
      <c r="A3277" s="51">
        <v>44957</v>
      </c>
      <c r="B3277" s="52">
        <v>30</v>
      </c>
      <c r="C3277" s="8" t="s">
        <v>996</v>
      </c>
      <c r="D3277" s="8" t="s">
        <v>167</v>
      </c>
      <c r="E3277" s="52">
        <v>172</v>
      </c>
      <c r="F3277" s="13"/>
      <c r="G3277" s="13">
        <v>33134.730000000003</v>
      </c>
    </row>
    <row r="3278" spans="1:7" hidden="1" x14ac:dyDescent="0.75">
      <c r="A3278" s="51">
        <v>44957</v>
      </c>
      <c r="B3278" s="52">
        <v>40</v>
      </c>
      <c r="C3278" s="8" t="s">
        <v>1236</v>
      </c>
      <c r="D3278" s="8" t="s">
        <v>169</v>
      </c>
      <c r="E3278" s="52">
        <v>312</v>
      </c>
      <c r="F3278" s="13">
        <v>878.08</v>
      </c>
      <c r="G3278" s="13"/>
    </row>
    <row r="3279" spans="1:7" hidden="1" x14ac:dyDescent="0.75">
      <c r="A3279" s="51">
        <v>44957</v>
      </c>
      <c r="B3279" s="52">
        <v>40</v>
      </c>
      <c r="C3279" s="8" t="s">
        <v>997</v>
      </c>
      <c r="D3279" s="8" t="s">
        <v>169</v>
      </c>
      <c r="E3279" s="52">
        <v>1314</v>
      </c>
      <c r="F3279" s="13">
        <v>1216</v>
      </c>
      <c r="G3279" s="13"/>
    </row>
    <row r="3280" spans="1:7" hidden="1" x14ac:dyDescent="0.75">
      <c r="A3280" s="51">
        <v>44957</v>
      </c>
      <c r="B3280" s="52">
        <v>40</v>
      </c>
      <c r="C3280" s="8" t="s">
        <v>996</v>
      </c>
      <c r="D3280" s="8" t="s">
        <v>169</v>
      </c>
      <c r="E3280" s="52">
        <v>180</v>
      </c>
      <c r="F3280" s="13"/>
      <c r="G3280" s="13">
        <v>2028.89</v>
      </c>
    </row>
    <row r="3281" spans="1:7" hidden="1" x14ac:dyDescent="0.75">
      <c r="A3281" s="51">
        <v>44957</v>
      </c>
      <c r="B3281" s="52">
        <v>40</v>
      </c>
      <c r="C3281" s="8" t="s">
        <v>1057</v>
      </c>
      <c r="D3281" s="8" t="s">
        <v>169</v>
      </c>
      <c r="E3281" s="52">
        <v>55</v>
      </c>
      <c r="F3281" s="13"/>
      <c r="G3281" s="13">
        <v>14005.76</v>
      </c>
    </row>
    <row r="3282" spans="1:7" hidden="1" x14ac:dyDescent="0.75">
      <c r="A3282" s="51">
        <v>44957</v>
      </c>
      <c r="B3282" s="52">
        <v>41</v>
      </c>
      <c r="C3282" s="8" t="s">
        <v>997</v>
      </c>
      <c r="D3282" s="8" t="s">
        <v>171</v>
      </c>
      <c r="E3282" s="52">
        <v>1314</v>
      </c>
      <c r="F3282" s="13">
        <v>264</v>
      </c>
      <c r="G3282" s="13"/>
    </row>
    <row r="3283" spans="1:7" hidden="1" x14ac:dyDescent="0.75">
      <c r="A3283" s="51">
        <v>44957</v>
      </c>
      <c r="B3283" s="52">
        <v>41</v>
      </c>
      <c r="C3283" s="8" t="s">
        <v>1236</v>
      </c>
      <c r="D3283" s="8" t="s">
        <v>171</v>
      </c>
      <c r="E3283" s="52">
        <v>312</v>
      </c>
      <c r="F3283" s="13">
        <v>190.64</v>
      </c>
      <c r="G3283" s="13"/>
    </row>
    <row r="3284" spans="1:7" hidden="1" x14ac:dyDescent="0.75">
      <c r="A3284" s="51">
        <v>44957</v>
      </c>
      <c r="B3284" s="52">
        <v>41</v>
      </c>
      <c r="C3284" s="8" t="s">
        <v>996</v>
      </c>
      <c r="D3284" s="8" t="s">
        <v>171</v>
      </c>
      <c r="E3284" s="52">
        <v>179</v>
      </c>
      <c r="F3284" s="13"/>
      <c r="G3284" s="13">
        <v>440.48</v>
      </c>
    </row>
    <row r="3285" spans="1:7" hidden="1" x14ac:dyDescent="0.75">
      <c r="A3285" s="51">
        <v>44957</v>
      </c>
      <c r="B3285" s="52">
        <v>41</v>
      </c>
      <c r="C3285" s="8" t="s">
        <v>1237</v>
      </c>
      <c r="D3285" s="8" t="s">
        <v>171</v>
      </c>
      <c r="E3285" s="52">
        <v>55</v>
      </c>
      <c r="F3285" s="13"/>
      <c r="G3285" s="13">
        <v>3040.72</v>
      </c>
    </row>
    <row r="3286" spans="1:7" hidden="1" x14ac:dyDescent="0.75">
      <c r="A3286" s="51">
        <v>44957</v>
      </c>
      <c r="B3286" s="52">
        <v>941</v>
      </c>
      <c r="C3286" s="8" t="s">
        <v>1862</v>
      </c>
      <c r="D3286" s="8" t="s">
        <v>827</v>
      </c>
      <c r="E3286" s="52">
        <v>8</v>
      </c>
      <c r="F3286" s="13">
        <v>7102.42</v>
      </c>
      <c r="G3286" s="13"/>
    </row>
    <row r="3287" spans="1:7" hidden="1" x14ac:dyDescent="0.75">
      <c r="A3287" s="51">
        <v>44957</v>
      </c>
      <c r="B3287" s="52">
        <v>941</v>
      </c>
      <c r="C3287" s="8" t="s">
        <v>1862</v>
      </c>
      <c r="D3287" s="8" t="s">
        <v>827</v>
      </c>
      <c r="E3287" s="52">
        <v>176</v>
      </c>
      <c r="F3287" s="13"/>
      <c r="G3287" s="13">
        <v>2119.44</v>
      </c>
    </row>
    <row r="3288" spans="1:7" hidden="1" x14ac:dyDescent="0.75">
      <c r="A3288" s="51">
        <v>44957</v>
      </c>
      <c r="B3288" s="52">
        <v>942</v>
      </c>
      <c r="C3288" s="8" t="s">
        <v>1863</v>
      </c>
      <c r="D3288" s="8" t="s">
        <v>829</v>
      </c>
      <c r="E3288" s="52">
        <v>8</v>
      </c>
      <c r="F3288" s="13">
        <v>3142.11</v>
      </c>
      <c r="G3288" s="13"/>
    </row>
    <row r="3289" spans="1:7" hidden="1" x14ac:dyDescent="0.75">
      <c r="A3289" s="51">
        <v>44957</v>
      </c>
      <c r="B3289" s="52">
        <v>942</v>
      </c>
      <c r="C3289" s="8" t="s">
        <v>1863</v>
      </c>
      <c r="D3289" s="8" t="s">
        <v>829</v>
      </c>
      <c r="E3289" s="52">
        <v>177</v>
      </c>
      <c r="F3289" s="13"/>
      <c r="G3289" s="13">
        <v>1271.67</v>
      </c>
    </row>
    <row r="3290" spans="1:7" hidden="1" x14ac:dyDescent="0.75">
      <c r="A3290" s="51">
        <v>44928</v>
      </c>
      <c r="B3290" s="52">
        <v>55</v>
      </c>
      <c r="C3290" s="8" t="s">
        <v>3723</v>
      </c>
      <c r="D3290" s="8" t="s">
        <v>177</v>
      </c>
      <c r="E3290" s="52">
        <v>697</v>
      </c>
      <c r="F3290" s="13">
        <v>795</v>
      </c>
      <c r="G3290" s="13"/>
    </row>
    <row r="3291" spans="1:7" hidden="1" x14ac:dyDescent="0.75">
      <c r="A3291" s="51">
        <v>44928</v>
      </c>
      <c r="B3291" s="52">
        <v>55</v>
      </c>
      <c r="C3291" s="8" t="s">
        <v>3724</v>
      </c>
      <c r="D3291" s="8" t="s">
        <v>177</v>
      </c>
      <c r="E3291" s="52">
        <v>689</v>
      </c>
      <c r="F3291" s="13">
        <v>1296.8</v>
      </c>
      <c r="G3291" s="13"/>
    </row>
    <row r="3292" spans="1:7" hidden="1" x14ac:dyDescent="0.75">
      <c r="A3292" s="51">
        <v>44928</v>
      </c>
      <c r="B3292" s="52">
        <v>55</v>
      </c>
      <c r="C3292" s="8" t="s">
        <v>3725</v>
      </c>
      <c r="D3292" s="8" t="s">
        <v>177</v>
      </c>
      <c r="E3292" s="52">
        <v>973</v>
      </c>
      <c r="F3292" s="13">
        <v>23.7</v>
      </c>
      <c r="G3292" s="13"/>
    </row>
    <row r="3293" spans="1:7" hidden="1" x14ac:dyDescent="0.75">
      <c r="A3293" s="51">
        <v>44928</v>
      </c>
      <c r="B3293" s="52">
        <v>55</v>
      </c>
      <c r="C3293" s="8" t="s">
        <v>3726</v>
      </c>
      <c r="D3293" s="8" t="s">
        <v>177</v>
      </c>
      <c r="E3293" s="52">
        <v>703</v>
      </c>
      <c r="F3293" s="13">
        <v>30</v>
      </c>
      <c r="G3293" s="13"/>
    </row>
    <row r="3294" spans="1:7" hidden="1" x14ac:dyDescent="0.75">
      <c r="A3294" s="51">
        <v>44928</v>
      </c>
      <c r="B3294" s="52">
        <v>55</v>
      </c>
      <c r="C3294" s="8" t="s">
        <v>3727</v>
      </c>
      <c r="D3294" s="8" t="s">
        <v>177</v>
      </c>
      <c r="E3294" s="52">
        <v>695</v>
      </c>
      <c r="F3294" s="13">
        <v>210</v>
      </c>
      <c r="G3294" s="13"/>
    </row>
    <row r="3295" spans="1:7" hidden="1" x14ac:dyDescent="0.75">
      <c r="A3295" s="51">
        <v>44928</v>
      </c>
      <c r="B3295" s="52">
        <v>55</v>
      </c>
      <c r="C3295" s="8" t="s">
        <v>3728</v>
      </c>
      <c r="D3295" s="8" t="s">
        <v>177</v>
      </c>
      <c r="E3295" s="52">
        <v>1794</v>
      </c>
      <c r="F3295" s="13">
        <v>770.2</v>
      </c>
      <c r="G3295" s="13"/>
    </row>
    <row r="3296" spans="1:7" hidden="1" x14ac:dyDescent="0.75">
      <c r="A3296" s="51">
        <v>44928</v>
      </c>
      <c r="B3296" s="52">
        <v>55</v>
      </c>
      <c r="C3296" s="8" t="s">
        <v>3729</v>
      </c>
      <c r="D3296" s="8" t="s">
        <v>177</v>
      </c>
      <c r="E3296" s="52">
        <v>1503</v>
      </c>
      <c r="F3296" s="13">
        <v>1074</v>
      </c>
      <c r="G3296" s="13"/>
    </row>
    <row r="3297" spans="1:7" hidden="1" x14ac:dyDescent="0.75">
      <c r="A3297" s="51">
        <v>44928</v>
      </c>
      <c r="B3297" s="52">
        <v>55</v>
      </c>
      <c r="C3297" s="8" t="s">
        <v>3730</v>
      </c>
      <c r="D3297" s="8" t="s">
        <v>177</v>
      </c>
      <c r="E3297" s="52">
        <v>1406</v>
      </c>
      <c r="F3297" s="13">
        <v>1500.75</v>
      </c>
      <c r="G3297" s="13"/>
    </row>
    <row r="3298" spans="1:7" hidden="1" x14ac:dyDescent="0.75">
      <c r="A3298" s="51">
        <v>44928</v>
      </c>
      <c r="B3298" s="52">
        <v>55</v>
      </c>
      <c r="C3298" s="8" t="s">
        <v>3731</v>
      </c>
      <c r="D3298" s="8" t="s">
        <v>177</v>
      </c>
      <c r="E3298" s="52">
        <v>1405</v>
      </c>
      <c r="F3298" s="13">
        <v>2663</v>
      </c>
      <c r="G3298" s="13"/>
    </row>
    <row r="3299" spans="1:7" hidden="1" x14ac:dyDescent="0.75">
      <c r="A3299" s="51">
        <v>44928</v>
      </c>
      <c r="B3299" s="52">
        <v>55</v>
      </c>
      <c r="C3299" s="8" t="s">
        <v>3732</v>
      </c>
      <c r="D3299" s="8" t="s">
        <v>177</v>
      </c>
      <c r="E3299" s="52">
        <v>1405</v>
      </c>
      <c r="F3299" s="13">
        <v>1356</v>
      </c>
      <c r="G3299" s="13"/>
    </row>
    <row r="3300" spans="1:7" hidden="1" x14ac:dyDescent="0.75">
      <c r="A3300" s="51">
        <v>44928</v>
      </c>
      <c r="B3300" s="52">
        <v>55</v>
      </c>
      <c r="C3300" s="8" t="s">
        <v>3733</v>
      </c>
      <c r="D3300" s="8" t="s">
        <v>177</v>
      </c>
      <c r="E3300" s="52">
        <v>748</v>
      </c>
      <c r="F3300" s="13">
        <v>2117</v>
      </c>
      <c r="G3300" s="13"/>
    </row>
    <row r="3301" spans="1:7" hidden="1" x14ac:dyDescent="0.75">
      <c r="A3301" s="51">
        <v>44928</v>
      </c>
      <c r="B3301" s="52">
        <v>55</v>
      </c>
      <c r="C3301" s="8" t="s">
        <v>3734</v>
      </c>
      <c r="D3301" s="8" t="s">
        <v>177</v>
      </c>
      <c r="E3301" s="52">
        <v>753</v>
      </c>
      <c r="F3301" s="13">
        <v>5171.25</v>
      </c>
      <c r="G3301" s="13"/>
    </row>
    <row r="3302" spans="1:7" hidden="1" x14ac:dyDescent="0.75">
      <c r="A3302" s="51">
        <v>44928</v>
      </c>
      <c r="B3302" s="52">
        <v>55</v>
      </c>
      <c r="C3302" s="8" t="s">
        <v>3735</v>
      </c>
      <c r="D3302" s="8" t="s">
        <v>177</v>
      </c>
      <c r="E3302" s="52">
        <v>754</v>
      </c>
      <c r="F3302" s="13">
        <v>213</v>
      </c>
      <c r="G3302" s="13"/>
    </row>
    <row r="3303" spans="1:7" hidden="1" x14ac:dyDescent="0.75">
      <c r="A3303" s="51">
        <v>44928</v>
      </c>
      <c r="B3303" s="52">
        <v>55</v>
      </c>
      <c r="C3303" s="8" t="s">
        <v>3736</v>
      </c>
      <c r="D3303" s="8" t="s">
        <v>177</v>
      </c>
      <c r="E3303" s="52">
        <v>1365</v>
      </c>
      <c r="F3303" s="13">
        <v>640.6</v>
      </c>
      <c r="G3303" s="13"/>
    </row>
    <row r="3304" spans="1:7" hidden="1" x14ac:dyDescent="0.75">
      <c r="A3304" s="51">
        <v>44928</v>
      </c>
      <c r="B3304" s="52">
        <v>55</v>
      </c>
      <c r="C3304" s="8" t="s">
        <v>3737</v>
      </c>
      <c r="D3304" s="8" t="s">
        <v>177</v>
      </c>
      <c r="E3304" s="52">
        <v>774</v>
      </c>
      <c r="F3304" s="13">
        <v>1558</v>
      </c>
      <c r="G3304" s="13"/>
    </row>
    <row r="3305" spans="1:7" hidden="1" x14ac:dyDescent="0.75">
      <c r="A3305" s="51">
        <v>44928</v>
      </c>
      <c r="B3305" s="52">
        <v>55</v>
      </c>
      <c r="C3305" s="8" t="s">
        <v>3738</v>
      </c>
      <c r="D3305" s="8" t="s">
        <v>177</v>
      </c>
      <c r="E3305" s="52">
        <v>874</v>
      </c>
      <c r="F3305" s="13">
        <v>1046.8499999999999</v>
      </c>
      <c r="G3305" s="13"/>
    </row>
    <row r="3306" spans="1:7" hidden="1" x14ac:dyDescent="0.75">
      <c r="A3306" s="51">
        <v>44928</v>
      </c>
      <c r="B3306" s="52">
        <v>55</v>
      </c>
      <c r="C3306" s="8" t="s">
        <v>3739</v>
      </c>
      <c r="D3306" s="8" t="s">
        <v>177</v>
      </c>
      <c r="E3306" s="52">
        <v>874</v>
      </c>
      <c r="F3306" s="13">
        <v>845.15</v>
      </c>
      <c r="G3306" s="13"/>
    </row>
    <row r="3307" spans="1:7" hidden="1" x14ac:dyDescent="0.75">
      <c r="A3307" s="51">
        <v>44928</v>
      </c>
      <c r="B3307" s="52">
        <v>55</v>
      </c>
      <c r="C3307" s="8" t="s">
        <v>3740</v>
      </c>
      <c r="D3307" s="8" t="s">
        <v>177</v>
      </c>
      <c r="E3307" s="52">
        <v>1684</v>
      </c>
      <c r="F3307" s="13">
        <v>373.7</v>
      </c>
      <c r="G3307" s="13"/>
    </row>
    <row r="3308" spans="1:7" hidden="1" x14ac:dyDescent="0.75">
      <c r="A3308" s="51">
        <v>44928</v>
      </c>
      <c r="B3308" s="52">
        <v>55</v>
      </c>
      <c r="C3308" s="8" t="s">
        <v>3741</v>
      </c>
      <c r="D3308" s="8" t="s">
        <v>177</v>
      </c>
      <c r="E3308" s="52">
        <v>1721</v>
      </c>
      <c r="F3308" s="13">
        <v>1405</v>
      </c>
      <c r="G3308" s="13"/>
    </row>
    <row r="3309" spans="1:7" hidden="1" x14ac:dyDescent="0.75">
      <c r="A3309" s="51">
        <v>44928</v>
      </c>
      <c r="B3309" s="52">
        <v>55</v>
      </c>
      <c r="C3309" s="8" t="s">
        <v>3742</v>
      </c>
      <c r="D3309" s="8" t="s">
        <v>177</v>
      </c>
      <c r="E3309" s="52">
        <v>1900</v>
      </c>
      <c r="F3309" s="13">
        <v>280</v>
      </c>
      <c r="G3309" s="13"/>
    </row>
    <row r="3310" spans="1:7" hidden="1" x14ac:dyDescent="0.75">
      <c r="A3310" s="51">
        <v>44928</v>
      </c>
      <c r="B3310" s="52">
        <v>55</v>
      </c>
      <c r="C3310" s="8" t="s">
        <v>3743</v>
      </c>
      <c r="D3310" s="8" t="s">
        <v>177</v>
      </c>
      <c r="E3310" s="52">
        <v>769</v>
      </c>
      <c r="F3310" s="13">
        <v>5245</v>
      </c>
      <c r="G3310" s="13"/>
    </row>
    <row r="3311" spans="1:7" hidden="1" x14ac:dyDescent="0.75">
      <c r="A3311" s="51">
        <v>44928</v>
      </c>
      <c r="B3311" s="52">
        <v>55</v>
      </c>
      <c r="C3311" s="8" t="s">
        <v>3744</v>
      </c>
      <c r="D3311" s="8" t="s">
        <v>177</v>
      </c>
      <c r="E3311" s="52">
        <v>1721</v>
      </c>
      <c r="F3311" s="13"/>
      <c r="G3311" s="13">
        <v>450</v>
      </c>
    </row>
    <row r="3312" spans="1:7" hidden="1" x14ac:dyDescent="0.75">
      <c r="A3312" s="51">
        <v>44928</v>
      </c>
      <c r="B3312" s="52">
        <v>55</v>
      </c>
      <c r="C3312" s="8" t="s">
        <v>3745</v>
      </c>
      <c r="D3312" s="8" t="s">
        <v>177</v>
      </c>
      <c r="E3312" s="52">
        <v>774</v>
      </c>
      <c r="F3312" s="13"/>
      <c r="G3312" s="13">
        <v>480</v>
      </c>
    </row>
    <row r="3313" spans="1:7" hidden="1" x14ac:dyDescent="0.75">
      <c r="A3313" s="51">
        <v>44928</v>
      </c>
      <c r="B3313" s="52">
        <v>55</v>
      </c>
      <c r="C3313" s="8" t="s">
        <v>3746</v>
      </c>
      <c r="D3313" s="8" t="s">
        <v>177</v>
      </c>
      <c r="E3313" s="52">
        <v>1646</v>
      </c>
      <c r="F3313" s="13"/>
      <c r="G3313" s="13">
        <v>120.3</v>
      </c>
    </row>
    <row r="3314" spans="1:7" hidden="1" x14ac:dyDescent="0.75">
      <c r="A3314" s="51">
        <v>44928</v>
      </c>
      <c r="B3314" s="52">
        <v>55</v>
      </c>
      <c r="C3314" s="8" t="s">
        <v>3747</v>
      </c>
      <c r="D3314" s="8" t="s">
        <v>177</v>
      </c>
      <c r="E3314" s="52">
        <v>769</v>
      </c>
      <c r="F3314" s="13"/>
      <c r="G3314" s="13">
        <v>105</v>
      </c>
    </row>
    <row r="3315" spans="1:7" hidden="1" x14ac:dyDescent="0.75">
      <c r="A3315" s="51">
        <v>44928</v>
      </c>
      <c r="B3315" s="52">
        <v>55</v>
      </c>
      <c r="C3315" s="8" t="s">
        <v>3748</v>
      </c>
      <c r="D3315" s="8" t="s">
        <v>177</v>
      </c>
      <c r="E3315" s="52">
        <v>1646</v>
      </c>
      <c r="F3315" s="13"/>
      <c r="G3315" s="13">
        <v>370.81</v>
      </c>
    </row>
    <row r="3316" spans="1:7" hidden="1" x14ac:dyDescent="0.75">
      <c r="A3316" s="51">
        <v>44928</v>
      </c>
      <c r="B3316" s="52">
        <v>55</v>
      </c>
      <c r="C3316" s="8" t="s">
        <v>3749</v>
      </c>
      <c r="D3316" s="8" t="s">
        <v>177</v>
      </c>
      <c r="E3316" s="52">
        <v>1646</v>
      </c>
      <c r="F3316" s="13"/>
      <c r="G3316" s="13">
        <v>24.5</v>
      </c>
    </row>
    <row r="3317" spans="1:7" hidden="1" x14ac:dyDescent="0.75">
      <c r="A3317" s="51">
        <v>44928</v>
      </c>
      <c r="B3317" s="52">
        <v>55</v>
      </c>
      <c r="C3317" s="8" t="s">
        <v>3750</v>
      </c>
      <c r="D3317" s="8" t="s">
        <v>177</v>
      </c>
      <c r="E3317" s="52">
        <v>1646</v>
      </c>
      <c r="F3317" s="13"/>
      <c r="G3317" s="13">
        <v>672.24</v>
      </c>
    </row>
    <row r="3318" spans="1:7" hidden="1" x14ac:dyDescent="0.75">
      <c r="A3318" s="51">
        <v>44928</v>
      </c>
      <c r="B3318" s="52">
        <v>55</v>
      </c>
      <c r="C3318" s="8" t="s">
        <v>3751</v>
      </c>
      <c r="D3318" s="8" t="s">
        <v>177</v>
      </c>
      <c r="E3318" s="52">
        <v>1646</v>
      </c>
      <c r="F3318" s="13"/>
      <c r="G3318" s="13">
        <v>274.3</v>
      </c>
    </row>
    <row r="3319" spans="1:7" hidden="1" x14ac:dyDescent="0.75">
      <c r="A3319" s="51">
        <v>44929</v>
      </c>
      <c r="B3319" s="52">
        <v>55</v>
      </c>
      <c r="C3319" s="8" t="s">
        <v>3752</v>
      </c>
      <c r="D3319" s="8" t="s">
        <v>177</v>
      </c>
      <c r="E3319" s="52">
        <v>692</v>
      </c>
      <c r="F3319" s="13">
        <v>480</v>
      </c>
      <c r="G3319" s="13"/>
    </row>
    <row r="3320" spans="1:7" hidden="1" x14ac:dyDescent="0.75">
      <c r="A3320" s="51">
        <v>44929</v>
      </c>
      <c r="B3320" s="52">
        <v>55</v>
      </c>
      <c r="C3320" s="8" t="s">
        <v>3753</v>
      </c>
      <c r="D3320" s="8" t="s">
        <v>177</v>
      </c>
      <c r="E3320" s="52">
        <v>973</v>
      </c>
      <c r="F3320" s="13">
        <v>39.6</v>
      </c>
      <c r="G3320" s="13"/>
    </row>
    <row r="3321" spans="1:7" hidden="1" x14ac:dyDescent="0.75">
      <c r="A3321" s="51">
        <v>44929</v>
      </c>
      <c r="B3321" s="52">
        <v>55</v>
      </c>
      <c r="C3321" s="8" t="s">
        <v>3754</v>
      </c>
      <c r="D3321" s="8" t="s">
        <v>177</v>
      </c>
      <c r="E3321" s="52">
        <v>1405</v>
      </c>
      <c r="F3321" s="13">
        <v>3825</v>
      </c>
      <c r="G3321" s="13"/>
    </row>
    <row r="3322" spans="1:7" hidden="1" x14ac:dyDescent="0.75">
      <c r="A3322" s="51">
        <v>44929</v>
      </c>
      <c r="B3322" s="52">
        <v>55</v>
      </c>
      <c r="C3322" s="8" t="s">
        <v>3755</v>
      </c>
      <c r="D3322" s="8" t="s">
        <v>177</v>
      </c>
      <c r="E3322" s="52">
        <v>703</v>
      </c>
      <c r="F3322" s="13">
        <v>80</v>
      </c>
      <c r="G3322" s="13"/>
    </row>
    <row r="3323" spans="1:7" hidden="1" x14ac:dyDescent="0.75">
      <c r="A3323" s="51">
        <v>44929</v>
      </c>
      <c r="B3323" s="52">
        <v>55</v>
      </c>
      <c r="C3323" s="8" t="s">
        <v>3756</v>
      </c>
      <c r="D3323" s="8" t="s">
        <v>177</v>
      </c>
      <c r="E3323" s="52">
        <v>1503</v>
      </c>
      <c r="F3323" s="13">
        <v>1500</v>
      </c>
      <c r="G3323" s="13"/>
    </row>
    <row r="3324" spans="1:7" hidden="1" x14ac:dyDescent="0.75">
      <c r="A3324" s="51">
        <v>44929</v>
      </c>
      <c r="B3324" s="52">
        <v>55</v>
      </c>
      <c r="C3324" s="8" t="s">
        <v>3757</v>
      </c>
      <c r="D3324" s="8" t="s">
        <v>177</v>
      </c>
      <c r="E3324" s="52">
        <v>687</v>
      </c>
      <c r="F3324" s="13">
        <v>141.80000000000001</v>
      </c>
      <c r="G3324" s="13"/>
    </row>
    <row r="3325" spans="1:7" hidden="1" x14ac:dyDescent="0.75">
      <c r="A3325" s="51">
        <v>44929</v>
      </c>
      <c r="B3325" s="52">
        <v>55</v>
      </c>
      <c r="C3325" s="8" t="s">
        <v>3758</v>
      </c>
      <c r="D3325" s="8" t="s">
        <v>177</v>
      </c>
      <c r="E3325" s="52">
        <v>688</v>
      </c>
      <c r="F3325" s="13">
        <v>633.75</v>
      </c>
      <c r="G3325" s="13"/>
    </row>
    <row r="3326" spans="1:7" hidden="1" x14ac:dyDescent="0.75">
      <c r="A3326" s="51">
        <v>44929</v>
      </c>
      <c r="B3326" s="52">
        <v>55</v>
      </c>
      <c r="C3326" s="8" t="s">
        <v>3759</v>
      </c>
      <c r="D3326" s="8" t="s">
        <v>177</v>
      </c>
      <c r="E3326" s="52">
        <v>690</v>
      </c>
      <c r="F3326" s="13">
        <v>1345</v>
      </c>
      <c r="G3326" s="13"/>
    </row>
    <row r="3327" spans="1:7" hidden="1" x14ac:dyDescent="0.75">
      <c r="A3327" s="51">
        <v>44929</v>
      </c>
      <c r="B3327" s="52">
        <v>55</v>
      </c>
      <c r="C3327" s="8" t="s">
        <v>3760</v>
      </c>
      <c r="D3327" s="8" t="s">
        <v>177</v>
      </c>
      <c r="E3327" s="52">
        <v>696</v>
      </c>
      <c r="F3327" s="13">
        <v>57</v>
      </c>
      <c r="G3327" s="13"/>
    </row>
    <row r="3328" spans="1:7" hidden="1" x14ac:dyDescent="0.75">
      <c r="A3328" s="51">
        <v>44929</v>
      </c>
      <c r="B3328" s="52">
        <v>55</v>
      </c>
      <c r="C3328" s="8" t="s">
        <v>3761</v>
      </c>
      <c r="D3328" s="8" t="s">
        <v>177</v>
      </c>
      <c r="E3328" s="52">
        <v>689</v>
      </c>
      <c r="F3328" s="13">
        <v>1990</v>
      </c>
      <c r="G3328" s="13"/>
    </row>
    <row r="3329" spans="1:7" hidden="1" x14ac:dyDescent="0.75">
      <c r="A3329" s="51">
        <v>44929</v>
      </c>
      <c r="B3329" s="52">
        <v>55</v>
      </c>
      <c r="C3329" s="8" t="s">
        <v>3762</v>
      </c>
      <c r="D3329" s="8" t="s">
        <v>177</v>
      </c>
      <c r="E3329" s="52">
        <v>694</v>
      </c>
      <c r="F3329" s="13">
        <v>543.4</v>
      </c>
      <c r="G3329" s="13"/>
    </row>
    <row r="3330" spans="1:7" hidden="1" x14ac:dyDescent="0.75">
      <c r="A3330" s="51">
        <v>44929</v>
      </c>
      <c r="B3330" s="52">
        <v>55</v>
      </c>
      <c r="C3330" s="8" t="s">
        <v>3763</v>
      </c>
      <c r="D3330" s="8" t="s">
        <v>177</v>
      </c>
      <c r="E3330" s="52">
        <v>1794</v>
      </c>
      <c r="F3330" s="13">
        <v>510</v>
      </c>
      <c r="G3330" s="13"/>
    </row>
    <row r="3331" spans="1:7" hidden="1" x14ac:dyDescent="0.75">
      <c r="A3331" s="51">
        <v>44929</v>
      </c>
      <c r="B3331" s="52">
        <v>55</v>
      </c>
      <c r="C3331" s="8" t="s">
        <v>3764</v>
      </c>
      <c r="D3331" s="8" t="s">
        <v>177</v>
      </c>
      <c r="E3331" s="52">
        <v>1558</v>
      </c>
      <c r="F3331" s="13">
        <v>186.88</v>
      </c>
      <c r="G3331" s="13"/>
    </row>
    <row r="3332" spans="1:7" hidden="1" x14ac:dyDescent="0.75">
      <c r="A3332" s="51">
        <v>44929</v>
      </c>
      <c r="B3332" s="52">
        <v>55</v>
      </c>
      <c r="C3332" s="8" t="s">
        <v>3765</v>
      </c>
      <c r="D3332" s="8" t="s">
        <v>177</v>
      </c>
      <c r="E3332" s="52">
        <v>686</v>
      </c>
      <c r="F3332" s="13">
        <v>724.8</v>
      </c>
      <c r="G3332" s="13"/>
    </row>
    <row r="3333" spans="1:7" hidden="1" x14ac:dyDescent="0.75">
      <c r="A3333" s="51">
        <v>44929</v>
      </c>
      <c r="B3333" s="52">
        <v>55</v>
      </c>
      <c r="C3333" s="8" t="s">
        <v>3766</v>
      </c>
      <c r="D3333" s="8" t="s">
        <v>177</v>
      </c>
      <c r="E3333" s="52">
        <v>748</v>
      </c>
      <c r="F3333" s="13">
        <v>648</v>
      </c>
      <c r="G3333" s="13"/>
    </row>
    <row r="3334" spans="1:7" hidden="1" x14ac:dyDescent="0.75">
      <c r="A3334" s="51">
        <v>44929</v>
      </c>
      <c r="B3334" s="52">
        <v>55</v>
      </c>
      <c r="C3334" s="8" t="s">
        <v>3767</v>
      </c>
      <c r="D3334" s="8" t="s">
        <v>177</v>
      </c>
      <c r="E3334" s="52">
        <v>1350</v>
      </c>
      <c r="F3334" s="13">
        <v>290</v>
      </c>
      <c r="G3334" s="13"/>
    </row>
    <row r="3335" spans="1:7" hidden="1" x14ac:dyDescent="0.75">
      <c r="A3335" s="51">
        <v>44929</v>
      </c>
      <c r="B3335" s="52">
        <v>55</v>
      </c>
      <c r="C3335" s="8" t="s">
        <v>3768</v>
      </c>
      <c r="D3335" s="8" t="s">
        <v>177</v>
      </c>
      <c r="E3335" s="52">
        <v>1350</v>
      </c>
      <c r="F3335" s="13">
        <v>165</v>
      </c>
      <c r="G3335" s="13"/>
    </row>
    <row r="3336" spans="1:7" hidden="1" x14ac:dyDescent="0.75">
      <c r="A3336" s="51">
        <v>44929</v>
      </c>
      <c r="B3336" s="52">
        <v>55</v>
      </c>
      <c r="C3336" s="8" t="s">
        <v>3769</v>
      </c>
      <c r="D3336" s="8" t="s">
        <v>177</v>
      </c>
      <c r="E3336" s="52">
        <v>754</v>
      </c>
      <c r="F3336" s="13">
        <v>991</v>
      </c>
      <c r="G3336" s="13"/>
    </row>
    <row r="3337" spans="1:7" hidden="1" x14ac:dyDescent="0.75">
      <c r="A3337" s="51">
        <v>44929</v>
      </c>
      <c r="B3337" s="52">
        <v>55</v>
      </c>
      <c r="C3337" s="8" t="s">
        <v>3770</v>
      </c>
      <c r="D3337" s="8" t="s">
        <v>177</v>
      </c>
      <c r="E3337" s="52">
        <v>769</v>
      </c>
      <c r="F3337" s="13">
        <v>2223.9</v>
      </c>
      <c r="G3337" s="13"/>
    </row>
    <row r="3338" spans="1:7" hidden="1" x14ac:dyDescent="0.75">
      <c r="A3338" s="51">
        <v>44929</v>
      </c>
      <c r="B3338" s="52">
        <v>55</v>
      </c>
      <c r="C3338" s="8" t="s">
        <v>3771</v>
      </c>
      <c r="D3338" s="8" t="s">
        <v>177</v>
      </c>
      <c r="E3338" s="52">
        <v>1348</v>
      </c>
      <c r="F3338" s="13">
        <v>165</v>
      </c>
      <c r="G3338" s="13"/>
    </row>
    <row r="3339" spans="1:7" hidden="1" x14ac:dyDescent="0.75">
      <c r="A3339" s="51">
        <v>44929</v>
      </c>
      <c r="B3339" s="52">
        <v>55</v>
      </c>
      <c r="C3339" s="8" t="s">
        <v>3772</v>
      </c>
      <c r="D3339" s="8" t="s">
        <v>177</v>
      </c>
      <c r="E3339" s="52">
        <v>1365</v>
      </c>
      <c r="F3339" s="13">
        <v>480</v>
      </c>
      <c r="G3339" s="13"/>
    </row>
    <row r="3340" spans="1:7" hidden="1" x14ac:dyDescent="0.75">
      <c r="A3340" s="51">
        <v>44929</v>
      </c>
      <c r="B3340" s="52">
        <v>55</v>
      </c>
      <c r="C3340" s="8" t="s">
        <v>3773</v>
      </c>
      <c r="D3340" s="8" t="s">
        <v>177</v>
      </c>
      <c r="E3340" s="52">
        <v>774</v>
      </c>
      <c r="F3340" s="13">
        <v>970</v>
      </c>
      <c r="G3340" s="13"/>
    </row>
    <row r="3341" spans="1:7" hidden="1" x14ac:dyDescent="0.75">
      <c r="A3341" s="51">
        <v>44929</v>
      </c>
      <c r="B3341" s="52">
        <v>55</v>
      </c>
      <c r="C3341" s="8" t="s">
        <v>3774</v>
      </c>
      <c r="D3341" s="8" t="s">
        <v>177</v>
      </c>
      <c r="E3341" s="52">
        <v>762</v>
      </c>
      <c r="F3341" s="13">
        <v>5200</v>
      </c>
      <c r="G3341" s="13"/>
    </row>
    <row r="3342" spans="1:7" hidden="1" x14ac:dyDescent="0.75">
      <c r="A3342" s="51">
        <v>44929</v>
      </c>
      <c r="B3342" s="52">
        <v>55</v>
      </c>
      <c r="C3342" s="8" t="s">
        <v>3775</v>
      </c>
      <c r="D3342" s="8" t="s">
        <v>177</v>
      </c>
      <c r="E3342" s="52">
        <v>1306</v>
      </c>
      <c r="F3342" s="13">
        <v>2020</v>
      </c>
      <c r="G3342" s="13"/>
    </row>
    <row r="3343" spans="1:7" hidden="1" x14ac:dyDescent="0.75">
      <c r="A3343" s="51">
        <v>44929</v>
      </c>
      <c r="B3343" s="52">
        <v>55</v>
      </c>
      <c r="C3343" s="8" t="s">
        <v>3776</v>
      </c>
      <c r="D3343" s="8" t="s">
        <v>177</v>
      </c>
      <c r="E3343" s="52">
        <v>1306</v>
      </c>
      <c r="F3343" s="13">
        <v>2105</v>
      </c>
      <c r="G3343" s="13"/>
    </row>
    <row r="3344" spans="1:7" hidden="1" x14ac:dyDescent="0.75">
      <c r="A3344" s="51">
        <v>44929</v>
      </c>
      <c r="B3344" s="52">
        <v>55</v>
      </c>
      <c r="C3344" s="8" t="s">
        <v>3777</v>
      </c>
      <c r="D3344" s="8" t="s">
        <v>177</v>
      </c>
      <c r="E3344" s="52">
        <v>1306</v>
      </c>
      <c r="F3344" s="13">
        <v>2020</v>
      </c>
      <c r="G3344" s="13"/>
    </row>
    <row r="3345" spans="1:7" hidden="1" x14ac:dyDescent="0.75">
      <c r="A3345" s="51">
        <v>44929</v>
      </c>
      <c r="B3345" s="52">
        <v>55</v>
      </c>
      <c r="C3345" s="8" t="s">
        <v>3778</v>
      </c>
      <c r="D3345" s="8" t="s">
        <v>177</v>
      </c>
      <c r="E3345" s="52">
        <v>1684</v>
      </c>
      <c r="F3345" s="13">
        <v>110</v>
      </c>
      <c r="G3345" s="13"/>
    </row>
    <row r="3346" spans="1:7" hidden="1" x14ac:dyDescent="0.75">
      <c r="A3346" s="51">
        <v>44929</v>
      </c>
      <c r="B3346" s="52">
        <v>55</v>
      </c>
      <c r="C3346" s="8" t="s">
        <v>3779</v>
      </c>
      <c r="D3346" s="8" t="s">
        <v>177</v>
      </c>
      <c r="E3346" s="52">
        <v>1721</v>
      </c>
      <c r="F3346" s="13">
        <v>1475</v>
      </c>
      <c r="G3346" s="13"/>
    </row>
    <row r="3347" spans="1:7" hidden="1" x14ac:dyDescent="0.75">
      <c r="A3347" s="51">
        <v>44929</v>
      </c>
      <c r="B3347" s="52">
        <v>55</v>
      </c>
      <c r="C3347" s="8" t="s">
        <v>3780</v>
      </c>
      <c r="D3347" s="8" t="s">
        <v>177</v>
      </c>
      <c r="E3347" s="52">
        <v>1900</v>
      </c>
      <c r="F3347" s="13">
        <v>900</v>
      </c>
      <c r="G3347" s="13"/>
    </row>
    <row r="3348" spans="1:7" hidden="1" x14ac:dyDescent="0.75">
      <c r="A3348" s="51">
        <v>44929</v>
      </c>
      <c r="B3348" s="52">
        <v>55</v>
      </c>
      <c r="C3348" s="8" t="s">
        <v>3781</v>
      </c>
      <c r="D3348" s="8" t="s">
        <v>177</v>
      </c>
      <c r="E3348" s="52">
        <v>1646</v>
      </c>
      <c r="F3348" s="13"/>
      <c r="G3348" s="13">
        <v>686.34</v>
      </c>
    </row>
    <row r="3349" spans="1:7" hidden="1" x14ac:dyDescent="0.75">
      <c r="A3349" s="51">
        <v>44929</v>
      </c>
      <c r="B3349" s="52">
        <v>55</v>
      </c>
      <c r="C3349" s="8" t="s">
        <v>3782</v>
      </c>
      <c r="D3349" s="8" t="s">
        <v>177</v>
      </c>
      <c r="E3349" s="52">
        <v>1646</v>
      </c>
      <c r="F3349" s="13"/>
      <c r="G3349" s="13">
        <v>338.92</v>
      </c>
    </row>
    <row r="3350" spans="1:7" hidden="1" x14ac:dyDescent="0.75">
      <c r="A3350" s="51">
        <v>44929</v>
      </c>
      <c r="B3350" s="52">
        <v>55</v>
      </c>
      <c r="C3350" s="8" t="s">
        <v>3783</v>
      </c>
      <c r="D3350" s="8" t="s">
        <v>177</v>
      </c>
      <c r="E3350" s="52">
        <v>1646</v>
      </c>
      <c r="F3350" s="13"/>
      <c r="G3350" s="13">
        <v>674.7</v>
      </c>
    </row>
    <row r="3351" spans="1:7" hidden="1" x14ac:dyDescent="0.75">
      <c r="A3351" s="51">
        <v>44930</v>
      </c>
      <c r="B3351" s="52">
        <v>55</v>
      </c>
      <c r="C3351" s="8" t="s">
        <v>3784</v>
      </c>
      <c r="D3351" s="8" t="s">
        <v>177</v>
      </c>
      <c r="E3351" s="52">
        <v>694</v>
      </c>
      <c r="F3351" s="13">
        <v>240</v>
      </c>
      <c r="G3351" s="13"/>
    </row>
    <row r="3352" spans="1:7" hidden="1" x14ac:dyDescent="0.75">
      <c r="A3352" s="51">
        <v>44930</v>
      </c>
      <c r="B3352" s="52">
        <v>55</v>
      </c>
      <c r="C3352" s="8" t="s">
        <v>3785</v>
      </c>
      <c r="D3352" s="8" t="s">
        <v>177</v>
      </c>
      <c r="E3352" s="52">
        <v>1405</v>
      </c>
      <c r="F3352" s="13">
        <v>2976.5</v>
      </c>
      <c r="G3352" s="13"/>
    </row>
    <row r="3353" spans="1:7" hidden="1" x14ac:dyDescent="0.75">
      <c r="A3353" s="51">
        <v>44930</v>
      </c>
      <c r="B3353" s="52">
        <v>55</v>
      </c>
      <c r="C3353" s="8" t="s">
        <v>3786</v>
      </c>
      <c r="D3353" s="8" t="s">
        <v>177</v>
      </c>
      <c r="E3353" s="52">
        <v>1794</v>
      </c>
      <c r="F3353" s="13">
        <v>292</v>
      </c>
      <c r="G3353" s="13"/>
    </row>
    <row r="3354" spans="1:7" hidden="1" x14ac:dyDescent="0.75">
      <c r="A3354" s="51">
        <v>44930</v>
      </c>
      <c r="B3354" s="52">
        <v>55</v>
      </c>
      <c r="C3354" s="8" t="s">
        <v>3787</v>
      </c>
      <c r="D3354" s="8" t="s">
        <v>177</v>
      </c>
      <c r="E3354" s="52">
        <v>1503</v>
      </c>
      <c r="F3354" s="13">
        <v>1062</v>
      </c>
      <c r="G3354" s="13"/>
    </row>
    <row r="3355" spans="1:7" hidden="1" x14ac:dyDescent="0.75">
      <c r="A3355" s="51">
        <v>44930</v>
      </c>
      <c r="B3355" s="52">
        <v>55</v>
      </c>
      <c r="C3355" s="8" t="s">
        <v>3788</v>
      </c>
      <c r="D3355" s="8" t="s">
        <v>177</v>
      </c>
      <c r="E3355" s="52">
        <v>1518</v>
      </c>
      <c r="F3355" s="13">
        <v>37.5</v>
      </c>
      <c r="G3355" s="13"/>
    </row>
    <row r="3356" spans="1:7" hidden="1" x14ac:dyDescent="0.75">
      <c r="A3356" s="51">
        <v>44930</v>
      </c>
      <c r="B3356" s="52">
        <v>55</v>
      </c>
      <c r="C3356" s="8" t="s">
        <v>3789</v>
      </c>
      <c r="D3356" s="8" t="s">
        <v>177</v>
      </c>
      <c r="E3356" s="52">
        <v>695</v>
      </c>
      <c r="F3356" s="13">
        <v>213</v>
      </c>
      <c r="G3356" s="13"/>
    </row>
    <row r="3357" spans="1:7" hidden="1" x14ac:dyDescent="0.75">
      <c r="A3357" s="51">
        <v>44930</v>
      </c>
      <c r="B3357" s="52">
        <v>55</v>
      </c>
      <c r="C3357" s="8" t="s">
        <v>3790</v>
      </c>
      <c r="D3357" s="8" t="s">
        <v>177</v>
      </c>
      <c r="E3357" s="52">
        <v>686</v>
      </c>
      <c r="F3357" s="13">
        <v>48</v>
      </c>
      <c r="G3357" s="13"/>
    </row>
    <row r="3358" spans="1:7" hidden="1" x14ac:dyDescent="0.75">
      <c r="A3358" s="51">
        <v>44930</v>
      </c>
      <c r="B3358" s="52">
        <v>55</v>
      </c>
      <c r="C3358" s="8" t="s">
        <v>3791</v>
      </c>
      <c r="D3358" s="8" t="s">
        <v>177</v>
      </c>
      <c r="E3358" s="52">
        <v>687</v>
      </c>
      <c r="F3358" s="13">
        <v>125.5</v>
      </c>
      <c r="G3358" s="13"/>
    </row>
    <row r="3359" spans="1:7" hidden="1" x14ac:dyDescent="0.75">
      <c r="A3359" s="51">
        <v>44930</v>
      </c>
      <c r="B3359" s="52">
        <v>55</v>
      </c>
      <c r="C3359" s="8" t="s">
        <v>3792</v>
      </c>
      <c r="D3359" s="8" t="s">
        <v>177</v>
      </c>
      <c r="E3359" s="52">
        <v>688</v>
      </c>
      <c r="F3359" s="13">
        <v>171.5</v>
      </c>
      <c r="G3359" s="13"/>
    </row>
    <row r="3360" spans="1:7" hidden="1" x14ac:dyDescent="0.75">
      <c r="A3360" s="51">
        <v>44930</v>
      </c>
      <c r="B3360" s="52">
        <v>55</v>
      </c>
      <c r="C3360" s="8" t="s">
        <v>3793</v>
      </c>
      <c r="D3360" s="8" t="s">
        <v>177</v>
      </c>
      <c r="E3360" s="52">
        <v>696</v>
      </c>
      <c r="F3360" s="13">
        <v>36</v>
      </c>
      <c r="G3360" s="13"/>
    </row>
    <row r="3361" spans="1:7" hidden="1" x14ac:dyDescent="0.75">
      <c r="A3361" s="51">
        <v>44930</v>
      </c>
      <c r="B3361" s="52">
        <v>55</v>
      </c>
      <c r="C3361" s="8" t="s">
        <v>3794</v>
      </c>
      <c r="D3361" s="8" t="s">
        <v>177</v>
      </c>
      <c r="E3361" s="52">
        <v>690</v>
      </c>
      <c r="F3361" s="13">
        <v>889</v>
      </c>
      <c r="G3361" s="13"/>
    </row>
    <row r="3362" spans="1:7" hidden="1" x14ac:dyDescent="0.75">
      <c r="A3362" s="51">
        <v>44930</v>
      </c>
      <c r="B3362" s="52">
        <v>55</v>
      </c>
      <c r="C3362" s="8" t="s">
        <v>3795</v>
      </c>
      <c r="D3362" s="8" t="s">
        <v>177</v>
      </c>
      <c r="E3362" s="52">
        <v>692</v>
      </c>
      <c r="F3362" s="13">
        <v>426</v>
      </c>
      <c r="G3362" s="13"/>
    </row>
    <row r="3363" spans="1:7" hidden="1" x14ac:dyDescent="0.75">
      <c r="A3363" s="51">
        <v>44930</v>
      </c>
      <c r="B3363" s="52">
        <v>55</v>
      </c>
      <c r="C3363" s="8" t="s">
        <v>3796</v>
      </c>
      <c r="D3363" s="8" t="s">
        <v>177</v>
      </c>
      <c r="E3363" s="52">
        <v>1406</v>
      </c>
      <c r="F3363" s="13">
        <v>1023.5</v>
      </c>
      <c r="G3363" s="13"/>
    </row>
    <row r="3364" spans="1:7" hidden="1" x14ac:dyDescent="0.75">
      <c r="A3364" s="51">
        <v>44930</v>
      </c>
      <c r="B3364" s="52">
        <v>55</v>
      </c>
      <c r="C3364" s="8" t="s">
        <v>3797</v>
      </c>
      <c r="D3364" s="8" t="s">
        <v>177</v>
      </c>
      <c r="E3364" s="52">
        <v>748</v>
      </c>
      <c r="F3364" s="13">
        <v>1386.4</v>
      </c>
      <c r="G3364" s="13"/>
    </row>
    <row r="3365" spans="1:7" hidden="1" x14ac:dyDescent="0.75">
      <c r="A3365" s="51">
        <v>44930</v>
      </c>
      <c r="B3365" s="52">
        <v>55</v>
      </c>
      <c r="C3365" s="8" t="s">
        <v>3798</v>
      </c>
      <c r="D3365" s="8" t="s">
        <v>177</v>
      </c>
      <c r="E3365" s="52">
        <v>771</v>
      </c>
      <c r="F3365" s="13">
        <v>560</v>
      </c>
      <c r="G3365" s="13"/>
    </row>
    <row r="3366" spans="1:7" hidden="1" x14ac:dyDescent="0.75">
      <c r="A3366" s="51">
        <v>44930</v>
      </c>
      <c r="B3366" s="52">
        <v>55</v>
      </c>
      <c r="C3366" s="8" t="s">
        <v>3799</v>
      </c>
      <c r="D3366" s="8" t="s">
        <v>177</v>
      </c>
      <c r="E3366" s="52">
        <v>697</v>
      </c>
      <c r="F3366" s="13">
        <v>1400</v>
      </c>
      <c r="G3366" s="13"/>
    </row>
    <row r="3367" spans="1:7" hidden="1" x14ac:dyDescent="0.75">
      <c r="A3367" s="51">
        <v>44930</v>
      </c>
      <c r="B3367" s="52">
        <v>55</v>
      </c>
      <c r="C3367" s="8" t="s">
        <v>3800</v>
      </c>
      <c r="D3367" s="8" t="s">
        <v>177</v>
      </c>
      <c r="E3367" s="52">
        <v>1366</v>
      </c>
      <c r="F3367" s="13">
        <v>760</v>
      </c>
      <c r="G3367" s="13"/>
    </row>
    <row r="3368" spans="1:7" hidden="1" x14ac:dyDescent="0.75">
      <c r="A3368" s="51">
        <v>44930</v>
      </c>
      <c r="B3368" s="52">
        <v>55</v>
      </c>
      <c r="C3368" s="8" t="s">
        <v>3801</v>
      </c>
      <c r="D3368" s="8" t="s">
        <v>177</v>
      </c>
      <c r="E3368" s="52">
        <v>1366</v>
      </c>
      <c r="F3368" s="13">
        <v>210</v>
      </c>
      <c r="G3368" s="13"/>
    </row>
    <row r="3369" spans="1:7" hidden="1" x14ac:dyDescent="0.75">
      <c r="A3369" s="51">
        <v>44930</v>
      </c>
      <c r="B3369" s="52">
        <v>55</v>
      </c>
      <c r="C3369" s="8" t="s">
        <v>3802</v>
      </c>
      <c r="D3369" s="8" t="s">
        <v>177</v>
      </c>
      <c r="E3369" s="52">
        <v>1366</v>
      </c>
      <c r="F3369" s="13">
        <v>420</v>
      </c>
      <c r="G3369" s="13"/>
    </row>
    <row r="3370" spans="1:7" hidden="1" x14ac:dyDescent="0.75">
      <c r="A3370" s="51">
        <v>44930</v>
      </c>
      <c r="B3370" s="52">
        <v>55</v>
      </c>
      <c r="C3370" s="8" t="s">
        <v>3803</v>
      </c>
      <c r="D3370" s="8" t="s">
        <v>177</v>
      </c>
      <c r="E3370" s="52">
        <v>774</v>
      </c>
      <c r="F3370" s="13">
        <v>1352</v>
      </c>
      <c r="G3370" s="13"/>
    </row>
    <row r="3371" spans="1:7" hidden="1" x14ac:dyDescent="0.75">
      <c r="A3371" s="51">
        <v>44930</v>
      </c>
      <c r="B3371" s="52">
        <v>55</v>
      </c>
      <c r="C3371" s="8" t="s">
        <v>3804</v>
      </c>
      <c r="D3371" s="8" t="s">
        <v>177</v>
      </c>
      <c r="E3371" s="52">
        <v>874</v>
      </c>
      <c r="F3371" s="13">
        <v>1089.0999999999999</v>
      </c>
      <c r="G3371" s="13"/>
    </row>
    <row r="3372" spans="1:7" hidden="1" x14ac:dyDescent="0.75">
      <c r="A3372" s="51">
        <v>44930</v>
      </c>
      <c r="B3372" s="52">
        <v>55</v>
      </c>
      <c r="C3372" s="8" t="s">
        <v>3805</v>
      </c>
      <c r="D3372" s="8" t="s">
        <v>177</v>
      </c>
      <c r="E3372" s="52">
        <v>874</v>
      </c>
      <c r="F3372" s="13">
        <v>847.65</v>
      </c>
      <c r="G3372" s="13"/>
    </row>
    <row r="3373" spans="1:7" hidden="1" x14ac:dyDescent="0.75">
      <c r="A3373" s="51">
        <v>44930</v>
      </c>
      <c r="B3373" s="52">
        <v>55</v>
      </c>
      <c r="C3373" s="8" t="s">
        <v>3806</v>
      </c>
      <c r="D3373" s="8" t="s">
        <v>177</v>
      </c>
      <c r="E3373" s="52">
        <v>1684</v>
      </c>
      <c r="F3373" s="13">
        <v>232.2</v>
      </c>
      <c r="G3373" s="13"/>
    </row>
    <row r="3374" spans="1:7" hidden="1" x14ac:dyDescent="0.75">
      <c r="A3374" s="51">
        <v>44930</v>
      </c>
      <c r="B3374" s="52">
        <v>55</v>
      </c>
      <c r="C3374" s="8" t="s">
        <v>3807</v>
      </c>
      <c r="D3374" s="8" t="s">
        <v>177</v>
      </c>
      <c r="E3374" s="52">
        <v>697</v>
      </c>
      <c r="F3374" s="13"/>
      <c r="G3374" s="13">
        <v>16</v>
      </c>
    </row>
    <row r="3375" spans="1:7" hidden="1" x14ac:dyDescent="0.75">
      <c r="A3375" s="51">
        <v>44930</v>
      </c>
      <c r="B3375" s="52">
        <v>55</v>
      </c>
      <c r="C3375" s="8" t="s">
        <v>3808</v>
      </c>
      <c r="D3375" s="8" t="s">
        <v>177</v>
      </c>
      <c r="E3375" s="52">
        <v>1646</v>
      </c>
      <c r="F3375" s="13"/>
      <c r="G3375" s="13">
        <v>306.86</v>
      </c>
    </row>
    <row r="3376" spans="1:7" hidden="1" x14ac:dyDescent="0.75">
      <c r="A3376" s="51">
        <v>44930</v>
      </c>
      <c r="B3376" s="52">
        <v>55</v>
      </c>
      <c r="C3376" s="8" t="s">
        <v>3809</v>
      </c>
      <c r="D3376" s="8" t="s">
        <v>177</v>
      </c>
      <c r="E3376" s="52">
        <v>1646</v>
      </c>
      <c r="F3376" s="13"/>
      <c r="G3376" s="13">
        <v>243.23</v>
      </c>
    </row>
    <row r="3377" spans="1:7" hidden="1" x14ac:dyDescent="0.75">
      <c r="A3377" s="51">
        <v>44930</v>
      </c>
      <c r="B3377" s="52">
        <v>55</v>
      </c>
      <c r="C3377" s="8" t="s">
        <v>3810</v>
      </c>
      <c r="D3377" s="8" t="s">
        <v>177</v>
      </c>
      <c r="E3377" s="52">
        <v>1646</v>
      </c>
      <c r="F3377" s="13"/>
      <c r="G3377" s="13">
        <v>420.35</v>
      </c>
    </row>
    <row r="3378" spans="1:7" hidden="1" x14ac:dyDescent="0.75">
      <c r="A3378" s="51">
        <v>44930</v>
      </c>
      <c r="B3378" s="52">
        <v>55</v>
      </c>
      <c r="C3378" s="8" t="s">
        <v>3811</v>
      </c>
      <c r="D3378" s="8" t="s">
        <v>177</v>
      </c>
      <c r="E3378" s="52">
        <v>1646</v>
      </c>
      <c r="F3378" s="13"/>
      <c r="G3378" s="13">
        <v>32.799999999999997</v>
      </c>
    </row>
    <row r="3379" spans="1:7" hidden="1" x14ac:dyDescent="0.75">
      <c r="A3379" s="51">
        <v>44931</v>
      </c>
      <c r="B3379" s="52">
        <v>55</v>
      </c>
      <c r="C3379" s="8" t="s">
        <v>3812</v>
      </c>
      <c r="D3379" s="8" t="s">
        <v>177</v>
      </c>
      <c r="E3379" s="52">
        <v>687</v>
      </c>
      <c r="F3379" s="13">
        <v>166.2</v>
      </c>
      <c r="G3379" s="13"/>
    </row>
    <row r="3380" spans="1:7" hidden="1" x14ac:dyDescent="0.75">
      <c r="A3380" s="51">
        <v>44931</v>
      </c>
      <c r="B3380" s="52">
        <v>55</v>
      </c>
      <c r="C3380" s="8" t="s">
        <v>3813</v>
      </c>
      <c r="D3380" s="8" t="s">
        <v>177</v>
      </c>
      <c r="E3380" s="52">
        <v>686</v>
      </c>
      <c r="F3380" s="13">
        <v>508.4</v>
      </c>
      <c r="G3380" s="13"/>
    </row>
    <row r="3381" spans="1:7" hidden="1" x14ac:dyDescent="0.75">
      <c r="A3381" s="51">
        <v>44931</v>
      </c>
      <c r="B3381" s="52">
        <v>55</v>
      </c>
      <c r="C3381" s="8" t="s">
        <v>3814</v>
      </c>
      <c r="D3381" s="8" t="s">
        <v>177</v>
      </c>
      <c r="E3381" s="52">
        <v>688</v>
      </c>
      <c r="F3381" s="13">
        <v>1160.75</v>
      </c>
      <c r="G3381" s="13"/>
    </row>
    <row r="3382" spans="1:7" hidden="1" x14ac:dyDescent="0.75">
      <c r="A3382" s="51">
        <v>44931</v>
      </c>
      <c r="B3382" s="52">
        <v>55</v>
      </c>
      <c r="C3382" s="8" t="s">
        <v>3815</v>
      </c>
      <c r="D3382" s="8" t="s">
        <v>177</v>
      </c>
      <c r="E3382" s="52">
        <v>690</v>
      </c>
      <c r="F3382" s="13">
        <v>1158.0999999999999</v>
      </c>
      <c r="G3382" s="13"/>
    </row>
    <row r="3383" spans="1:7" hidden="1" x14ac:dyDescent="0.75">
      <c r="A3383" s="51">
        <v>44931</v>
      </c>
      <c r="B3383" s="52">
        <v>55</v>
      </c>
      <c r="C3383" s="8" t="s">
        <v>3816</v>
      </c>
      <c r="D3383" s="8" t="s">
        <v>177</v>
      </c>
      <c r="E3383" s="52">
        <v>696</v>
      </c>
      <c r="F3383" s="13">
        <v>51</v>
      </c>
      <c r="G3383" s="13"/>
    </row>
    <row r="3384" spans="1:7" hidden="1" x14ac:dyDescent="0.75">
      <c r="A3384" s="51">
        <v>44931</v>
      </c>
      <c r="B3384" s="52">
        <v>55</v>
      </c>
      <c r="C3384" s="8" t="s">
        <v>3817</v>
      </c>
      <c r="D3384" s="8" t="s">
        <v>177</v>
      </c>
      <c r="E3384" s="52">
        <v>973</v>
      </c>
      <c r="F3384" s="13">
        <v>7</v>
      </c>
      <c r="G3384" s="13"/>
    </row>
    <row r="3385" spans="1:7" hidden="1" x14ac:dyDescent="0.75">
      <c r="A3385" s="51">
        <v>44931</v>
      </c>
      <c r="B3385" s="52">
        <v>55</v>
      </c>
      <c r="C3385" s="8" t="s">
        <v>3818</v>
      </c>
      <c r="D3385" s="8" t="s">
        <v>177</v>
      </c>
      <c r="E3385" s="52">
        <v>973</v>
      </c>
      <c r="F3385" s="13">
        <v>63.8</v>
      </c>
      <c r="G3385" s="13"/>
    </row>
    <row r="3386" spans="1:7" hidden="1" x14ac:dyDescent="0.75">
      <c r="A3386" s="51">
        <v>44931</v>
      </c>
      <c r="B3386" s="52">
        <v>55</v>
      </c>
      <c r="C3386" s="8" t="s">
        <v>3819</v>
      </c>
      <c r="D3386" s="8" t="s">
        <v>177</v>
      </c>
      <c r="E3386" s="52">
        <v>694</v>
      </c>
      <c r="F3386" s="13">
        <v>579.6</v>
      </c>
      <c r="G3386" s="13"/>
    </row>
    <row r="3387" spans="1:7" hidden="1" x14ac:dyDescent="0.75">
      <c r="A3387" s="51">
        <v>44931</v>
      </c>
      <c r="B3387" s="52">
        <v>55</v>
      </c>
      <c r="C3387" s="8" t="s">
        <v>3820</v>
      </c>
      <c r="D3387" s="8" t="s">
        <v>177</v>
      </c>
      <c r="E3387" s="52">
        <v>1405</v>
      </c>
      <c r="F3387" s="13">
        <v>1643.2</v>
      </c>
      <c r="G3387" s="13"/>
    </row>
    <row r="3388" spans="1:7" hidden="1" x14ac:dyDescent="0.75">
      <c r="A3388" s="51">
        <v>44931</v>
      </c>
      <c r="B3388" s="52">
        <v>55</v>
      </c>
      <c r="C3388" s="8" t="s">
        <v>3821</v>
      </c>
      <c r="D3388" s="8" t="s">
        <v>177</v>
      </c>
      <c r="E3388" s="52">
        <v>703</v>
      </c>
      <c r="F3388" s="13">
        <v>80</v>
      </c>
      <c r="G3388" s="13"/>
    </row>
    <row r="3389" spans="1:7" hidden="1" x14ac:dyDescent="0.75">
      <c r="A3389" s="51">
        <v>44931</v>
      </c>
      <c r="B3389" s="52">
        <v>55</v>
      </c>
      <c r="C3389" s="8" t="s">
        <v>3822</v>
      </c>
      <c r="D3389" s="8" t="s">
        <v>177</v>
      </c>
      <c r="E3389" s="52">
        <v>1503</v>
      </c>
      <c r="F3389" s="13">
        <v>1365</v>
      </c>
      <c r="G3389" s="13"/>
    </row>
    <row r="3390" spans="1:7" hidden="1" x14ac:dyDescent="0.75">
      <c r="A3390" s="51">
        <v>44931</v>
      </c>
      <c r="B3390" s="52">
        <v>55</v>
      </c>
      <c r="C3390" s="8" t="s">
        <v>3823</v>
      </c>
      <c r="D3390" s="8" t="s">
        <v>177</v>
      </c>
      <c r="E3390" s="52">
        <v>1518</v>
      </c>
      <c r="F3390" s="13">
        <v>40.5</v>
      </c>
      <c r="G3390" s="13"/>
    </row>
    <row r="3391" spans="1:7" hidden="1" x14ac:dyDescent="0.75">
      <c r="A3391" s="51">
        <v>44931</v>
      </c>
      <c r="B3391" s="52">
        <v>55</v>
      </c>
      <c r="C3391" s="8" t="s">
        <v>3824</v>
      </c>
      <c r="D3391" s="8" t="s">
        <v>177</v>
      </c>
      <c r="E3391" s="52">
        <v>1558</v>
      </c>
      <c r="F3391" s="13">
        <v>311.25</v>
      </c>
      <c r="G3391" s="13"/>
    </row>
    <row r="3392" spans="1:7" hidden="1" x14ac:dyDescent="0.75">
      <c r="A3392" s="51">
        <v>44931</v>
      </c>
      <c r="B3392" s="52">
        <v>55</v>
      </c>
      <c r="C3392" s="8" t="s">
        <v>3825</v>
      </c>
      <c r="D3392" s="8" t="s">
        <v>177</v>
      </c>
      <c r="E3392" s="52">
        <v>689</v>
      </c>
      <c r="F3392" s="13">
        <v>1671.2</v>
      </c>
      <c r="G3392" s="13"/>
    </row>
    <row r="3393" spans="1:7" hidden="1" x14ac:dyDescent="0.75">
      <c r="A3393" s="51">
        <v>44931</v>
      </c>
      <c r="B3393" s="52">
        <v>55</v>
      </c>
      <c r="C3393" s="8" t="s">
        <v>3826</v>
      </c>
      <c r="D3393" s="8" t="s">
        <v>177</v>
      </c>
      <c r="E3393" s="52">
        <v>1794</v>
      </c>
      <c r="F3393" s="13">
        <v>610</v>
      </c>
      <c r="G3393" s="13"/>
    </row>
    <row r="3394" spans="1:7" hidden="1" x14ac:dyDescent="0.75">
      <c r="A3394" s="51">
        <v>44931</v>
      </c>
      <c r="B3394" s="52">
        <v>55</v>
      </c>
      <c r="C3394" s="8" t="s">
        <v>3827</v>
      </c>
      <c r="D3394" s="8" t="s">
        <v>177</v>
      </c>
      <c r="E3394" s="52">
        <v>748</v>
      </c>
      <c r="F3394" s="13">
        <v>1210</v>
      </c>
      <c r="G3394" s="13"/>
    </row>
    <row r="3395" spans="1:7" hidden="1" x14ac:dyDescent="0.75">
      <c r="A3395" s="51">
        <v>44931</v>
      </c>
      <c r="B3395" s="52">
        <v>55</v>
      </c>
      <c r="C3395" s="8" t="s">
        <v>3828</v>
      </c>
      <c r="D3395" s="8" t="s">
        <v>177</v>
      </c>
      <c r="E3395" s="52">
        <v>1350</v>
      </c>
      <c r="F3395" s="13">
        <v>220</v>
      </c>
      <c r="G3395" s="13"/>
    </row>
    <row r="3396" spans="1:7" hidden="1" x14ac:dyDescent="0.75">
      <c r="A3396" s="51">
        <v>44931</v>
      </c>
      <c r="B3396" s="52">
        <v>55</v>
      </c>
      <c r="C3396" s="8" t="s">
        <v>3829</v>
      </c>
      <c r="D3396" s="8" t="s">
        <v>177</v>
      </c>
      <c r="E3396" s="52">
        <v>1350</v>
      </c>
      <c r="F3396" s="13">
        <v>110</v>
      </c>
      <c r="G3396" s="13"/>
    </row>
    <row r="3397" spans="1:7" hidden="1" x14ac:dyDescent="0.75">
      <c r="A3397" s="51">
        <v>44931</v>
      </c>
      <c r="B3397" s="52">
        <v>55</v>
      </c>
      <c r="C3397" s="8" t="s">
        <v>3830</v>
      </c>
      <c r="D3397" s="8" t="s">
        <v>177</v>
      </c>
      <c r="E3397" s="52">
        <v>754</v>
      </c>
      <c r="F3397" s="13">
        <v>644</v>
      </c>
      <c r="G3397" s="13"/>
    </row>
    <row r="3398" spans="1:7" hidden="1" x14ac:dyDescent="0.75">
      <c r="A3398" s="51">
        <v>44931</v>
      </c>
      <c r="B3398" s="52">
        <v>55</v>
      </c>
      <c r="C3398" s="8" t="s">
        <v>3831</v>
      </c>
      <c r="D3398" s="8" t="s">
        <v>177</v>
      </c>
      <c r="E3398" s="52">
        <v>769</v>
      </c>
      <c r="F3398" s="13">
        <v>880</v>
      </c>
      <c r="G3398" s="13"/>
    </row>
    <row r="3399" spans="1:7" hidden="1" x14ac:dyDescent="0.75">
      <c r="A3399" s="51">
        <v>44931</v>
      </c>
      <c r="B3399" s="52">
        <v>55</v>
      </c>
      <c r="C3399" s="8" t="s">
        <v>3832</v>
      </c>
      <c r="D3399" s="8" t="s">
        <v>177</v>
      </c>
      <c r="E3399" s="52">
        <v>774</v>
      </c>
      <c r="F3399" s="13">
        <v>982.5</v>
      </c>
      <c r="G3399" s="13"/>
    </row>
    <row r="3400" spans="1:7" hidden="1" x14ac:dyDescent="0.75">
      <c r="A3400" s="51">
        <v>44931</v>
      </c>
      <c r="B3400" s="52">
        <v>55</v>
      </c>
      <c r="C3400" s="8" t="s">
        <v>3833</v>
      </c>
      <c r="D3400" s="8" t="s">
        <v>177</v>
      </c>
      <c r="E3400" s="52">
        <v>1534</v>
      </c>
      <c r="F3400" s="13">
        <v>1362.32</v>
      </c>
      <c r="G3400" s="13"/>
    </row>
    <row r="3401" spans="1:7" hidden="1" x14ac:dyDescent="0.75">
      <c r="A3401" s="51">
        <v>44931</v>
      </c>
      <c r="B3401" s="52">
        <v>55</v>
      </c>
      <c r="C3401" s="8" t="s">
        <v>3834</v>
      </c>
      <c r="D3401" s="8" t="s">
        <v>177</v>
      </c>
      <c r="E3401" s="52">
        <v>1684</v>
      </c>
      <c r="F3401" s="13">
        <v>251</v>
      </c>
      <c r="G3401" s="13"/>
    </row>
    <row r="3402" spans="1:7" hidden="1" x14ac:dyDescent="0.75">
      <c r="A3402" s="51">
        <v>44931</v>
      </c>
      <c r="B3402" s="52">
        <v>55</v>
      </c>
      <c r="C3402" s="8" t="s">
        <v>3835</v>
      </c>
      <c r="D3402" s="8" t="s">
        <v>177</v>
      </c>
      <c r="E3402" s="52">
        <v>1721</v>
      </c>
      <c r="F3402" s="13">
        <v>2385</v>
      </c>
      <c r="G3402" s="13"/>
    </row>
    <row r="3403" spans="1:7" hidden="1" x14ac:dyDescent="0.75">
      <c r="A3403" s="51">
        <v>44931</v>
      </c>
      <c r="B3403" s="52">
        <v>55</v>
      </c>
      <c r="C3403" s="8" t="s">
        <v>3836</v>
      </c>
      <c r="D3403" s="8" t="s">
        <v>177</v>
      </c>
      <c r="E3403" s="52">
        <v>1646</v>
      </c>
      <c r="F3403" s="13"/>
      <c r="G3403" s="13">
        <v>194.05</v>
      </c>
    </row>
    <row r="3404" spans="1:7" hidden="1" x14ac:dyDescent="0.75">
      <c r="A3404" s="51">
        <v>44932</v>
      </c>
      <c r="B3404" s="52">
        <v>55</v>
      </c>
      <c r="C3404" s="8" t="s">
        <v>3837</v>
      </c>
      <c r="D3404" s="8" t="s">
        <v>177</v>
      </c>
      <c r="E3404" s="52">
        <v>686</v>
      </c>
      <c r="F3404" s="13">
        <v>120</v>
      </c>
      <c r="G3404" s="13"/>
    </row>
    <row r="3405" spans="1:7" hidden="1" x14ac:dyDescent="0.75">
      <c r="A3405" s="51">
        <v>44932</v>
      </c>
      <c r="B3405" s="52">
        <v>55</v>
      </c>
      <c r="C3405" s="8" t="s">
        <v>3838</v>
      </c>
      <c r="D3405" s="8" t="s">
        <v>177</v>
      </c>
      <c r="E3405" s="52">
        <v>687</v>
      </c>
      <c r="F3405" s="13">
        <v>66.599999999999994</v>
      </c>
      <c r="G3405" s="13"/>
    </row>
    <row r="3406" spans="1:7" hidden="1" x14ac:dyDescent="0.75">
      <c r="A3406" s="51">
        <v>44932</v>
      </c>
      <c r="B3406" s="52">
        <v>55</v>
      </c>
      <c r="C3406" s="8" t="s">
        <v>3839</v>
      </c>
      <c r="D3406" s="8" t="s">
        <v>177</v>
      </c>
      <c r="E3406" s="52">
        <v>688</v>
      </c>
      <c r="F3406" s="13">
        <v>712.5</v>
      </c>
      <c r="G3406" s="13"/>
    </row>
    <row r="3407" spans="1:7" hidden="1" x14ac:dyDescent="0.75">
      <c r="A3407" s="51">
        <v>44932</v>
      </c>
      <c r="B3407" s="52">
        <v>55</v>
      </c>
      <c r="C3407" s="8" t="s">
        <v>3840</v>
      </c>
      <c r="D3407" s="8" t="s">
        <v>177</v>
      </c>
      <c r="E3407" s="52">
        <v>690</v>
      </c>
      <c r="F3407" s="13">
        <v>402.2</v>
      </c>
      <c r="G3407" s="13"/>
    </row>
    <row r="3408" spans="1:7" hidden="1" x14ac:dyDescent="0.75">
      <c r="A3408" s="51">
        <v>44932</v>
      </c>
      <c r="B3408" s="52">
        <v>55</v>
      </c>
      <c r="C3408" s="8" t="s">
        <v>3841</v>
      </c>
      <c r="D3408" s="8" t="s">
        <v>177</v>
      </c>
      <c r="E3408" s="52">
        <v>696</v>
      </c>
      <c r="F3408" s="13">
        <v>36</v>
      </c>
      <c r="G3408" s="13"/>
    </row>
    <row r="3409" spans="1:7" hidden="1" x14ac:dyDescent="0.75">
      <c r="A3409" s="51">
        <v>44932</v>
      </c>
      <c r="B3409" s="52">
        <v>55</v>
      </c>
      <c r="C3409" s="8" t="s">
        <v>3842</v>
      </c>
      <c r="D3409" s="8" t="s">
        <v>177</v>
      </c>
      <c r="E3409" s="52">
        <v>973</v>
      </c>
      <c r="F3409" s="13">
        <v>10.5</v>
      </c>
      <c r="G3409" s="13"/>
    </row>
    <row r="3410" spans="1:7" hidden="1" x14ac:dyDescent="0.75">
      <c r="A3410" s="51">
        <v>44932</v>
      </c>
      <c r="B3410" s="52">
        <v>55</v>
      </c>
      <c r="C3410" s="8" t="s">
        <v>3843</v>
      </c>
      <c r="D3410" s="8" t="s">
        <v>177</v>
      </c>
      <c r="E3410" s="52">
        <v>1405</v>
      </c>
      <c r="F3410" s="13">
        <v>4639.8</v>
      </c>
      <c r="G3410" s="13"/>
    </row>
    <row r="3411" spans="1:7" hidden="1" x14ac:dyDescent="0.75">
      <c r="A3411" s="51">
        <v>44932</v>
      </c>
      <c r="B3411" s="52">
        <v>55</v>
      </c>
      <c r="C3411" s="8" t="s">
        <v>3844</v>
      </c>
      <c r="D3411" s="8" t="s">
        <v>177</v>
      </c>
      <c r="E3411" s="52">
        <v>703</v>
      </c>
      <c r="F3411" s="13">
        <v>40</v>
      </c>
      <c r="G3411" s="13"/>
    </row>
    <row r="3412" spans="1:7" hidden="1" x14ac:dyDescent="0.75">
      <c r="A3412" s="51">
        <v>44932</v>
      </c>
      <c r="B3412" s="52">
        <v>55</v>
      </c>
      <c r="C3412" s="8" t="s">
        <v>3845</v>
      </c>
      <c r="D3412" s="8" t="s">
        <v>177</v>
      </c>
      <c r="E3412" s="52">
        <v>1518</v>
      </c>
      <c r="F3412" s="13">
        <v>7.5</v>
      </c>
      <c r="G3412" s="13"/>
    </row>
    <row r="3413" spans="1:7" hidden="1" x14ac:dyDescent="0.75">
      <c r="A3413" s="51">
        <v>44932</v>
      </c>
      <c r="B3413" s="52">
        <v>55</v>
      </c>
      <c r="C3413" s="8" t="s">
        <v>3846</v>
      </c>
      <c r="D3413" s="8" t="s">
        <v>177</v>
      </c>
      <c r="E3413" s="52">
        <v>692</v>
      </c>
      <c r="F3413" s="13">
        <v>900</v>
      </c>
      <c r="G3413" s="13"/>
    </row>
    <row r="3414" spans="1:7" hidden="1" x14ac:dyDescent="0.75">
      <c r="A3414" s="51">
        <v>44932</v>
      </c>
      <c r="B3414" s="52">
        <v>55</v>
      </c>
      <c r="C3414" s="8" t="s">
        <v>3847</v>
      </c>
      <c r="D3414" s="8" t="s">
        <v>177</v>
      </c>
      <c r="E3414" s="52">
        <v>694</v>
      </c>
      <c r="F3414" s="13">
        <v>904.6</v>
      </c>
      <c r="G3414" s="13"/>
    </row>
    <row r="3415" spans="1:7" hidden="1" x14ac:dyDescent="0.75">
      <c r="A3415" s="51">
        <v>44932</v>
      </c>
      <c r="B3415" s="52">
        <v>55</v>
      </c>
      <c r="C3415" s="8" t="s">
        <v>3848</v>
      </c>
      <c r="D3415" s="8" t="s">
        <v>177</v>
      </c>
      <c r="E3415" s="52">
        <v>695</v>
      </c>
      <c r="F3415" s="13">
        <v>270</v>
      </c>
      <c r="G3415" s="13"/>
    </row>
    <row r="3416" spans="1:7" hidden="1" x14ac:dyDescent="0.75">
      <c r="A3416" s="51">
        <v>44932</v>
      </c>
      <c r="B3416" s="52">
        <v>55</v>
      </c>
      <c r="C3416" s="8" t="s">
        <v>3849</v>
      </c>
      <c r="D3416" s="8" t="s">
        <v>177</v>
      </c>
      <c r="E3416" s="52">
        <v>1794</v>
      </c>
      <c r="F3416" s="13">
        <v>1515</v>
      </c>
      <c r="G3416" s="13"/>
    </row>
    <row r="3417" spans="1:7" hidden="1" x14ac:dyDescent="0.75">
      <c r="A3417" s="51">
        <v>44932</v>
      </c>
      <c r="B3417" s="52">
        <v>55</v>
      </c>
      <c r="C3417" s="8" t="s">
        <v>3850</v>
      </c>
      <c r="D3417" s="8" t="s">
        <v>177</v>
      </c>
      <c r="E3417" s="52">
        <v>1503</v>
      </c>
      <c r="F3417" s="13">
        <v>180</v>
      </c>
      <c r="G3417" s="13"/>
    </row>
    <row r="3418" spans="1:7" hidden="1" x14ac:dyDescent="0.75">
      <c r="A3418" s="51">
        <v>44932</v>
      </c>
      <c r="B3418" s="52">
        <v>55</v>
      </c>
      <c r="C3418" s="8" t="s">
        <v>3851</v>
      </c>
      <c r="D3418" s="8" t="s">
        <v>177</v>
      </c>
      <c r="E3418" s="52">
        <v>1558</v>
      </c>
      <c r="F3418" s="13">
        <v>154.43</v>
      </c>
      <c r="G3418" s="13"/>
    </row>
    <row r="3419" spans="1:7" hidden="1" x14ac:dyDescent="0.75">
      <c r="A3419" s="51">
        <v>44932</v>
      </c>
      <c r="B3419" s="52">
        <v>55</v>
      </c>
      <c r="C3419" s="8" t="s">
        <v>3852</v>
      </c>
      <c r="D3419" s="8" t="s">
        <v>177</v>
      </c>
      <c r="E3419" s="52">
        <v>1406</v>
      </c>
      <c r="F3419" s="13">
        <v>690</v>
      </c>
      <c r="G3419" s="13"/>
    </row>
    <row r="3420" spans="1:7" hidden="1" x14ac:dyDescent="0.75">
      <c r="A3420" s="51">
        <v>44932</v>
      </c>
      <c r="B3420" s="52">
        <v>55</v>
      </c>
      <c r="C3420" s="8" t="s">
        <v>3853</v>
      </c>
      <c r="D3420" s="8" t="s">
        <v>177</v>
      </c>
      <c r="E3420" s="52">
        <v>748</v>
      </c>
      <c r="F3420" s="13">
        <v>649</v>
      </c>
      <c r="G3420" s="13"/>
    </row>
    <row r="3421" spans="1:7" hidden="1" x14ac:dyDescent="0.75">
      <c r="A3421" s="51">
        <v>44932</v>
      </c>
      <c r="B3421" s="52">
        <v>55</v>
      </c>
      <c r="C3421" s="8" t="s">
        <v>3854</v>
      </c>
      <c r="D3421" s="8" t="s">
        <v>177</v>
      </c>
      <c r="E3421" s="52">
        <v>1350</v>
      </c>
      <c r="F3421" s="13">
        <v>110</v>
      </c>
      <c r="G3421" s="13"/>
    </row>
    <row r="3422" spans="1:7" hidden="1" x14ac:dyDescent="0.75">
      <c r="A3422" s="51">
        <v>44932</v>
      </c>
      <c r="B3422" s="52">
        <v>55</v>
      </c>
      <c r="C3422" s="8" t="s">
        <v>3855</v>
      </c>
      <c r="D3422" s="8" t="s">
        <v>177</v>
      </c>
      <c r="E3422" s="52">
        <v>771</v>
      </c>
      <c r="F3422" s="13">
        <v>415</v>
      </c>
      <c r="G3422" s="13"/>
    </row>
    <row r="3423" spans="1:7" hidden="1" x14ac:dyDescent="0.75">
      <c r="A3423" s="51">
        <v>44932</v>
      </c>
      <c r="B3423" s="52">
        <v>55</v>
      </c>
      <c r="C3423" s="8" t="s">
        <v>3856</v>
      </c>
      <c r="D3423" s="8" t="s">
        <v>177</v>
      </c>
      <c r="E3423" s="52">
        <v>754</v>
      </c>
      <c r="F3423" s="13">
        <v>378</v>
      </c>
      <c r="G3423" s="13"/>
    </row>
    <row r="3424" spans="1:7" hidden="1" x14ac:dyDescent="0.75">
      <c r="A3424" s="51">
        <v>44932</v>
      </c>
      <c r="B3424" s="52">
        <v>55</v>
      </c>
      <c r="C3424" s="8" t="s">
        <v>3857</v>
      </c>
      <c r="D3424" s="8" t="s">
        <v>177</v>
      </c>
      <c r="E3424" s="52">
        <v>697</v>
      </c>
      <c r="F3424" s="13">
        <v>725</v>
      </c>
      <c r="G3424" s="13"/>
    </row>
    <row r="3425" spans="1:7" hidden="1" x14ac:dyDescent="0.75">
      <c r="A3425" s="51">
        <v>44932</v>
      </c>
      <c r="B3425" s="52">
        <v>55</v>
      </c>
      <c r="C3425" s="8" t="s">
        <v>3858</v>
      </c>
      <c r="D3425" s="8" t="s">
        <v>177</v>
      </c>
      <c r="E3425" s="52">
        <v>756</v>
      </c>
      <c r="F3425" s="13">
        <v>1260</v>
      </c>
      <c r="G3425" s="13"/>
    </row>
    <row r="3426" spans="1:7" hidden="1" x14ac:dyDescent="0.75">
      <c r="A3426" s="51">
        <v>44932</v>
      </c>
      <c r="B3426" s="52">
        <v>55</v>
      </c>
      <c r="C3426" s="8" t="s">
        <v>3859</v>
      </c>
      <c r="D3426" s="8" t="s">
        <v>177</v>
      </c>
      <c r="E3426" s="52">
        <v>769</v>
      </c>
      <c r="F3426" s="13">
        <v>100</v>
      </c>
      <c r="G3426" s="13"/>
    </row>
    <row r="3427" spans="1:7" hidden="1" x14ac:dyDescent="0.75">
      <c r="A3427" s="51">
        <v>44932</v>
      </c>
      <c r="B3427" s="52">
        <v>55</v>
      </c>
      <c r="C3427" s="8" t="s">
        <v>3860</v>
      </c>
      <c r="D3427" s="8" t="s">
        <v>177</v>
      </c>
      <c r="E3427" s="52">
        <v>1961</v>
      </c>
      <c r="F3427" s="13">
        <v>677.49</v>
      </c>
      <c r="G3427" s="13"/>
    </row>
    <row r="3428" spans="1:7" hidden="1" x14ac:dyDescent="0.75">
      <c r="A3428" s="51">
        <v>44932</v>
      </c>
      <c r="B3428" s="52">
        <v>55</v>
      </c>
      <c r="C3428" s="8" t="s">
        <v>3861</v>
      </c>
      <c r="D3428" s="8" t="s">
        <v>177</v>
      </c>
      <c r="E3428" s="52">
        <v>1365</v>
      </c>
      <c r="F3428" s="13">
        <v>328</v>
      </c>
      <c r="G3428" s="13"/>
    </row>
    <row r="3429" spans="1:7" hidden="1" x14ac:dyDescent="0.75">
      <c r="A3429" s="51">
        <v>44932</v>
      </c>
      <c r="B3429" s="52">
        <v>55</v>
      </c>
      <c r="C3429" s="8" t="s">
        <v>3862</v>
      </c>
      <c r="D3429" s="8" t="s">
        <v>177</v>
      </c>
      <c r="E3429" s="52">
        <v>774</v>
      </c>
      <c r="F3429" s="13">
        <v>1592</v>
      </c>
      <c r="G3429" s="13"/>
    </row>
    <row r="3430" spans="1:7" hidden="1" x14ac:dyDescent="0.75">
      <c r="A3430" s="51">
        <v>44932</v>
      </c>
      <c r="B3430" s="52">
        <v>55</v>
      </c>
      <c r="C3430" s="8" t="s">
        <v>3863</v>
      </c>
      <c r="D3430" s="8" t="s">
        <v>177</v>
      </c>
      <c r="E3430" s="52">
        <v>874</v>
      </c>
      <c r="F3430" s="13">
        <v>1251.9000000000001</v>
      </c>
      <c r="G3430" s="13"/>
    </row>
    <row r="3431" spans="1:7" hidden="1" x14ac:dyDescent="0.75">
      <c r="A3431" s="51">
        <v>44932</v>
      </c>
      <c r="B3431" s="52">
        <v>55</v>
      </c>
      <c r="C3431" s="8" t="s">
        <v>3864</v>
      </c>
      <c r="D3431" s="8" t="s">
        <v>177</v>
      </c>
      <c r="E3431" s="52">
        <v>874</v>
      </c>
      <c r="F3431" s="13">
        <v>1031.5</v>
      </c>
      <c r="G3431" s="13"/>
    </row>
    <row r="3432" spans="1:7" hidden="1" x14ac:dyDescent="0.75">
      <c r="A3432" s="51">
        <v>44932</v>
      </c>
      <c r="B3432" s="52">
        <v>55</v>
      </c>
      <c r="C3432" s="8" t="s">
        <v>3865</v>
      </c>
      <c r="D3432" s="8" t="s">
        <v>177</v>
      </c>
      <c r="E3432" s="52">
        <v>1306</v>
      </c>
      <c r="F3432" s="13">
        <v>1185</v>
      </c>
      <c r="G3432" s="13"/>
    </row>
    <row r="3433" spans="1:7" hidden="1" x14ac:dyDescent="0.75">
      <c r="A3433" s="51">
        <v>44932</v>
      </c>
      <c r="B3433" s="52">
        <v>55</v>
      </c>
      <c r="C3433" s="8" t="s">
        <v>3866</v>
      </c>
      <c r="D3433" s="8" t="s">
        <v>177</v>
      </c>
      <c r="E3433" s="52">
        <v>1306</v>
      </c>
      <c r="F3433" s="13">
        <v>2350</v>
      </c>
      <c r="G3433" s="13"/>
    </row>
    <row r="3434" spans="1:7" hidden="1" x14ac:dyDescent="0.75">
      <c r="A3434" s="51">
        <v>44932</v>
      </c>
      <c r="B3434" s="52">
        <v>55</v>
      </c>
      <c r="C3434" s="8" t="s">
        <v>3867</v>
      </c>
      <c r="D3434" s="8" t="s">
        <v>177</v>
      </c>
      <c r="E3434" s="52">
        <v>1306</v>
      </c>
      <c r="F3434" s="13">
        <v>3235</v>
      </c>
      <c r="G3434" s="13"/>
    </row>
    <row r="3435" spans="1:7" hidden="1" x14ac:dyDescent="0.75">
      <c r="A3435" s="51">
        <v>44932</v>
      </c>
      <c r="B3435" s="52">
        <v>55</v>
      </c>
      <c r="C3435" s="8" t="s">
        <v>3868</v>
      </c>
      <c r="D3435" s="8" t="s">
        <v>177</v>
      </c>
      <c r="E3435" s="52">
        <v>1684</v>
      </c>
      <c r="F3435" s="13">
        <v>259.2</v>
      </c>
      <c r="G3435" s="13"/>
    </row>
    <row r="3436" spans="1:7" hidden="1" x14ac:dyDescent="0.75">
      <c r="A3436" s="51">
        <v>44932</v>
      </c>
      <c r="B3436" s="52">
        <v>55</v>
      </c>
      <c r="C3436" s="8" t="s">
        <v>3869</v>
      </c>
      <c r="D3436" s="8" t="s">
        <v>177</v>
      </c>
      <c r="E3436" s="52">
        <v>1721</v>
      </c>
      <c r="F3436" s="13">
        <v>1515</v>
      </c>
      <c r="G3436" s="13"/>
    </row>
    <row r="3437" spans="1:7" hidden="1" x14ac:dyDescent="0.75">
      <c r="A3437" s="51">
        <v>44932</v>
      </c>
      <c r="B3437" s="52">
        <v>55</v>
      </c>
      <c r="C3437" s="8" t="s">
        <v>3870</v>
      </c>
      <c r="D3437" s="8" t="s">
        <v>177</v>
      </c>
      <c r="E3437" s="52">
        <v>769</v>
      </c>
      <c r="F3437" s="13">
        <v>5076</v>
      </c>
      <c r="G3437" s="13"/>
    </row>
    <row r="3438" spans="1:7" hidden="1" x14ac:dyDescent="0.75">
      <c r="A3438" s="51">
        <v>44932</v>
      </c>
      <c r="B3438" s="52">
        <v>55</v>
      </c>
      <c r="C3438" s="8" t="s">
        <v>3871</v>
      </c>
      <c r="D3438" s="8" t="s">
        <v>177</v>
      </c>
      <c r="E3438" s="52">
        <v>769</v>
      </c>
      <c r="F3438" s="13"/>
      <c r="G3438" s="13">
        <v>100</v>
      </c>
    </row>
    <row r="3439" spans="1:7" hidden="1" x14ac:dyDescent="0.75">
      <c r="A3439" s="51">
        <v>44932</v>
      </c>
      <c r="B3439" s="52">
        <v>55</v>
      </c>
      <c r="C3439" s="8" t="s">
        <v>3872</v>
      </c>
      <c r="D3439" s="8" t="s">
        <v>177</v>
      </c>
      <c r="E3439" s="52">
        <v>1646</v>
      </c>
      <c r="F3439" s="13"/>
      <c r="G3439" s="13">
        <v>226.41</v>
      </c>
    </row>
    <row r="3440" spans="1:7" hidden="1" x14ac:dyDescent="0.75">
      <c r="A3440" s="51">
        <v>44932</v>
      </c>
      <c r="B3440" s="52">
        <v>55</v>
      </c>
      <c r="C3440" s="8" t="s">
        <v>3873</v>
      </c>
      <c r="D3440" s="8" t="s">
        <v>177</v>
      </c>
      <c r="E3440" s="52">
        <v>1646</v>
      </c>
      <c r="F3440" s="13"/>
      <c r="G3440" s="13">
        <v>442.38</v>
      </c>
    </row>
    <row r="3441" spans="1:7" hidden="1" x14ac:dyDescent="0.75">
      <c r="A3441" s="51">
        <v>44932</v>
      </c>
      <c r="B3441" s="52">
        <v>55</v>
      </c>
      <c r="C3441" s="8" t="s">
        <v>3874</v>
      </c>
      <c r="D3441" s="8" t="s">
        <v>177</v>
      </c>
      <c r="E3441" s="52">
        <v>1646</v>
      </c>
      <c r="F3441" s="13"/>
      <c r="G3441" s="13">
        <v>545</v>
      </c>
    </row>
    <row r="3442" spans="1:7" hidden="1" x14ac:dyDescent="0.75">
      <c r="A3442" s="51">
        <v>44932</v>
      </c>
      <c r="B3442" s="52">
        <v>55</v>
      </c>
      <c r="C3442" s="8" t="s">
        <v>3875</v>
      </c>
      <c r="D3442" s="8" t="s">
        <v>177</v>
      </c>
      <c r="E3442" s="52">
        <v>769</v>
      </c>
      <c r="F3442" s="13"/>
      <c r="G3442" s="13">
        <v>110.25</v>
      </c>
    </row>
    <row r="3443" spans="1:7" hidden="1" x14ac:dyDescent="0.75">
      <c r="A3443" s="51">
        <v>44932</v>
      </c>
      <c r="B3443" s="52">
        <v>55</v>
      </c>
      <c r="C3443" s="8" t="s">
        <v>3876</v>
      </c>
      <c r="D3443" s="8" t="s">
        <v>177</v>
      </c>
      <c r="E3443" s="52">
        <v>518</v>
      </c>
      <c r="F3443" s="13"/>
      <c r="G3443" s="13">
        <v>14.95</v>
      </c>
    </row>
    <row r="3444" spans="1:7" hidden="1" x14ac:dyDescent="0.75">
      <c r="A3444" s="51">
        <v>44933</v>
      </c>
      <c r="B3444" s="52">
        <v>55</v>
      </c>
      <c r="C3444" s="8" t="s">
        <v>3877</v>
      </c>
      <c r="D3444" s="8" t="s">
        <v>177</v>
      </c>
      <c r="E3444" s="52">
        <v>973</v>
      </c>
      <c r="F3444" s="13">
        <v>24.2</v>
      </c>
      <c r="G3444" s="13"/>
    </row>
    <row r="3445" spans="1:7" hidden="1" x14ac:dyDescent="0.75">
      <c r="A3445" s="51">
        <v>44933</v>
      </c>
      <c r="B3445" s="52">
        <v>55</v>
      </c>
      <c r="C3445" s="8" t="s">
        <v>3878</v>
      </c>
      <c r="D3445" s="8" t="s">
        <v>177</v>
      </c>
      <c r="E3445" s="52">
        <v>694</v>
      </c>
      <c r="F3445" s="13">
        <v>180.8</v>
      </c>
      <c r="G3445" s="13"/>
    </row>
    <row r="3446" spans="1:7" hidden="1" x14ac:dyDescent="0.75">
      <c r="A3446" s="51">
        <v>44933</v>
      </c>
      <c r="B3446" s="52">
        <v>55</v>
      </c>
      <c r="C3446" s="8" t="s">
        <v>3879</v>
      </c>
      <c r="D3446" s="8" t="s">
        <v>177</v>
      </c>
      <c r="E3446" s="52">
        <v>1405</v>
      </c>
      <c r="F3446" s="13">
        <v>1657.5</v>
      </c>
      <c r="G3446" s="13"/>
    </row>
    <row r="3447" spans="1:7" hidden="1" x14ac:dyDescent="0.75">
      <c r="A3447" s="51">
        <v>44933</v>
      </c>
      <c r="B3447" s="52">
        <v>55</v>
      </c>
      <c r="C3447" s="8" t="s">
        <v>3880</v>
      </c>
      <c r="D3447" s="8" t="s">
        <v>177</v>
      </c>
      <c r="E3447" s="52">
        <v>703</v>
      </c>
      <c r="F3447" s="13">
        <v>90</v>
      </c>
      <c r="G3447" s="13"/>
    </row>
    <row r="3448" spans="1:7" hidden="1" x14ac:dyDescent="0.75">
      <c r="A3448" s="51">
        <v>44933</v>
      </c>
      <c r="B3448" s="52">
        <v>55</v>
      </c>
      <c r="C3448" s="8" t="s">
        <v>3881</v>
      </c>
      <c r="D3448" s="8" t="s">
        <v>177</v>
      </c>
      <c r="E3448" s="52">
        <v>1518</v>
      </c>
      <c r="F3448" s="13">
        <v>9</v>
      </c>
      <c r="G3448" s="13"/>
    </row>
    <row r="3449" spans="1:7" hidden="1" x14ac:dyDescent="0.75">
      <c r="A3449" s="51">
        <v>44933</v>
      </c>
      <c r="B3449" s="52">
        <v>55</v>
      </c>
      <c r="C3449" s="8" t="s">
        <v>3882</v>
      </c>
      <c r="D3449" s="8" t="s">
        <v>177</v>
      </c>
      <c r="E3449" s="52">
        <v>686</v>
      </c>
      <c r="F3449" s="13">
        <v>553.6</v>
      </c>
      <c r="G3449" s="13"/>
    </row>
    <row r="3450" spans="1:7" hidden="1" x14ac:dyDescent="0.75">
      <c r="A3450" s="51">
        <v>44933</v>
      </c>
      <c r="B3450" s="52">
        <v>55</v>
      </c>
      <c r="C3450" s="8" t="s">
        <v>3883</v>
      </c>
      <c r="D3450" s="8" t="s">
        <v>177</v>
      </c>
      <c r="E3450" s="52">
        <v>687</v>
      </c>
      <c r="F3450" s="13">
        <v>165</v>
      </c>
      <c r="G3450" s="13"/>
    </row>
    <row r="3451" spans="1:7" hidden="1" x14ac:dyDescent="0.75">
      <c r="A3451" s="51">
        <v>44933</v>
      </c>
      <c r="B3451" s="52">
        <v>55</v>
      </c>
      <c r="C3451" s="8" t="s">
        <v>3884</v>
      </c>
      <c r="D3451" s="8" t="s">
        <v>177</v>
      </c>
      <c r="E3451" s="52">
        <v>688</v>
      </c>
      <c r="F3451" s="13">
        <v>2163.25</v>
      </c>
      <c r="G3451" s="13"/>
    </row>
    <row r="3452" spans="1:7" hidden="1" x14ac:dyDescent="0.75">
      <c r="A3452" s="51">
        <v>44933</v>
      </c>
      <c r="B3452" s="52">
        <v>55</v>
      </c>
      <c r="C3452" s="8" t="s">
        <v>3885</v>
      </c>
      <c r="D3452" s="8" t="s">
        <v>177</v>
      </c>
      <c r="E3452" s="52">
        <v>690</v>
      </c>
      <c r="F3452" s="13">
        <v>1762.7</v>
      </c>
      <c r="G3452" s="13"/>
    </row>
    <row r="3453" spans="1:7" hidden="1" x14ac:dyDescent="0.75">
      <c r="A3453" s="51">
        <v>44933</v>
      </c>
      <c r="B3453" s="52">
        <v>55</v>
      </c>
      <c r="C3453" s="8" t="s">
        <v>3886</v>
      </c>
      <c r="D3453" s="8" t="s">
        <v>177</v>
      </c>
      <c r="E3453" s="52">
        <v>696</v>
      </c>
      <c r="F3453" s="13">
        <v>70</v>
      </c>
      <c r="G3453" s="13"/>
    </row>
    <row r="3454" spans="1:7" hidden="1" x14ac:dyDescent="0.75">
      <c r="A3454" s="51">
        <v>44933</v>
      </c>
      <c r="B3454" s="52">
        <v>55</v>
      </c>
      <c r="C3454" s="8" t="s">
        <v>3887</v>
      </c>
      <c r="D3454" s="8" t="s">
        <v>177</v>
      </c>
      <c r="E3454" s="52">
        <v>692</v>
      </c>
      <c r="F3454" s="13">
        <v>120</v>
      </c>
      <c r="G3454" s="13"/>
    </row>
    <row r="3455" spans="1:7" hidden="1" x14ac:dyDescent="0.75">
      <c r="A3455" s="51">
        <v>44933</v>
      </c>
      <c r="B3455" s="52">
        <v>55</v>
      </c>
      <c r="C3455" s="8" t="s">
        <v>3888</v>
      </c>
      <c r="D3455" s="8" t="s">
        <v>177</v>
      </c>
      <c r="E3455" s="52">
        <v>689</v>
      </c>
      <c r="F3455" s="13">
        <v>1245.4000000000001</v>
      </c>
      <c r="G3455" s="13"/>
    </row>
    <row r="3456" spans="1:7" hidden="1" x14ac:dyDescent="0.75">
      <c r="A3456" s="51">
        <v>44933</v>
      </c>
      <c r="B3456" s="52">
        <v>55</v>
      </c>
      <c r="C3456" s="8" t="s">
        <v>3889</v>
      </c>
      <c r="D3456" s="8" t="s">
        <v>177</v>
      </c>
      <c r="E3456" s="52">
        <v>1518</v>
      </c>
      <c r="F3456" s="13">
        <v>30</v>
      </c>
      <c r="G3456" s="13"/>
    </row>
    <row r="3457" spans="1:7" hidden="1" x14ac:dyDescent="0.75">
      <c r="A3457" s="51">
        <v>44933</v>
      </c>
      <c r="B3457" s="52">
        <v>55</v>
      </c>
      <c r="C3457" s="8" t="s">
        <v>3890</v>
      </c>
      <c r="D3457" s="8" t="s">
        <v>177</v>
      </c>
      <c r="E3457" s="52">
        <v>687</v>
      </c>
      <c r="F3457" s="13">
        <v>58.3</v>
      </c>
      <c r="G3457" s="13"/>
    </row>
    <row r="3458" spans="1:7" hidden="1" x14ac:dyDescent="0.75">
      <c r="A3458" s="51">
        <v>44933</v>
      </c>
      <c r="B3458" s="52">
        <v>55</v>
      </c>
      <c r="C3458" s="8" t="s">
        <v>3891</v>
      </c>
      <c r="D3458" s="8" t="s">
        <v>177</v>
      </c>
      <c r="E3458" s="52">
        <v>688</v>
      </c>
      <c r="F3458" s="13">
        <v>80</v>
      </c>
      <c r="G3458" s="13"/>
    </row>
    <row r="3459" spans="1:7" hidden="1" x14ac:dyDescent="0.75">
      <c r="A3459" s="51">
        <v>44933</v>
      </c>
      <c r="B3459" s="52">
        <v>55</v>
      </c>
      <c r="C3459" s="8" t="s">
        <v>3892</v>
      </c>
      <c r="D3459" s="8" t="s">
        <v>177</v>
      </c>
      <c r="E3459" s="52">
        <v>690</v>
      </c>
      <c r="F3459" s="13">
        <v>345.5</v>
      </c>
      <c r="G3459" s="13"/>
    </row>
    <row r="3460" spans="1:7" hidden="1" x14ac:dyDescent="0.75">
      <c r="A3460" s="51">
        <v>44933</v>
      </c>
      <c r="B3460" s="52">
        <v>55</v>
      </c>
      <c r="C3460" s="8" t="s">
        <v>3893</v>
      </c>
      <c r="D3460" s="8" t="s">
        <v>177</v>
      </c>
      <c r="E3460" s="52">
        <v>696</v>
      </c>
      <c r="F3460" s="13">
        <v>40</v>
      </c>
      <c r="G3460" s="13"/>
    </row>
    <row r="3461" spans="1:7" hidden="1" x14ac:dyDescent="0.75">
      <c r="A3461" s="51">
        <v>44933</v>
      </c>
      <c r="B3461" s="52">
        <v>55</v>
      </c>
      <c r="C3461" s="8" t="s">
        <v>3894</v>
      </c>
      <c r="D3461" s="8" t="s">
        <v>177</v>
      </c>
      <c r="E3461" s="52">
        <v>688</v>
      </c>
      <c r="F3461" s="13">
        <v>130</v>
      </c>
      <c r="G3461" s="13"/>
    </row>
    <row r="3462" spans="1:7" hidden="1" x14ac:dyDescent="0.75">
      <c r="A3462" s="51">
        <v>44933</v>
      </c>
      <c r="B3462" s="52">
        <v>55</v>
      </c>
      <c r="C3462" s="8" t="s">
        <v>3895</v>
      </c>
      <c r="D3462" s="8" t="s">
        <v>177</v>
      </c>
      <c r="E3462" s="52">
        <v>748</v>
      </c>
      <c r="F3462" s="13">
        <v>600</v>
      </c>
      <c r="G3462" s="13"/>
    </row>
    <row r="3463" spans="1:7" hidden="1" x14ac:dyDescent="0.75">
      <c r="A3463" s="51">
        <v>44933</v>
      </c>
      <c r="B3463" s="52">
        <v>55</v>
      </c>
      <c r="C3463" s="8" t="s">
        <v>3896</v>
      </c>
      <c r="D3463" s="8" t="s">
        <v>177</v>
      </c>
      <c r="E3463" s="52">
        <v>754</v>
      </c>
      <c r="F3463" s="13">
        <v>150</v>
      </c>
      <c r="G3463" s="13"/>
    </row>
    <row r="3464" spans="1:7" hidden="1" x14ac:dyDescent="0.75">
      <c r="A3464" s="51">
        <v>44933</v>
      </c>
      <c r="B3464" s="52">
        <v>55</v>
      </c>
      <c r="C3464" s="8" t="s">
        <v>3897</v>
      </c>
      <c r="D3464" s="8" t="s">
        <v>177</v>
      </c>
      <c r="E3464" s="52">
        <v>1365</v>
      </c>
      <c r="F3464" s="13">
        <v>624</v>
      </c>
      <c r="G3464" s="13"/>
    </row>
    <row r="3465" spans="1:7" hidden="1" x14ac:dyDescent="0.75">
      <c r="A3465" s="51">
        <v>44933</v>
      </c>
      <c r="B3465" s="52">
        <v>55</v>
      </c>
      <c r="C3465" s="8" t="s">
        <v>3898</v>
      </c>
      <c r="D3465" s="8" t="s">
        <v>177</v>
      </c>
      <c r="E3465" s="52">
        <v>1366</v>
      </c>
      <c r="F3465" s="13">
        <v>252</v>
      </c>
      <c r="G3465" s="13"/>
    </row>
    <row r="3466" spans="1:7" hidden="1" x14ac:dyDescent="0.75">
      <c r="A3466" s="51">
        <v>44933</v>
      </c>
      <c r="B3466" s="52">
        <v>55</v>
      </c>
      <c r="C3466" s="8" t="s">
        <v>3899</v>
      </c>
      <c r="D3466" s="8" t="s">
        <v>177</v>
      </c>
      <c r="E3466" s="52">
        <v>1366</v>
      </c>
      <c r="F3466" s="13">
        <v>630</v>
      </c>
      <c r="G3466" s="13"/>
    </row>
    <row r="3467" spans="1:7" hidden="1" x14ac:dyDescent="0.75">
      <c r="A3467" s="51">
        <v>44933</v>
      </c>
      <c r="B3467" s="52">
        <v>55</v>
      </c>
      <c r="C3467" s="8" t="s">
        <v>3900</v>
      </c>
      <c r="D3467" s="8" t="s">
        <v>177</v>
      </c>
      <c r="E3467" s="52">
        <v>1366</v>
      </c>
      <c r="F3467" s="13">
        <v>315</v>
      </c>
      <c r="G3467" s="13"/>
    </row>
    <row r="3468" spans="1:7" hidden="1" x14ac:dyDescent="0.75">
      <c r="A3468" s="51">
        <v>44933</v>
      </c>
      <c r="B3468" s="52">
        <v>55</v>
      </c>
      <c r="C3468" s="8" t="s">
        <v>3901</v>
      </c>
      <c r="D3468" s="8" t="s">
        <v>177</v>
      </c>
      <c r="E3468" s="52">
        <v>774</v>
      </c>
      <c r="F3468" s="13">
        <v>850</v>
      </c>
      <c r="G3468" s="13"/>
    </row>
    <row r="3469" spans="1:7" hidden="1" x14ac:dyDescent="0.75">
      <c r="A3469" s="51">
        <v>44933</v>
      </c>
      <c r="B3469" s="52">
        <v>55</v>
      </c>
      <c r="C3469" s="8" t="s">
        <v>3902</v>
      </c>
      <c r="D3469" s="8" t="s">
        <v>177</v>
      </c>
      <c r="E3469" s="52">
        <v>874</v>
      </c>
      <c r="F3469" s="13">
        <v>60</v>
      </c>
      <c r="G3469" s="13"/>
    </row>
    <row r="3470" spans="1:7" hidden="1" x14ac:dyDescent="0.75">
      <c r="A3470" s="51">
        <v>44933</v>
      </c>
      <c r="B3470" s="52">
        <v>55</v>
      </c>
      <c r="C3470" s="8" t="s">
        <v>3903</v>
      </c>
      <c r="D3470" s="8" t="s">
        <v>177</v>
      </c>
      <c r="E3470" s="52">
        <v>1306</v>
      </c>
      <c r="F3470" s="13">
        <v>1995</v>
      </c>
      <c r="G3470" s="13"/>
    </row>
    <row r="3471" spans="1:7" hidden="1" x14ac:dyDescent="0.75">
      <c r="A3471" s="51">
        <v>44933</v>
      </c>
      <c r="B3471" s="52">
        <v>55</v>
      </c>
      <c r="C3471" s="8" t="s">
        <v>3904</v>
      </c>
      <c r="D3471" s="8" t="s">
        <v>177</v>
      </c>
      <c r="E3471" s="52">
        <v>1684</v>
      </c>
      <c r="F3471" s="13">
        <v>282</v>
      </c>
      <c r="G3471" s="13"/>
    </row>
    <row r="3472" spans="1:7" hidden="1" x14ac:dyDescent="0.75">
      <c r="A3472" s="51">
        <v>44933</v>
      </c>
      <c r="B3472" s="52">
        <v>55</v>
      </c>
      <c r="C3472" s="8" t="s">
        <v>3905</v>
      </c>
      <c r="D3472" s="8" t="s">
        <v>177</v>
      </c>
      <c r="E3472" s="52">
        <v>1721</v>
      </c>
      <c r="F3472" s="13">
        <v>765</v>
      </c>
      <c r="G3472" s="13"/>
    </row>
    <row r="3473" spans="1:7" hidden="1" x14ac:dyDescent="0.75">
      <c r="A3473" s="51">
        <v>44933</v>
      </c>
      <c r="B3473" s="52">
        <v>55</v>
      </c>
      <c r="C3473" s="8" t="s">
        <v>3906</v>
      </c>
      <c r="D3473" s="8" t="s">
        <v>177</v>
      </c>
      <c r="E3473" s="52">
        <v>1979</v>
      </c>
      <c r="F3473" s="13">
        <v>1809</v>
      </c>
      <c r="G3473" s="13"/>
    </row>
    <row r="3474" spans="1:7" hidden="1" x14ac:dyDescent="0.75">
      <c r="A3474" s="51">
        <v>44933</v>
      </c>
      <c r="B3474" s="52">
        <v>55</v>
      </c>
      <c r="C3474" s="8" t="s">
        <v>3907</v>
      </c>
      <c r="D3474" s="8" t="s">
        <v>177</v>
      </c>
      <c r="E3474" s="52">
        <v>1900</v>
      </c>
      <c r="F3474" s="13">
        <v>545</v>
      </c>
      <c r="G3474" s="13"/>
    </row>
    <row r="3475" spans="1:7" hidden="1" x14ac:dyDescent="0.75">
      <c r="A3475" s="51">
        <v>44933</v>
      </c>
      <c r="B3475" s="52">
        <v>55</v>
      </c>
      <c r="C3475" s="8" t="s">
        <v>3908</v>
      </c>
      <c r="D3475" s="8" t="s">
        <v>177</v>
      </c>
      <c r="E3475" s="52">
        <v>769</v>
      </c>
      <c r="F3475" s="13">
        <v>434</v>
      </c>
      <c r="G3475" s="13"/>
    </row>
    <row r="3476" spans="1:7" hidden="1" x14ac:dyDescent="0.75">
      <c r="A3476" s="51">
        <v>44933</v>
      </c>
      <c r="B3476" s="52">
        <v>55</v>
      </c>
      <c r="C3476" s="8" t="s">
        <v>3909</v>
      </c>
      <c r="D3476" s="8" t="s">
        <v>177</v>
      </c>
      <c r="E3476" s="52">
        <v>769</v>
      </c>
      <c r="F3476" s="13">
        <v>3850</v>
      </c>
      <c r="G3476" s="13"/>
    </row>
    <row r="3477" spans="1:7" hidden="1" x14ac:dyDescent="0.75">
      <c r="A3477" s="51">
        <v>44933</v>
      </c>
      <c r="B3477" s="52">
        <v>55</v>
      </c>
      <c r="C3477" s="8" t="s">
        <v>3910</v>
      </c>
      <c r="D3477" s="8" t="s">
        <v>177</v>
      </c>
      <c r="E3477" s="52">
        <v>1306</v>
      </c>
      <c r="F3477" s="13"/>
      <c r="G3477" s="13">
        <v>120</v>
      </c>
    </row>
    <row r="3478" spans="1:7" hidden="1" x14ac:dyDescent="0.75">
      <c r="A3478" s="51">
        <v>44933</v>
      </c>
      <c r="B3478" s="52">
        <v>55</v>
      </c>
      <c r="C3478" s="8" t="s">
        <v>3911</v>
      </c>
      <c r="D3478" s="8" t="s">
        <v>177</v>
      </c>
      <c r="E3478" s="52">
        <v>1646</v>
      </c>
      <c r="F3478" s="13"/>
      <c r="G3478" s="13">
        <v>497.15</v>
      </c>
    </row>
    <row r="3479" spans="1:7" hidden="1" x14ac:dyDescent="0.75">
      <c r="A3479" s="51">
        <v>44933</v>
      </c>
      <c r="B3479" s="52">
        <v>55</v>
      </c>
      <c r="C3479" s="8" t="s">
        <v>3912</v>
      </c>
      <c r="D3479" s="8" t="s">
        <v>177</v>
      </c>
      <c r="E3479" s="52">
        <v>1646</v>
      </c>
      <c r="F3479" s="13"/>
      <c r="G3479" s="13">
        <v>386.81</v>
      </c>
    </row>
    <row r="3480" spans="1:7" hidden="1" x14ac:dyDescent="0.75">
      <c r="A3480" s="51">
        <v>44933</v>
      </c>
      <c r="B3480" s="52">
        <v>55</v>
      </c>
      <c r="C3480" s="8" t="s">
        <v>3913</v>
      </c>
      <c r="D3480" s="8" t="s">
        <v>177</v>
      </c>
      <c r="E3480" s="52">
        <v>1646</v>
      </c>
      <c r="F3480" s="13"/>
      <c r="G3480" s="13">
        <v>319.2</v>
      </c>
    </row>
    <row r="3481" spans="1:7" hidden="1" x14ac:dyDescent="0.75">
      <c r="A3481" s="51">
        <v>44933</v>
      </c>
      <c r="B3481" s="52">
        <v>55</v>
      </c>
      <c r="C3481" s="8" t="s">
        <v>3914</v>
      </c>
      <c r="D3481" s="8" t="s">
        <v>177</v>
      </c>
      <c r="E3481" s="52">
        <v>1646</v>
      </c>
      <c r="F3481" s="13"/>
      <c r="G3481" s="13">
        <v>25</v>
      </c>
    </row>
    <row r="3482" spans="1:7" hidden="1" x14ac:dyDescent="0.75">
      <c r="A3482" s="51">
        <v>44933</v>
      </c>
      <c r="B3482" s="52">
        <v>55</v>
      </c>
      <c r="C3482" s="8" t="s">
        <v>3915</v>
      </c>
      <c r="D3482" s="8" t="s">
        <v>177</v>
      </c>
      <c r="E3482" s="52">
        <v>1646</v>
      </c>
      <c r="F3482" s="13"/>
      <c r="G3482" s="13">
        <v>49</v>
      </c>
    </row>
    <row r="3483" spans="1:7" hidden="1" x14ac:dyDescent="0.75">
      <c r="A3483" s="51">
        <v>44933</v>
      </c>
      <c r="B3483" s="52">
        <v>55</v>
      </c>
      <c r="C3483" s="8" t="s">
        <v>3916</v>
      </c>
      <c r="D3483" s="8" t="s">
        <v>177</v>
      </c>
      <c r="E3483" s="52">
        <v>1646</v>
      </c>
      <c r="F3483" s="13"/>
      <c r="G3483" s="13">
        <v>21.6</v>
      </c>
    </row>
    <row r="3484" spans="1:7" hidden="1" x14ac:dyDescent="0.75">
      <c r="A3484" s="51">
        <v>44933</v>
      </c>
      <c r="B3484" s="52">
        <v>55</v>
      </c>
      <c r="C3484" s="8" t="s">
        <v>3917</v>
      </c>
      <c r="D3484" s="8" t="s">
        <v>177</v>
      </c>
      <c r="E3484" s="52">
        <v>1646</v>
      </c>
      <c r="F3484" s="13"/>
      <c r="G3484" s="13">
        <v>3152.39</v>
      </c>
    </row>
    <row r="3485" spans="1:7" hidden="1" x14ac:dyDescent="0.75">
      <c r="A3485" s="51">
        <v>44935</v>
      </c>
      <c r="B3485" s="52">
        <v>55</v>
      </c>
      <c r="C3485" s="8" t="s">
        <v>3918</v>
      </c>
      <c r="D3485" s="8" t="s">
        <v>177</v>
      </c>
      <c r="E3485" s="52">
        <v>1405</v>
      </c>
      <c r="F3485" s="13">
        <v>1467</v>
      </c>
      <c r="G3485" s="13"/>
    </row>
    <row r="3486" spans="1:7" hidden="1" x14ac:dyDescent="0.75">
      <c r="A3486" s="51">
        <v>44935</v>
      </c>
      <c r="B3486" s="52">
        <v>55</v>
      </c>
      <c r="C3486" s="8" t="s">
        <v>3919</v>
      </c>
      <c r="D3486" s="8" t="s">
        <v>177</v>
      </c>
      <c r="E3486" s="52">
        <v>689</v>
      </c>
      <c r="F3486" s="13">
        <v>932</v>
      </c>
      <c r="G3486" s="13"/>
    </row>
    <row r="3487" spans="1:7" hidden="1" x14ac:dyDescent="0.75">
      <c r="A3487" s="51">
        <v>44935</v>
      </c>
      <c r="B3487" s="52">
        <v>55</v>
      </c>
      <c r="C3487" s="8" t="s">
        <v>3920</v>
      </c>
      <c r="D3487" s="8" t="s">
        <v>177</v>
      </c>
      <c r="E3487" s="52">
        <v>973</v>
      </c>
      <c r="F3487" s="13">
        <v>22.4</v>
      </c>
      <c r="G3487" s="13"/>
    </row>
    <row r="3488" spans="1:7" hidden="1" x14ac:dyDescent="0.75">
      <c r="A3488" s="51">
        <v>44935</v>
      </c>
      <c r="B3488" s="52">
        <v>55</v>
      </c>
      <c r="C3488" s="8" t="s">
        <v>3921</v>
      </c>
      <c r="D3488" s="8" t="s">
        <v>177</v>
      </c>
      <c r="E3488" s="52">
        <v>703</v>
      </c>
      <c r="F3488" s="13">
        <v>150</v>
      </c>
      <c r="G3488" s="13"/>
    </row>
    <row r="3489" spans="1:7" hidden="1" x14ac:dyDescent="0.75">
      <c r="A3489" s="51">
        <v>44935</v>
      </c>
      <c r="B3489" s="52">
        <v>55</v>
      </c>
      <c r="C3489" s="8" t="s">
        <v>3922</v>
      </c>
      <c r="D3489" s="8" t="s">
        <v>177</v>
      </c>
      <c r="E3489" s="52">
        <v>695</v>
      </c>
      <c r="F3489" s="13">
        <v>246</v>
      </c>
      <c r="G3489" s="13"/>
    </row>
    <row r="3490" spans="1:7" hidden="1" x14ac:dyDescent="0.75">
      <c r="A3490" s="51">
        <v>44935</v>
      </c>
      <c r="B3490" s="52">
        <v>55</v>
      </c>
      <c r="C3490" s="8" t="s">
        <v>3923</v>
      </c>
      <c r="D3490" s="8" t="s">
        <v>177</v>
      </c>
      <c r="E3490" s="52">
        <v>1503</v>
      </c>
      <c r="F3490" s="13">
        <v>1488</v>
      </c>
      <c r="G3490" s="13"/>
    </row>
    <row r="3491" spans="1:7" hidden="1" x14ac:dyDescent="0.75">
      <c r="A3491" s="51">
        <v>44935</v>
      </c>
      <c r="B3491" s="52">
        <v>55</v>
      </c>
      <c r="C3491" s="8" t="s">
        <v>3924</v>
      </c>
      <c r="D3491" s="8" t="s">
        <v>177</v>
      </c>
      <c r="E3491" s="52">
        <v>1794</v>
      </c>
      <c r="F3491" s="13">
        <v>1304.2</v>
      </c>
      <c r="G3491" s="13"/>
    </row>
    <row r="3492" spans="1:7" hidden="1" x14ac:dyDescent="0.75">
      <c r="A3492" s="51">
        <v>44935</v>
      </c>
      <c r="B3492" s="52">
        <v>55</v>
      </c>
      <c r="C3492" s="8" t="s">
        <v>3925</v>
      </c>
      <c r="D3492" s="8" t="s">
        <v>177</v>
      </c>
      <c r="E3492" s="52">
        <v>1406</v>
      </c>
      <c r="F3492" s="13">
        <v>887.5</v>
      </c>
      <c r="G3492" s="13"/>
    </row>
    <row r="3493" spans="1:7" hidden="1" x14ac:dyDescent="0.75">
      <c r="A3493" s="51">
        <v>44935</v>
      </c>
      <c r="B3493" s="52">
        <v>55</v>
      </c>
      <c r="C3493" s="8" t="s">
        <v>3926</v>
      </c>
      <c r="D3493" s="8" t="s">
        <v>177</v>
      </c>
      <c r="E3493" s="52">
        <v>1518</v>
      </c>
      <c r="F3493" s="13">
        <v>73.5</v>
      </c>
      <c r="G3493" s="13"/>
    </row>
    <row r="3494" spans="1:7" hidden="1" x14ac:dyDescent="0.75">
      <c r="A3494" s="51">
        <v>44935</v>
      </c>
      <c r="B3494" s="52">
        <v>55</v>
      </c>
      <c r="C3494" s="8" t="s">
        <v>3927</v>
      </c>
      <c r="D3494" s="8" t="s">
        <v>177</v>
      </c>
      <c r="E3494" s="52">
        <v>1405</v>
      </c>
      <c r="F3494" s="13">
        <v>6080.3</v>
      </c>
      <c r="G3494" s="13"/>
    </row>
    <row r="3495" spans="1:7" hidden="1" x14ac:dyDescent="0.75">
      <c r="A3495" s="51">
        <v>44935</v>
      </c>
      <c r="B3495" s="52">
        <v>55</v>
      </c>
      <c r="C3495" s="8" t="s">
        <v>3928</v>
      </c>
      <c r="D3495" s="8" t="s">
        <v>177</v>
      </c>
      <c r="E3495" s="52">
        <v>1898</v>
      </c>
      <c r="F3495" s="13">
        <v>3859.7</v>
      </c>
      <c r="G3495" s="13"/>
    </row>
    <row r="3496" spans="1:7" hidden="1" x14ac:dyDescent="0.75">
      <c r="A3496" s="51">
        <v>44935</v>
      </c>
      <c r="B3496" s="52">
        <v>55</v>
      </c>
      <c r="C3496" s="8" t="s">
        <v>3929</v>
      </c>
      <c r="D3496" s="8" t="s">
        <v>177</v>
      </c>
      <c r="E3496" s="52">
        <v>1898</v>
      </c>
      <c r="F3496" s="13">
        <v>835.7</v>
      </c>
      <c r="G3496" s="13"/>
    </row>
    <row r="3497" spans="1:7" hidden="1" x14ac:dyDescent="0.75">
      <c r="A3497" s="51">
        <v>44935</v>
      </c>
      <c r="B3497" s="52">
        <v>55</v>
      </c>
      <c r="C3497" s="8" t="s">
        <v>3930</v>
      </c>
      <c r="D3497" s="8" t="s">
        <v>177</v>
      </c>
      <c r="E3497" s="52">
        <v>748</v>
      </c>
      <c r="F3497" s="13">
        <v>1028.2</v>
      </c>
      <c r="G3497" s="13"/>
    </row>
    <row r="3498" spans="1:7" hidden="1" x14ac:dyDescent="0.75">
      <c r="A3498" s="51">
        <v>44935</v>
      </c>
      <c r="B3498" s="52">
        <v>55</v>
      </c>
      <c r="C3498" s="8" t="s">
        <v>3931</v>
      </c>
      <c r="D3498" s="8" t="s">
        <v>177</v>
      </c>
      <c r="E3498" s="52">
        <v>1350</v>
      </c>
      <c r="F3498" s="13">
        <v>310</v>
      </c>
      <c r="G3498" s="13"/>
    </row>
    <row r="3499" spans="1:7" hidden="1" x14ac:dyDescent="0.75">
      <c r="A3499" s="51">
        <v>44935</v>
      </c>
      <c r="B3499" s="52">
        <v>55</v>
      </c>
      <c r="C3499" s="8" t="s">
        <v>3932</v>
      </c>
      <c r="D3499" s="8" t="s">
        <v>177</v>
      </c>
      <c r="E3499" s="52">
        <v>1350</v>
      </c>
      <c r="F3499" s="13">
        <v>365</v>
      </c>
      <c r="G3499" s="13"/>
    </row>
    <row r="3500" spans="1:7" hidden="1" x14ac:dyDescent="0.75">
      <c r="A3500" s="51">
        <v>44935</v>
      </c>
      <c r="B3500" s="52">
        <v>55</v>
      </c>
      <c r="C3500" s="8" t="s">
        <v>3933</v>
      </c>
      <c r="D3500" s="8" t="s">
        <v>177</v>
      </c>
      <c r="E3500" s="52">
        <v>771</v>
      </c>
      <c r="F3500" s="13">
        <v>570</v>
      </c>
      <c r="G3500" s="13"/>
    </row>
    <row r="3501" spans="1:7" hidden="1" x14ac:dyDescent="0.75">
      <c r="A3501" s="51">
        <v>44935</v>
      </c>
      <c r="B3501" s="52">
        <v>55</v>
      </c>
      <c r="C3501" s="8" t="s">
        <v>3934</v>
      </c>
      <c r="D3501" s="8" t="s">
        <v>177</v>
      </c>
      <c r="E3501" s="52">
        <v>697</v>
      </c>
      <c r="F3501" s="13">
        <v>1362.5</v>
      </c>
      <c r="G3501" s="13"/>
    </row>
    <row r="3502" spans="1:7" hidden="1" x14ac:dyDescent="0.75">
      <c r="A3502" s="51">
        <v>44935</v>
      </c>
      <c r="B3502" s="52">
        <v>55</v>
      </c>
      <c r="C3502" s="8" t="s">
        <v>3935</v>
      </c>
      <c r="D3502" s="8" t="s">
        <v>177</v>
      </c>
      <c r="E3502" s="52">
        <v>1365</v>
      </c>
      <c r="F3502" s="13">
        <v>385</v>
      </c>
      <c r="G3502" s="13"/>
    </row>
    <row r="3503" spans="1:7" hidden="1" x14ac:dyDescent="0.75">
      <c r="A3503" s="51">
        <v>44935</v>
      </c>
      <c r="B3503" s="52">
        <v>55</v>
      </c>
      <c r="C3503" s="8" t="s">
        <v>3936</v>
      </c>
      <c r="D3503" s="8" t="s">
        <v>177</v>
      </c>
      <c r="E3503" s="52">
        <v>774</v>
      </c>
      <c r="F3503" s="13">
        <v>1598</v>
      </c>
      <c r="G3503" s="13"/>
    </row>
    <row r="3504" spans="1:7" hidden="1" x14ac:dyDescent="0.75">
      <c r="A3504" s="51">
        <v>44935</v>
      </c>
      <c r="B3504" s="52">
        <v>55</v>
      </c>
      <c r="C3504" s="8" t="s">
        <v>3937</v>
      </c>
      <c r="D3504" s="8" t="s">
        <v>177</v>
      </c>
      <c r="E3504" s="52">
        <v>874</v>
      </c>
      <c r="F3504" s="13">
        <v>856.75</v>
      </c>
      <c r="G3504" s="13"/>
    </row>
    <row r="3505" spans="1:7" hidden="1" x14ac:dyDescent="0.75">
      <c r="A3505" s="51">
        <v>44935</v>
      </c>
      <c r="B3505" s="52">
        <v>55</v>
      </c>
      <c r="C3505" s="8" t="s">
        <v>3938</v>
      </c>
      <c r="D3505" s="8" t="s">
        <v>177</v>
      </c>
      <c r="E3505" s="52">
        <v>874</v>
      </c>
      <c r="F3505" s="13">
        <v>845.25</v>
      </c>
      <c r="G3505" s="13"/>
    </row>
    <row r="3506" spans="1:7" hidden="1" x14ac:dyDescent="0.75">
      <c r="A3506" s="51">
        <v>44935</v>
      </c>
      <c r="B3506" s="52">
        <v>55</v>
      </c>
      <c r="C3506" s="8" t="s">
        <v>3939</v>
      </c>
      <c r="D3506" s="8" t="s">
        <v>177</v>
      </c>
      <c r="E3506" s="52">
        <v>1684</v>
      </c>
      <c r="F3506" s="13">
        <v>289.25</v>
      </c>
      <c r="G3506" s="13"/>
    </row>
    <row r="3507" spans="1:7" hidden="1" x14ac:dyDescent="0.75">
      <c r="A3507" s="51">
        <v>44935</v>
      </c>
      <c r="B3507" s="52">
        <v>55</v>
      </c>
      <c r="C3507" s="8" t="s">
        <v>3940</v>
      </c>
      <c r="D3507" s="8" t="s">
        <v>177</v>
      </c>
      <c r="E3507" s="52">
        <v>1721</v>
      </c>
      <c r="F3507" s="13">
        <v>1215</v>
      </c>
      <c r="G3507" s="13"/>
    </row>
    <row r="3508" spans="1:7" hidden="1" x14ac:dyDescent="0.75">
      <c r="A3508" s="51">
        <v>44935</v>
      </c>
      <c r="B3508" s="52">
        <v>55</v>
      </c>
      <c r="C3508" s="8" t="s">
        <v>3941</v>
      </c>
      <c r="D3508" s="8" t="s">
        <v>177</v>
      </c>
      <c r="E3508" s="52">
        <v>1721</v>
      </c>
      <c r="F3508" s="13">
        <v>1215</v>
      </c>
      <c r="G3508" s="13"/>
    </row>
    <row r="3509" spans="1:7" hidden="1" x14ac:dyDescent="0.75">
      <c r="A3509" s="51">
        <v>44935</v>
      </c>
      <c r="B3509" s="52">
        <v>55</v>
      </c>
      <c r="C3509" s="8" t="s">
        <v>3942</v>
      </c>
      <c r="D3509" s="8" t="s">
        <v>177</v>
      </c>
      <c r="E3509" s="52">
        <v>1900</v>
      </c>
      <c r="F3509" s="13">
        <v>1090</v>
      </c>
      <c r="G3509" s="13"/>
    </row>
    <row r="3510" spans="1:7" hidden="1" x14ac:dyDescent="0.75">
      <c r="A3510" s="51">
        <v>44935</v>
      </c>
      <c r="B3510" s="52">
        <v>55</v>
      </c>
      <c r="C3510" s="8" t="s">
        <v>3943</v>
      </c>
      <c r="D3510" s="8" t="s">
        <v>177</v>
      </c>
      <c r="E3510" s="52">
        <v>769</v>
      </c>
      <c r="F3510" s="13">
        <v>4436</v>
      </c>
      <c r="G3510" s="13"/>
    </row>
    <row r="3511" spans="1:7" hidden="1" x14ac:dyDescent="0.75">
      <c r="A3511" s="51">
        <v>44935</v>
      </c>
      <c r="B3511" s="52">
        <v>55</v>
      </c>
      <c r="C3511" s="8" t="s">
        <v>3944</v>
      </c>
      <c r="D3511" s="8" t="s">
        <v>177</v>
      </c>
      <c r="E3511" s="52">
        <v>1646</v>
      </c>
      <c r="F3511" s="13"/>
      <c r="G3511" s="13">
        <v>640</v>
      </c>
    </row>
    <row r="3512" spans="1:7" hidden="1" x14ac:dyDescent="0.75">
      <c r="A3512" s="51">
        <v>44935</v>
      </c>
      <c r="B3512" s="52">
        <v>55</v>
      </c>
      <c r="C3512" s="8" t="s">
        <v>3945</v>
      </c>
      <c r="D3512" s="8" t="s">
        <v>177</v>
      </c>
      <c r="E3512" s="52">
        <v>1646</v>
      </c>
      <c r="F3512" s="13"/>
      <c r="G3512" s="13">
        <v>189</v>
      </c>
    </row>
    <row r="3513" spans="1:7" hidden="1" x14ac:dyDescent="0.75">
      <c r="A3513" s="51">
        <v>44935</v>
      </c>
      <c r="B3513" s="52">
        <v>55</v>
      </c>
      <c r="C3513" s="8" t="s">
        <v>3946</v>
      </c>
      <c r="D3513" s="8" t="s">
        <v>177</v>
      </c>
      <c r="E3513" s="52">
        <v>1646</v>
      </c>
      <c r="F3513" s="13"/>
      <c r="G3513" s="13">
        <v>442.71</v>
      </c>
    </row>
    <row r="3514" spans="1:7" hidden="1" x14ac:dyDescent="0.75">
      <c r="A3514" s="51">
        <v>44935</v>
      </c>
      <c r="B3514" s="52">
        <v>55</v>
      </c>
      <c r="C3514" s="8" t="s">
        <v>3947</v>
      </c>
      <c r="D3514" s="8" t="s">
        <v>177</v>
      </c>
      <c r="E3514" s="52">
        <v>1646</v>
      </c>
      <c r="F3514" s="13"/>
      <c r="G3514" s="13">
        <v>526.76</v>
      </c>
    </row>
    <row r="3515" spans="1:7" hidden="1" x14ac:dyDescent="0.75">
      <c r="A3515" s="51">
        <v>44935</v>
      </c>
      <c r="B3515" s="52">
        <v>55</v>
      </c>
      <c r="C3515" s="8" t="s">
        <v>3948</v>
      </c>
      <c r="D3515" s="8" t="s">
        <v>177</v>
      </c>
      <c r="E3515" s="52">
        <v>769</v>
      </c>
      <c r="F3515" s="13"/>
      <c r="G3515" s="13">
        <v>73.5</v>
      </c>
    </row>
    <row r="3516" spans="1:7" hidden="1" x14ac:dyDescent="0.75">
      <c r="A3516" s="51">
        <v>44935</v>
      </c>
      <c r="B3516" s="52">
        <v>55</v>
      </c>
      <c r="C3516" s="8" t="s">
        <v>3949</v>
      </c>
      <c r="D3516" s="8" t="s">
        <v>177</v>
      </c>
      <c r="E3516" s="52">
        <v>518</v>
      </c>
      <c r="F3516" s="13"/>
      <c r="G3516" s="13">
        <v>13</v>
      </c>
    </row>
    <row r="3517" spans="1:7" hidden="1" x14ac:dyDescent="0.75">
      <c r="A3517" s="51">
        <v>44936</v>
      </c>
      <c r="B3517" s="52">
        <v>55</v>
      </c>
      <c r="C3517" s="8" t="s">
        <v>3950</v>
      </c>
      <c r="D3517" s="8" t="s">
        <v>177</v>
      </c>
      <c r="E3517" s="52">
        <v>687</v>
      </c>
      <c r="F3517" s="13">
        <v>116.5</v>
      </c>
      <c r="G3517" s="13"/>
    </row>
    <row r="3518" spans="1:7" hidden="1" x14ac:dyDescent="0.75">
      <c r="A3518" s="51">
        <v>44936</v>
      </c>
      <c r="B3518" s="52">
        <v>55</v>
      </c>
      <c r="C3518" s="8" t="s">
        <v>3951</v>
      </c>
      <c r="D3518" s="8" t="s">
        <v>177</v>
      </c>
      <c r="E3518" s="52">
        <v>688</v>
      </c>
      <c r="F3518" s="13">
        <v>472.5</v>
      </c>
      <c r="G3518" s="13"/>
    </row>
    <row r="3519" spans="1:7" hidden="1" x14ac:dyDescent="0.75">
      <c r="A3519" s="51">
        <v>44936</v>
      </c>
      <c r="B3519" s="52">
        <v>55</v>
      </c>
      <c r="C3519" s="8" t="s">
        <v>3952</v>
      </c>
      <c r="D3519" s="8" t="s">
        <v>177</v>
      </c>
      <c r="E3519" s="52">
        <v>690</v>
      </c>
      <c r="F3519" s="13">
        <v>979.1</v>
      </c>
      <c r="G3519" s="13"/>
    </row>
    <row r="3520" spans="1:7" hidden="1" x14ac:dyDescent="0.75">
      <c r="A3520" s="51">
        <v>44936</v>
      </c>
      <c r="B3520" s="52">
        <v>55</v>
      </c>
      <c r="C3520" s="8" t="s">
        <v>3953</v>
      </c>
      <c r="D3520" s="8" t="s">
        <v>177</v>
      </c>
      <c r="E3520" s="52">
        <v>696</v>
      </c>
      <c r="F3520" s="13">
        <v>49</v>
      </c>
      <c r="G3520" s="13"/>
    </row>
    <row r="3521" spans="1:7" hidden="1" x14ac:dyDescent="0.75">
      <c r="A3521" s="51">
        <v>44936</v>
      </c>
      <c r="B3521" s="52">
        <v>55</v>
      </c>
      <c r="C3521" s="8" t="s">
        <v>3954</v>
      </c>
      <c r="D3521" s="8" t="s">
        <v>177</v>
      </c>
      <c r="E3521" s="52">
        <v>692</v>
      </c>
      <c r="F3521" s="13">
        <v>500</v>
      </c>
      <c r="G3521" s="13"/>
    </row>
    <row r="3522" spans="1:7" hidden="1" x14ac:dyDescent="0.75">
      <c r="A3522" s="51">
        <v>44936</v>
      </c>
      <c r="B3522" s="52">
        <v>55</v>
      </c>
      <c r="C3522" s="8" t="s">
        <v>3955</v>
      </c>
      <c r="D3522" s="8" t="s">
        <v>177</v>
      </c>
      <c r="E3522" s="52">
        <v>973</v>
      </c>
      <c r="F3522" s="13">
        <v>46.2</v>
      </c>
      <c r="G3522" s="13"/>
    </row>
    <row r="3523" spans="1:7" hidden="1" x14ac:dyDescent="0.75">
      <c r="A3523" s="51">
        <v>44936</v>
      </c>
      <c r="B3523" s="52">
        <v>55</v>
      </c>
      <c r="C3523" s="8" t="s">
        <v>3956</v>
      </c>
      <c r="D3523" s="8" t="s">
        <v>177</v>
      </c>
      <c r="E3523" s="52">
        <v>1405</v>
      </c>
      <c r="F3523" s="13">
        <v>3898.5</v>
      </c>
      <c r="G3523" s="13"/>
    </row>
    <row r="3524" spans="1:7" hidden="1" x14ac:dyDescent="0.75">
      <c r="A3524" s="51">
        <v>44936</v>
      </c>
      <c r="B3524" s="52">
        <v>55</v>
      </c>
      <c r="C3524" s="8" t="s">
        <v>3957</v>
      </c>
      <c r="D3524" s="8" t="s">
        <v>177</v>
      </c>
      <c r="E3524" s="52">
        <v>703</v>
      </c>
      <c r="F3524" s="13">
        <v>90</v>
      </c>
      <c r="G3524" s="13"/>
    </row>
    <row r="3525" spans="1:7" hidden="1" x14ac:dyDescent="0.75">
      <c r="A3525" s="51">
        <v>44936</v>
      </c>
      <c r="B3525" s="52">
        <v>55</v>
      </c>
      <c r="C3525" s="8" t="s">
        <v>3958</v>
      </c>
      <c r="D3525" s="8" t="s">
        <v>177</v>
      </c>
      <c r="E3525" s="52">
        <v>1503</v>
      </c>
      <c r="F3525" s="13">
        <v>930</v>
      </c>
      <c r="G3525" s="13"/>
    </row>
    <row r="3526" spans="1:7" hidden="1" x14ac:dyDescent="0.75">
      <c r="A3526" s="51">
        <v>44936</v>
      </c>
      <c r="B3526" s="52">
        <v>55</v>
      </c>
      <c r="C3526" s="8" t="s">
        <v>3959</v>
      </c>
      <c r="D3526" s="8" t="s">
        <v>177</v>
      </c>
      <c r="E3526" s="52">
        <v>1518</v>
      </c>
      <c r="F3526" s="13">
        <v>19.5</v>
      </c>
      <c r="G3526" s="13"/>
    </row>
    <row r="3527" spans="1:7" hidden="1" x14ac:dyDescent="0.75">
      <c r="A3527" s="51">
        <v>44936</v>
      </c>
      <c r="B3527" s="52">
        <v>55</v>
      </c>
      <c r="C3527" s="8" t="s">
        <v>3960</v>
      </c>
      <c r="D3527" s="8" t="s">
        <v>177</v>
      </c>
      <c r="E3527" s="52">
        <v>1558</v>
      </c>
      <c r="F3527" s="13">
        <v>268.75</v>
      </c>
      <c r="G3527" s="13"/>
    </row>
    <row r="3528" spans="1:7" hidden="1" x14ac:dyDescent="0.75">
      <c r="A3528" s="51">
        <v>44936</v>
      </c>
      <c r="B3528" s="52">
        <v>55</v>
      </c>
      <c r="C3528" s="8" t="s">
        <v>3961</v>
      </c>
      <c r="D3528" s="8" t="s">
        <v>177</v>
      </c>
      <c r="E3528" s="52">
        <v>686</v>
      </c>
      <c r="F3528" s="13">
        <v>688.1</v>
      </c>
      <c r="G3528" s="13"/>
    </row>
    <row r="3529" spans="1:7" hidden="1" x14ac:dyDescent="0.75">
      <c r="A3529" s="51">
        <v>44936</v>
      </c>
      <c r="B3529" s="52">
        <v>55</v>
      </c>
      <c r="C3529" s="8" t="s">
        <v>3962</v>
      </c>
      <c r="D3529" s="8" t="s">
        <v>177</v>
      </c>
      <c r="E3529" s="52">
        <v>689</v>
      </c>
      <c r="F3529" s="13">
        <v>1589</v>
      </c>
      <c r="G3529" s="13"/>
    </row>
    <row r="3530" spans="1:7" hidden="1" x14ac:dyDescent="0.75">
      <c r="A3530" s="51">
        <v>44936</v>
      </c>
      <c r="B3530" s="52">
        <v>55</v>
      </c>
      <c r="C3530" s="8" t="s">
        <v>3963</v>
      </c>
      <c r="D3530" s="8" t="s">
        <v>177</v>
      </c>
      <c r="E3530" s="52">
        <v>694</v>
      </c>
      <c r="F3530" s="13">
        <v>409.5</v>
      </c>
      <c r="G3530" s="13"/>
    </row>
    <row r="3531" spans="1:7" hidden="1" x14ac:dyDescent="0.75">
      <c r="A3531" s="51">
        <v>44936</v>
      </c>
      <c r="B3531" s="52">
        <v>55</v>
      </c>
      <c r="C3531" s="8" t="s">
        <v>3964</v>
      </c>
      <c r="D3531" s="8" t="s">
        <v>177</v>
      </c>
      <c r="E3531" s="52">
        <v>1794</v>
      </c>
      <c r="F3531" s="13">
        <v>689.5</v>
      </c>
      <c r="G3531" s="13"/>
    </row>
    <row r="3532" spans="1:7" hidden="1" x14ac:dyDescent="0.75">
      <c r="A3532" s="51">
        <v>44936</v>
      </c>
      <c r="B3532" s="52">
        <v>55</v>
      </c>
      <c r="C3532" s="8" t="s">
        <v>3965</v>
      </c>
      <c r="D3532" s="8" t="s">
        <v>177</v>
      </c>
      <c r="E3532" s="52">
        <v>748</v>
      </c>
      <c r="F3532" s="13">
        <v>1354</v>
      </c>
      <c r="G3532" s="13"/>
    </row>
    <row r="3533" spans="1:7" hidden="1" x14ac:dyDescent="0.75">
      <c r="A3533" s="51">
        <v>44936</v>
      </c>
      <c r="B3533" s="52">
        <v>55</v>
      </c>
      <c r="C3533" s="8" t="s">
        <v>3966</v>
      </c>
      <c r="D3533" s="8" t="s">
        <v>177</v>
      </c>
      <c r="E3533" s="52">
        <v>1350</v>
      </c>
      <c r="F3533" s="13">
        <v>365</v>
      </c>
      <c r="G3533" s="13"/>
    </row>
    <row r="3534" spans="1:7" hidden="1" x14ac:dyDescent="0.75">
      <c r="A3534" s="51">
        <v>44936</v>
      </c>
      <c r="B3534" s="52">
        <v>55</v>
      </c>
      <c r="C3534" s="8" t="s">
        <v>3967</v>
      </c>
      <c r="D3534" s="8" t="s">
        <v>177</v>
      </c>
      <c r="E3534" s="52">
        <v>754</v>
      </c>
      <c r="F3534" s="13">
        <v>611</v>
      </c>
      <c r="G3534" s="13"/>
    </row>
    <row r="3535" spans="1:7" hidden="1" x14ac:dyDescent="0.75">
      <c r="A3535" s="51">
        <v>44936</v>
      </c>
      <c r="B3535" s="52">
        <v>55</v>
      </c>
      <c r="C3535" s="8" t="s">
        <v>3968</v>
      </c>
      <c r="D3535" s="8" t="s">
        <v>177</v>
      </c>
      <c r="E3535" s="52">
        <v>754</v>
      </c>
      <c r="F3535" s="13">
        <v>130</v>
      </c>
      <c r="G3535" s="13"/>
    </row>
    <row r="3536" spans="1:7" hidden="1" x14ac:dyDescent="0.75">
      <c r="A3536" s="51">
        <v>44936</v>
      </c>
      <c r="B3536" s="52">
        <v>55</v>
      </c>
      <c r="C3536" s="8" t="s">
        <v>3969</v>
      </c>
      <c r="D3536" s="8" t="s">
        <v>177</v>
      </c>
      <c r="E3536" s="52">
        <v>769</v>
      </c>
      <c r="F3536" s="13">
        <v>1600</v>
      </c>
      <c r="G3536" s="13"/>
    </row>
    <row r="3537" spans="1:7" hidden="1" x14ac:dyDescent="0.75">
      <c r="A3537" s="51">
        <v>44936</v>
      </c>
      <c r="B3537" s="52">
        <v>55</v>
      </c>
      <c r="C3537" s="8" t="s">
        <v>3970</v>
      </c>
      <c r="D3537" s="8" t="s">
        <v>177</v>
      </c>
      <c r="E3537" s="52">
        <v>1348</v>
      </c>
      <c r="F3537" s="13">
        <v>330</v>
      </c>
      <c r="G3537" s="13"/>
    </row>
    <row r="3538" spans="1:7" hidden="1" x14ac:dyDescent="0.75">
      <c r="A3538" s="51">
        <v>44936</v>
      </c>
      <c r="B3538" s="52">
        <v>55</v>
      </c>
      <c r="C3538" s="8" t="s">
        <v>3971</v>
      </c>
      <c r="D3538" s="8" t="s">
        <v>177</v>
      </c>
      <c r="E3538" s="52">
        <v>1365</v>
      </c>
      <c r="F3538" s="13">
        <v>552</v>
      </c>
      <c r="G3538" s="13"/>
    </row>
    <row r="3539" spans="1:7" hidden="1" x14ac:dyDescent="0.75">
      <c r="A3539" s="51">
        <v>44936</v>
      </c>
      <c r="B3539" s="52">
        <v>55</v>
      </c>
      <c r="C3539" s="8" t="s">
        <v>3972</v>
      </c>
      <c r="D3539" s="8" t="s">
        <v>177</v>
      </c>
      <c r="E3539" s="52">
        <v>1366</v>
      </c>
      <c r="F3539" s="13">
        <v>2552.5</v>
      </c>
      <c r="G3539" s="13"/>
    </row>
    <row r="3540" spans="1:7" hidden="1" x14ac:dyDescent="0.75">
      <c r="A3540" s="51">
        <v>44936</v>
      </c>
      <c r="B3540" s="52">
        <v>55</v>
      </c>
      <c r="C3540" s="8" t="s">
        <v>3973</v>
      </c>
      <c r="D3540" s="8" t="s">
        <v>177</v>
      </c>
      <c r="E3540" s="52">
        <v>1366</v>
      </c>
      <c r="F3540" s="13">
        <v>487.5</v>
      </c>
      <c r="G3540" s="13"/>
    </row>
    <row r="3541" spans="1:7" hidden="1" x14ac:dyDescent="0.75">
      <c r="A3541" s="51">
        <v>44936</v>
      </c>
      <c r="B3541" s="52">
        <v>55</v>
      </c>
      <c r="C3541" s="8" t="s">
        <v>3974</v>
      </c>
      <c r="D3541" s="8" t="s">
        <v>177</v>
      </c>
      <c r="E3541" s="52">
        <v>774</v>
      </c>
      <c r="F3541" s="13">
        <v>850</v>
      </c>
      <c r="G3541" s="13"/>
    </row>
    <row r="3542" spans="1:7" hidden="1" x14ac:dyDescent="0.75">
      <c r="A3542" s="51">
        <v>44936</v>
      </c>
      <c r="B3542" s="52">
        <v>55</v>
      </c>
      <c r="C3542" s="8" t="s">
        <v>3975</v>
      </c>
      <c r="D3542" s="8" t="s">
        <v>177</v>
      </c>
      <c r="E3542" s="52">
        <v>1306</v>
      </c>
      <c r="F3542" s="13">
        <v>2725</v>
      </c>
      <c r="G3542" s="13"/>
    </row>
    <row r="3543" spans="1:7" hidden="1" x14ac:dyDescent="0.75">
      <c r="A3543" s="51">
        <v>44936</v>
      </c>
      <c r="B3543" s="52">
        <v>55</v>
      </c>
      <c r="C3543" s="8" t="s">
        <v>3976</v>
      </c>
      <c r="D3543" s="8" t="s">
        <v>177</v>
      </c>
      <c r="E3543" s="52">
        <v>1306</v>
      </c>
      <c r="F3543" s="13">
        <v>2965</v>
      </c>
      <c r="G3543" s="13"/>
    </row>
    <row r="3544" spans="1:7" hidden="1" x14ac:dyDescent="0.75">
      <c r="A3544" s="51">
        <v>44936</v>
      </c>
      <c r="B3544" s="52">
        <v>55</v>
      </c>
      <c r="C3544" s="8" t="s">
        <v>3977</v>
      </c>
      <c r="D3544" s="8" t="s">
        <v>177</v>
      </c>
      <c r="E3544" s="52">
        <v>1684</v>
      </c>
      <c r="F3544" s="13">
        <v>187.75</v>
      </c>
      <c r="G3544" s="13"/>
    </row>
    <row r="3545" spans="1:7" hidden="1" x14ac:dyDescent="0.75">
      <c r="A3545" s="51">
        <v>44936</v>
      </c>
      <c r="B3545" s="52">
        <v>55</v>
      </c>
      <c r="C3545" s="8" t="s">
        <v>3978</v>
      </c>
      <c r="D3545" s="8" t="s">
        <v>177</v>
      </c>
      <c r="E3545" s="52">
        <v>1721</v>
      </c>
      <c r="F3545" s="13">
        <v>1310</v>
      </c>
      <c r="G3545" s="13"/>
    </row>
    <row r="3546" spans="1:7" hidden="1" x14ac:dyDescent="0.75">
      <c r="A3546" s="51">
        <v>44936</v>
      </c>
      <c r="B3546" s="52">
        <v>55</v>
      </c>
      <c r="C3546" s="8" t="s">
        <v>3979</v>
      </c>
      <c r="D3546" s="8" t="s">
        <v>177</v>
      </c>
      <c r="E3546" s="52">
        <v>1900</v>
      </c>
      <c r="F3546" s="13">
        <v>620</v>
      </c>
      <c r="G3546" s="13"/>
    </row>
    <row r="3547" spans="1:7" hidden="1" x14ac:dyDescent="0.75">
      <c r="A3547" s="51">
        <v>44936</v>
      </c>
      <c r="B3547" s="52">
        <v>55</v>
      </c>
      <c r="C3547" s="8" t="s">
        <v>3980</v>
      </c>
      <c r="D3547" s="8" t="s">
        <v>177</v>
      </c>
      <c r="E3547" s="52">
        <v>1646</v>
      </c>
      <c r="F3547" s="13"/>
      <c r="G3547" s="13">
        <v>75.260000000000005</v>
      </c>
    </row>
    <row r="3548" spans="1:7" hidden="1" x14ac:dyDescent="0.75">
      <c r="A3548" s="51">
        <v>44936</v>
      </c>
      <c r="B3548" s="52">
        <v>55</v>
      </c>
      <c r="C3548" s="8" t="s">
        <v>3981</v>
      </c>
      <c r="D3548" s="8" t="s">
        <v>177</v>
      </c>
      <c r="E3548" s="52">
        <v>1646</v>
      </c>
      <c r="F3548" s="13"/>
      <c r="G3548" s="13">
        <v>260.95</v>
      </c>
    </row>
    <row r="3549" spans="1:7" hidden="1" x14ac:dyDescent="0.75">
      <c r="A3549" s="51">
        <v>44936</v>
      </c>
      <c r="B3549" s="52">
        <v>55</v>
      </c>
      <c r="C3549" s="8" t="s">
        <v>3982</v>
      </c>
      <c r="D3549" s="8" t="s">
        <v>177</v>
      </c>
      <c r="E3549" s="52">
        <v>1646</v>
      </c>
      <c r="F3549" s="13"/>
      <c r="G3549" s="13">
        <v>174.3</v>
      </c>
    </row>
    <row r="3550" spans="1:7" hidden="1" x14ac:dyDescent="0.75">
      <c r="A3550" s="51">
        <v>44936</v>
      </c>
      <c r="B3550" s="52">
        <v>55</v>
      </c>
      <c r="C3550" s="8" t="s">
        <v>3983</v>
      </c>
      <c r="D3550" s="8" t="s">
        <v>177</v>
      </c>
      <c r="E3550" s="52">
        <v>1646</v>
      </c>
      <c r="F3550" s="13"/>
      <c r="G3550" s="13">
        <v>470.05</v>
      </c>
    </row>
    <row r="3551" spans="1:7" hidden="1" x14ac:dyDescent="0.75">
      <c r="A3551" s="51">
        <v>44936</v>
      </c>
      <c r="B3551" s="52">
        <v>55</v>
      </c>
      <c r="C3551" s="8" t="s">
        <v>3984</v>
      </c>
      <c r="D3551" s="8" t="s">
        <v>177</v>
      </c>
      <c r="E3551" s="52">
        <v>518</v>
      </c>
      <c r="F3551" s="13"/>
      <c r="G3551" s="13">
        <v>34.799999999999997</v>
      </c>
    </row>
    <row r="3552" spans="1:7" hidden="1" x14ac:dyDescent="0.75">
      <c r="A3552" s="51">
        <v>44936</v>
      </c>
      <c r="B3552" s="52">
        <v>55</v>
      </c>
      <c r="C3552" s="8" t="s">
        <v>3985</v>
      </c>
      <c r="D3552" s="8" t="s">
        <v>177</v>
      </c>
      <c r="E3552" s="52">
        <v>518</v>
      </c>
      <c r="F3552" s="13"/>
      <c r="G3552" s="13">
        <v>53.35</v>
      </c>
    </row>
    <row r="3553" spans="1:7" hidden="1" x14ac:dyDescent="0.75">
      <c r="A3553" s="51">
        <v>44937</v>
      </c>
      <c r="B3553" s="52">
        <v>55</v>
      </c>
      <c r="C3553" s="8" t="s">
        <v>3986</v>
      </c>
      <c r="D3553" s="8" t="s">
        <v>177</v>
      </c>
      <c r="E3553" s="52">
        <v>695</v>
      </c>
      <c r="F3553" s="13">
        <v>225</v>
      </c>
      <c r="G3553" s="13"/>
    </row>
    <row r="3554" spans="1:7" hidden="1" x14ac:dyDescent="0.75">
      <c r="A3554" s="51">
        <v>44937</v>
      </c>
      <c r="B3554" s="52">
        <v>55</v>
      </c>
      <c r="C3554" s="8" t="s">
        <v>3987</v>
      </c>
      <c r="D3554" s="8" t="s">
        <v>177</v>
      </c>
      <c r="E3554" s="52">
        <v>1503</v>
      </c>
      <c r="F3554" s="13">
        <v>1472.5</v>
      </c>
      <c r="G3554" s="13"/>
    </row>
    <row r="3555" spans="1:7" hidden="1" x14ac:dyDescent="0.75">
      <c r="A3555" s="51">
        <v>44937</v>
      </c>
      <c r="B3555" s="52">
        <v>55</v>
      </c>
      <c r="C3555" s="8" t="s">
        <v>3988</v>
      </c>
      <c r="D3555" s="8" t="s">
        <v>177</v>
      </c>
      <c r="E3555" s="52">
        <v>1518</v>
      </c>
      <c r="F3555" s="13">
        <v>37.5</v>
      </c>
      <c r="G3555" s="13"/>
    </row>
    <row r="3556" spans="1:7" hidden="1" x14ac:dyDescent="0.75">
      <c r="A3556" s="51">
        <v>44937</v>
      </c>
      <c r="B3556" s="52">
        <v>55</v>
      </c>
      <c r="C3556" s="8" t="s">
        <v>3989</v>
      </c>
      <c r="D3556" s="8" t="s">
        <v>177</v>
      </c>
      <c r="E3556" s="52">
        <v>686</v>
      </c>
      <c r="F3556" s="13">
        <v>30</v>
      </c>
      <c r="G3556" s="13"/>
    </row>
    <row r="3557" spans="1:7" hidden="1" x14ac:dyDescent="0.75">
      <c r="A3557" s="51">
        <v>44937</v>
      </c>
      <c r="B3557" s="52">
        <v>55</v>
      </c>
      <c r="C3557" s="8" t="s">
        <v>3990</v>
      </c>
      <c r="D3557" s="8" t="s">
        <v>177</v>
      </c>
      <c r="E3557" s="52">
        <v>687</v>
      </c>
      <c r="F3557" s="13">
        <v>76</v>
      </c>
      <c r="G3557" s="13"/>
    </row>
    <row r="3558" spans="1:7" hidden="1" x14ac:dyDescent="0.75">
      <c r="A3558" s="51">
        <v>44937</v>
      </c>
      <c r="B3558" s="52">
        <v>55</v>
      </c>
      <c r="C3558" s="8" t="s">
        <v>3991</v>
      </c>
      <c r="D3558" s="8" t="s">
        <v>177</v>
      </c>
      <c r="E3558" s="52">
        <v>688</v>
      </c>
      <c r="F3558" s="13">
        <v>201</v>
      </c>
      <c r="G3558" s="13"/>
    </row>
    <row r="3559" spans="1:7" hidden="1" x14ac:dyDescent="0.75">
      <c r="A3559" s="51">
        <v>44937</v>
      </c>
      <c r="B3559" s="52">
        <v>55</v>
      </c>
      <c r="C3559" s="8" t="s">
        <v>3992</v>
      </c>
      <c r="D3559" s="8" t="s">
        <v>177</v>
      </c>
      <c r="E3559" s="52">
        <v>690</v>
      </c>
      <c r="F3559" s="13">
        <v>541.5</v>
      </c>
      <c r="G3559" s="13"/>
    </row>
    <row r="3560" spans="1:7" hidden="1" x14ac:dyDescent="0.75">
      <c r="A3560" s="51">
        <v>44937</v>
      </c>
      <c r="B3560" s="52">
        <v>55</v>
      </c>
      <c r="C3560" s="8" t="s">
        <v>3993</v>
      </c>
      <c r="D3560" s="8" t="s">
        <v>177</v>
      </c>
      <c r="E3560" s="52">
        <v>696</v>
      </c>
      <c r="F3560" s="13">
        <v>32</v>
      </c>
      <c r="G3560" s="13"/>
    </row>
    <row r="3561" spans="1:7" hidden="1" x14ac:dyDescent="0.75">
      <c r="A3561" s="51">
        <v>44937</v>
      </c>
      <c r="B3561" s="52">
        <v>55</v>
      </c>
      <c r="C3561" s="8" t="s">
        <v>3994</v>
      </c>
      <c r="D3561" s="8" t="s">
        <v>177</v>
      </c>
      <c r="E3561" s="52">
        <v>1405</v>
      </c>
      <c r="F3561" s="13">
        <v>4466.5</v>
      </c>
      <c r="G3561" s="13"/>
    </row>
    <row r="3562" spans="1:7" hidden="1" x14ac:dyDescent="0.75">
      <c r="A3562" s="51">
        <v>44937</v>
      </c>
      <c r="B3562" s="52">
        <v>55</v>
      </c>
      <c r="C3562" s="8" t="s">
        <v>3995</v>
      </c>
      <c r="D3562" s="8" t="s">
        <v>177</v>
      </c>
      <c r="E3562" s="52">
        <v>1794</v>
      </c>
      <c r="F3562" s="13">
        <v>300</v>
      </c>
      <c r="G3562" s="13"/>
    </row>
    <row r="3563" spans="1:7" hidden="1" x14ac:dyDescent="0.75">
      <c r="A3563" s="51">
        <v>44937</v>
      </c>
      <c r="B3563" s="52">
        <v>55</v>
      </c>
      <c r="C3563" s="8" t="s">
        <v>3996</v>
      </c>
      <c r="D3563" s="8" t="s">
        <v>177</v>
      </c>
      <c r="E3563" s="52">
        <v>1558</v>
      </c>
      <c r="F3563" s="13">
        <v>87.5</v>
      </c>
      <c r="G3563" s="13"/>
    </row>
    <row r="3564" spans="1:7" hidden="1" x14ac:dyDescent="0.75">
      <c r="A3564" s="51">
        <v>44937</v>
      </c>
      <c r="B3564" s="52">
        <v>55</v>
      </c>
      <c r="C3564" s="8" t="s">
        <v>3997</v>
      </c>
      <c r="D3564" s="8" t="s">
        <v>177</v>
      </c>
      <c r="E3564" s="52">
        <v>1406</v>
      </c>
      <c r="F3564" s="13">
        <v>1060.25</v>
      </c>
      <c r="G3564" s="13"/>
    </row>
    <row r="3565" spans="1:7" hidden="1" x14ac:dyDescent="0.75">
      <c r="A3565" s="51">
        <v>44937</v>
      </c>
      <c r="B3565" s="52">
        <v>55</v>
      </c>
      <c r="C3565" s="8" t="s">
        <v>3998</v>
      </c>
      <c r="D3565" s="8" t="s">
        <v>177</v>
      </c>
      <c r="E3565" s="52">
        <v>692</v>
      </c>
      <c r="F3565" s="13">
        <v>580</v>
      </c>
      <c r="G3565" s="13"/>
    </row>
    <row r="3566" spans="1:7" hidden="1" x14ac:dyDescent="0.75">
      <c r="A3566" s="51">
        <v>44937</v>
      </c>
      <c r="B3566" s="52">
        <v>55</v>
      </c>
      <c r="C3566" s="8" t="s">
        <v>3999</v>
      </c>
      <c r="D3566" s="8" t="s">
        <v>177</v>
      </c>
      <c r="E3566" s="52">
        <v>748</v>
      </c>
      <c r="F3566" s="13">
        <v>830</v>
      </c>
      <c r="G3566" s="13"/>
    </row>
    <row r="3567" spans="1:7" hidden="1" x14ac:dyDescent="0.75">
      <c r="A3567" s="51">
        <v>44937</v>
      </c>
      <c r="B3567" s="52">
        <v>55</v>
      </c>
      <c r="C3567" s="8" t="s">
        <v>4000</v>
      </c>
      <c r="D3567" s="8" t="s">
        <v>177</v>
      </c>
      <c r="E3567" s="52">
        <v>771</v>
      </c>
      <c r="F3567" s="13">
        <v>590</v>
      </c>
      <c r="G3567" s="13"/>
    </row>
    <row r="3568" spans="1:7" hidden="1" x14ac:dyDescent="0.75">
      <c r="A3568" s="51">
        <v>44937</v>
      </c>
      <c r="B3568" s="52">
        <v>55</v>
      </c>
      <c r="C3568" s="8" t="s">
        <v>4001</v>
      </c>
      <c r="D3568" s="8" t="s">
        <v>177</v>
      </c>
      <c r="E3568" s="52">
        <v>697</v>
      </c>
      <c r="F3568" s="13">
        <v>367.5</v>
      </c>
      <c r="G3568" s="13"/>
    </row>
    <row r="3569" spans="1:7" hidden="1" x14ac:dyDescent="0.75">
      <c r="A3569" s="51">
        <v>44937</v>
      </c>
      <c r="B3569" s="52">
        <v>55</v>
      </c>
      <c r="C3569" s="8" t="s">
        <v>4002</v>
      </c>
      <c r="D3569" s="8" t="s">
        <v>177</v>
      </c>
      <c r="E3569" s="52">
        <v>697</v>
      </c>
      <c r="F3569" s="13">
        <v>1110</v>
      </c>
      <c r="G3569" s="13"/>
    </row>
    <row r="3570" spans="1:7" hidden="1" x14ac:dyDescent="0.75">
      <c r="A3570" s="51">
        <v>44937</v>
      </c>
      <c r="B3570" s="52">
        <v>55</v>
      </c>
      <c r="C3570" s="8" t="s">
        <v>4003</v>
      </c>
      <c r="D3570" s="8" t="s">
        <v>177</v>
      </c>
      <c r="E3570" s="52">
        <v>1366</v>
      </c>
      <c r="F3570" s="13">
        <v>650</v>
      </c>
      <c r="G3570" s="13"/>
    </row>
    <row r="3571" spans="1:7" hidden="1" x14ac:dyDescent="0.75">
      <c r="A3571" s="51">
        <v>44937</v>
      </c>
      <c r="B3571" s="52">
        <v>55</v>
      </c>
      <c r="C3571" s="8" t="s">
        <v>4004</v>
      </c>
      <c r="D3571" s="8" t="s">
        <v>177</v>
      </c>
      <c r="E3571" s="52">
        <v>774</v>
      </c>
      <c r="F3571" s="13">
        <v>1400</v>
      </c>
      <c r="G3571" s="13"/>
    </row>
    <row r="3572" spans="1:7" hidden="1" x14ac:dyDescent="0.75">
      <c r="A3572" s="51">
        <v>44937</v>
      </c>
      <c r="B3572" s="52">
        <v>55</v>
      </c>
      <c r="C3572" s="8" t="s">
        <v>4005</v>
      </c>
      <c r="D3572" s="8" t="s">
        <v>177</v>
      </c>
      <c r="E3572" s="52">
        <v>1401</v>
      </c>
      <c r="F3572" s="13">
        <v>185</v>
      </c>
      <c r="G3572" s="13"/>
    </row>
    <row r="3573" spans="1:7" hidden="1" x14ac:dyDescent="0.75">
      <c r="A3573" s="51">
        <v>44937</v>
      </c>
      <c r="B3573" s="52">
        <v>55</v>
      </c>
      <c r="C3573" s="8" t="s">
        <v>4006</v>
      </c>
      <c r="D3573" s="8" t="s">
        <v>177</v>
      </c>
      <c r="E3573" s="52">
        <v>874</v>
      </c>
      <c r="F3573" s="13">
        <v>973.15</v>
      </c>
      <c r="G3573" s="13"/>
    </row>
    <row r="3574" spans="1:7" hidden="1" x14ac:dyDescent="0.75">
      <c r="A3574" s="51">
        <v>44937</v>
      </c>
      <c r="B3574" s="52">
        <v>55</v>
      </c>
      <c r="C3574" s="8" t="s">
        <v>4007</v>
      </c>
      <c r="D3574" s="8" t="s">
        <v>177</v>
      </c>
      <c r="E3574" s="52">
        <v>874</v>
      </c>
      <c r="F3574" s="13">
        <v>633.20000000000005</v>
      </c>
      <c r="G3574" s="13"/>
    </row>
    <row r="3575" spans="1:7" hidden="1" x14ac:dyDescent="0.75">
      <c r="A3575" s="51">
        <v>44937</v>
      </c>
      <c r="B3575" s="52">
        <v>55</v>
      </c>
      <c r="C3575" s="8" t="s">
        <v>4008</v>
      </c>
      <c r="D3575" s="8" t="s">
        <v>177</v>
      </c>
      <c r="E3575" s="52">
        <v>1413</v>
      </c>
      <c r="F3575" s="13">
        <v>90</v>
      </c>
      <c r="G3575" s="13"/>
    </row>
    <row r="3576" spans="1:7" hidden="1" x14ac:dyDescent="0.75">
      <c r="A3576" s="51">
        <v>44937</v>
      </c>
      <c r="B3576" s="52">
        <v>55</v>
      </c>
      <c r="C3576" s="8" t="s">
        <v>4009</v>
      </c>
      <c r="D3576" s="8" t="s">
        <v>177</v>
      </c>
      <c r="E3576" s="52">
        <v>1721</v>
      </c>
      <c r="F3576" s="13">
        <v>390</v>
      </c>
      <c r="G3576" s="13"/>
    </row>
    <row r="3577" spans="1:7" hidden="1" x14ac:dyDescent="0.75">
      <c r="A3577" s="51">
        <v>44937</v>
      </c>
      <c r="B3577" s="52">
        <v>55</v>
      </c>
      <c r="C3577" s="8" t="s">
        <v>4010</v>
      </c>
      <c r="D3577" s="8" t="s">
        <v>177</v>
      </c>
      <c r="E3577" s="52">
        <v>697</v>
      </c>
      <c r="F3577" s="13"/>
      <c r="G3577" s="13">
        <v>367.5</v>
      </c>
    </row>
    <row r="3578" spans="1:7" hidden="1" x14ac:dyDescent="0.75">
      <c r="A3578" s="51">
        <v>44937</v>
      </c>
      <c r="B3578" s="52">
        <v>55</v>
      </c>
      <c r="C3578" s="8" t="s">
        <v>4011</v>
      </c>
      <c r="D3578" s="8" t="s">
        <v>177</v>
      </c>
      <c r="E3578" s="52">
        <v>1721</v>
      </c>
      <c r="F3578" s="13"/>
      <c r="G3578" s="13">
        <v>1215</v>
      </c>
    </row>
    <row r="3579" spans="1:7" hidden="1" x14ac:dyDescent="0.75">
      <c r="A3579" s="51">
        <v>44937</v>
      </c>
      <c r="B3579" s="52">
        <v>55</v>
      </c>
      <c r="C3579" s="8" t="s">
        <v>4012</v>
      </c>
      <c r="D3579" s="8" t="s">
        <v>177</v>
      </c>
      <c r="E3579" s="52">
        <v>1646</v>
      </c>
      <c r="F3579" s="13"/>
      <c r="G3579" s="13">
        <v>305.5</v>
      </c>
    </row>
    <row r="3580" spans="1:7" hidden="1" x14ac:dyDescent="0.75">
      <c r="A3580" s="51">
        <v>44938</v>
      </c>
      <c r="B3580" s="52">
        <v>55</v>
      </c>
      <c r="C3580" s="8" t="s">
        <v>4013</v>
      </c>
      <c r="D3580" s="8" t="s">
        <v>177</v>
      </c>
      <c r="E3580" s="52">
        <v>1619</v>
      </c>
      <c r="F3580" s="13">
        <v>11734.1</v>
      </c>
      <c r="G3580" s="13"/>
    </row>
    <row r="3581" spans="1:7" hidden="1" x14ac:dyDescent="0.75">
      <c r="A3581" s="51">
        <v>44938</v>
      </c>
      <c r="B3581" s="52">
        <v>55</v>
      </c>
      <c r="C3581" s="8" t="s">
        <v>4014</v>
      </c>
      <c r="D3581" s="8" t="s">
        <v>177</v>
      </c>
      <c r="E3581" s="52">
        <v>686</v>
      </c>
      <c r="F3581" s="13">
        <v>471.5</v>
      </c>
      <c r="G3581" s="13"/>
    </row>
    <row r="3582" spans="1:7" hidden="1" x14ac:dyDescent="0.75">
      <c r="A3582" s="51">
        <v>44938</v>
      </c>
      <c r="B3582" s="52">
        <v>55</v>
      </c>
      <c r="C3582" s="8" t="s">
        <v>4015</v>
      </c>
      <c r="D3582" s="8" t="s">
        <v>177</v>
      </c>
      <c r="E3582" s="52">
        <v>688</v>
      </c>
      <c r="F3582" s="13">
        <v>1610.5</v>
      </c>
      <c r="G3582" s="13"/>
    </row>
    <row r="3583" spans="1:7" hidden="1" x14ac:dyDescent="0.75">
      <c r="A3583" s="51">
        <v>44938</v>
      </c>
      <c r="B3583" s="52">
        <v>55</v>
      </c>
      <c r="C3583" s="8" t="s">
        <v>4016</v>
      </c>
      <c r="D3583" s="8" t="s">
        <v>177</v>
      </c>
      <c r="E3583" s="52">
        <v>687</v>
      </c>
      <c r="F3583" s="13">
        <v>83.3</v>
      </c>
      <c r="G3583" s="13"/>
    </row>
    <row r="3584" spans="1:7" hidden="1" x14ac:dyDescent="0.75">
      <c r="A3584" s="51">
        <v>44938</v>
      </c>
      <c r="B3584" s="52">
        <v>55</v>
      </c>
      <c r="C3584" s="8" t="s">
        <v>4017</v>
      </c>
      <c r="D3584" s="8" t="s">
        <v>177</v>
      </c>
      <c r="E3584" s="52">
        <v>690</v>
      </c>
      <c r="F3584" s="13">
        <v>1041</v>
      </c>
      <c r="G3584" s="13"/>
    </row>
    <row r="3585" spans="1:7" hidden="1" x14ac:dyDescent="0.75">
      <c r="A3585" s="51">
        <v>44938</v>
      </c>
      <c r="B3585" s="52">
        <v>55</v>
      </c>
      <c r="C3585" s="8" t="s">
        <v>4018</v>
      </c>
      <c r="D3585" s="8" t="s">
        <v>177</v>
      </c>
      <c r="E3585" s="52">
        <v>696</v>
      </c>
      <c r="F3585" s="13">
        <v>30</v>
      </c>
      <c r="G3585" s="13"/>
    </row>
    <row r="3586" spans="1:7" hidden="1" x14ac:dyDescent="0.75">
      <c r="A3586" s="51">
        <v>44938</v>
      </c>
      <c r="B3586" s="52">
        <v>55</v>
      </c>
      <c r="C3586" s="8" t="s">
        <v>4019</v>
      </c>
      <c r="D3586" s="8" t="s">
        <v>177</v>
      </c>
      <c r="E3586" s="52">
        <v>973</v>
      </c>
      <c r="F3586" s="13">
        <v>2.2000000000000002</v>
      </c>
      <c r="G3586" s="13"/>
    </row>
    <row r="3587" spans="1:7" hidden="1" x14ac:dyDescent="0.75">
      <c r="A3587" s="51">
        <v>44938</v>
      </c>
      <c r="B3587" s="52">
        <v>55</v>
      </c>
      <c r="C3587" s="8" t="s">
        <v>4020</v>
      </c>
      <c r="D3587" s="8" t="s">
        <v>177</v>
      </c>
      <c r="E3587" s="52">
        <v>694</v>
      </c>
      <c r="F3587" s="13">
        <v>390</v>
      </c>
      <c r="G3587" s="13"/>
    </row>
    <row r="3588" spans="1:7" hidden="1" x14ac:dyDescent="0.75">
      <c r="A3588" s="51">
        <v>44938</v>
      </c>
      <c r="B3588" s="52">
        <v>55</v>
      </c>
      <c r="C3588" s="8" t="s">
        <v>4021</v>
      </c>
      <c r="D3588" s="8" t="s">
        <v>177</v>
      </c>
      <c r="E3588" s="52">
        <v>1405</v>
      </c>
      <c r="F3588" s="13">
        <v>3209.5</v>
      </c>
      <c r="G3588" s="13"/>
    </row>
    <row r="3589" spans="1:7" hidden="1" x14ac:dyDescent="0.75">
      <c r="A3589" s="51">
        <v>44938</v>
      </c>
      <c r="B3589" s="52">
        <v>55</v>
      </c>
      <c r="C3589" s="8" t="s">
        <v>4022</v>
      </c>
      <c r="D3589" s="8" t="s">
        <v>177</v>
      </c>
      <c r="E3589" s="52">
        <v>703</v>
      </c>
      <c r="F3589" s="13">
        <v>40</v>
      </c>
      <c r="G3589" s="13"/>
    </row>
    <row r="3590" spans="1:7" hidden="1" x14ac:dyDescent="0.75">
      <c r="A3590" s="51">
        <v>44938</v>
      </c>
      <c r="B3590" s="52">
        <v>55</v>
      </c>
      <c r="C3590" s="8" t="s">
        <v>4023</v>
      </c>
      <c r="D3590" s="8" t="s">
        <v>177</v>
      </c>
      <c r="E3590" s="52">
        <v>1503</v>
      </c>
      <c r="F3590" s="13">
        <v>744</v>
      </c>
      <c r="G3590" s="13"/>
    </row>
    <row r="3591" spans="1:7" hidden="1" x14ac:dyDescent="0.75">
      <c r="A3591" s="51">
        <v>44938</v>
      </c>
      <c r="B3591" s="52">
        <v>55</v>
      </c>
      <c r="C3591" s="8" t="s">
        <v>4024</v>
      </c>
      <c r="D3591" s="8" t="s">
        <v>177</v>
      </c>
      <c r="E3591" s="52">
        <v>1558</v>
      </c>
      <c r="F3591" s="13">
        <v>302.63</v>
      </c>
      <c r="G3591" s="13"/>
    </row>
    <row r="3592" spans="1:7" hidden="1" x14ac:dyDescent="0.75">
      <c r="A3592" s="51">
        <v>44938</v>
      </c>
      <c r="B3592" s="52">
        <v>55</v>
      </c>
      <c r="C3592" s="8" t="s">
        <v>4025</v>
      </c>
      <c r="D3592" s="8" t="s">
        <v>177</v>
      </c>
      <c r="E3592" s="52">
        <v>1794</v>
      </c>
      <c r="F3592" s="13">
        <v>350</v>
      </c>
      <c r="G3592" s="13"/>
    </row>
    <row r="3593" spans="1:7" hidden="1" x14ac:dyDescent="0.75">
      <c r="A3593" s="51">
        <v>44938</v>
      </c>
      <c r="B3593" s="52">
        <v>55</v>
      </c>
      <c r="C3593" s="8" t="s">
        <v>4026</v>
      </c>
      <c r="D3593" s="8" t="s">
        <v>177</v>
      </c>
      <c r="E3593" s="52">
        <v>689</v>
      </c>
      <c r="F3593" s="13">
        <v>1626.6</v>
      </c>
      <c r="G3593" s="13"/>
    </row>
    <row r="3594" spans="1:7" hidden="1" x14ac:dyDescent="0.75">
      <c r="A3594" s="51">
        <v>44938</v>
      </c>
      <c r="B3594" s="52">
        <v>55</v>
      </c>
      <c r="C3594" s="8" t="s">
        <v>4027</v>
      </c>
      <c r="D3594" s="8" t="s">
        <v>177</v>
      </c>
      <c r="E3594" s="52">
        <v>748</v>
      </c>
      <c r="F3594" s="13">
        <v>840.1</v>
      </c>
      <c r="G3594" s="13"/>
    </row>
    <row r="3595" spans="1:7" hidden="1" x14ac:dyDescent="0.75">
      <c r="A3595" s="51">
        <v>44938</v>
      </c>
      <c r="B3595" s="52">
        <v>55</v>
      </c>
      <c r="C3595" s="8" t="s">
        <v>4028</v>
      </c>
      <c r="D3595" s="8" t="s">
        <v>177</v>
      </c>
      <c r="E3595" s="52">
        <v>774</v>
      </c>
      <c r="F3595" s="13">
        <v>830</v>
      </c>
      <c r="G3595" s="13"/>
    </row>
    <row r="3596" spans="1:7" hidden="1" x14ac:dyDescent="0.75">
      <c r="A3596" s="51">
        <v>44938</v>
      </c>
      <c r="B3596" s="52">
        <v>55</v>
      </c>
      <c r="C3596" s="8" t="s">
        <v>4029</v>
      </c>
      <c r="D3596" s="8" t="s">
        <v>177</v>
      </c>
      <c r="E3596" s="52">
        <v>1306</v>
      </c>
      <c r="F3596" s="13">
        <v>2890</v>
      </c>
      <c r="G3596" s="13"/>
    </row>
    <row r="3597" spans="1:7" hidden="1" x14ac:dyDescent="0.75">
      <c r="A3597" s="51">
        <v>44938</v>
      </c>
      <c r="B3597" s="52">
        <v>55</v>
      </c>
      <c r="C3597" s="8" t="s">
        <v>4030</v>
      </c>
      <c r="D3597" s="8" t="s">
        <v>177</v>
      </c>
      <c r="E3597" s="52">
        <v>1306</v>
      </c>
      <c r="F3597" s="13">
        <v>2020</v>
      </c>
      <c r="G3597" s="13"/>
    </row>
    <row r="3598" spans="1:7" hidden="1" x14ac:dyDescent="0.75">
      <c r="A3598" s="51">
        <v>44938</v>
      </c>
      <c r="B3598" s="52">
        <v>55</v>
      </c>
      <c r="C3598" s="8" t="s">
        <v>4031</v>
      </c>
      <c r="D3598" s="8" t="s">
        <v>177</v>
      </c>
      <c r="E3598" s="52">
        <v>1684</v>
      </c>
      <c r="F3598" s="13">
        <v>127.5</v>
      </c>
      <c r="G3598" s="13"/>
    </row>
    <row r="3599" spans="1:7" hidden="1" x14ac:dyDescent="0.75">
      <c r="A3599" s="51">
        <v>44938</v>
      </c>
      <c r="B3599" s="52">
        <v>55</v>
      </c>
      <c r="C3599" s="8" t="s">
        <v>4032</v>
      </c>
      <c r="D3599" s="8" t="s">
        <v>177</v>
      </c>
      <c r="E3599" s="52">
        <v>1721</v>
      </c>
      <c r="F3599" s="13">
        <v>975</v>
      </c>
      <c r="G3599" s="13"/>
    </row>
    <row r="3600" spans="1:7" hidden="1" x14ac:dyDescent="0.75">
      <c r="A3600" s="51">
        <v>44938</v>
      </c>
      <c r="B3600" s="52">
        <v>55</v>
      </c>
      <c r="C3600" s="8" t="s">
        <v>4033</v>
      </c>
      <c r="D3600" s="8" t="s">
        <v>177</v>
      </c>
      <c r="E3600" s="52">
        <v>1900</v>
      </c>
      <c r="F3600" s="13">
        <v>410</v>
      </c>
      <c r="G3600" s="13"/>
    </row>
    <row r="3601" spans="1:7" hidden="1" x14ac:dyDescent="0.75">
      <c r="A3601" s="51">
        <v>44938</v>
      </c>
      <c r="B3601" s="52">
        <v>55</v>
      </c>
      <c r="C3601" s="8" t="s">
        <v>4034</v>
      </c>
      <c r="D3601" s="8" t="s">
        <v>177</v>
      </c>
      <c r="E3601" s="52">
        <v>774</v>
      </c>
      <c r="F3601" s="13"/>
      <c r="G3601" s="13">
        <v>70</v>
      </c>
    </row>
    <row r="3602" spans="1:7" hidden="1" x14ac:dyDescent="0.75">
      <c r="A3602" s="51">
        <v>44938</v>
      </c>
      <c r="B3602" s="52">
        <v>55</v>
      </c>
      <c r="C3602" s="8" t="s">
        <v>4035</v>
      </c>
      <c r="D3602" s="8" t="s">
        <v>177</v>
      </c>
      <c r="E3602" s="52">
        <v>769</v>
      </c>
      <c r="F3602" s="13"/>
      <c r="G3602" s="13">
        <v>64</v>
      </c>
    </row>
    <row r="3603" spans="1:7" hidden="1" x14ac:dyDescent="0.75">
      <c r="A3603" s="51">
        <v>44938</v>
      </c>
      <c r="B3603" s="52">
        <v>55</v>
      </c>
      <c r="C3603" s="8" t="s">
        <v>4036</v>
      </c>
      <c r="D3603" s="8" t="s">
        <v>177</v>
      </c>
      <c r="E3603" s="52">
        <v>1646</v>
      </c>
      <c r="F3603" s="13"/>
      <c r="G3603" s="13">
        <v>119.9</v>
      </c>
    </row>
    <row r="3604" spans="1:7" hidden="1" x14ac:dyDescent="0.75">
      <c r="A3604" s="51">
        <v>44938</v>
      </c>
      <c r="B3604" s="52">
        <v>55</v>
      </c>
      <c r="C3604" s="8" t="s">
        <v>4037</v>
      </c>
      <c r="D3604" s="8" t="s">
        <v>177</v>
      </c>
      <c r="E3604" s="52">
        <v>1646</v>
      </c>
      <c r="F3604" s="13"/>
      <c r="G3604" s="13">
        <v>294.47000000000003</v>
      </c>
    </row>
    <row r="3605" spans="1:7" hidden="1" x14ac:dyDescent="0.75">
      <c r="A3605" s="51">
        <v>44938</v>
      </c>
      <c r="B3605" s="52">
        <v>55</v>
      </c>
      <c r="C3605" s="8" t="s">
        <v>4038</v>
      </c>
      <c r="D3605" s="8" t="s">
        <v>177</v>
      </c>
      <c r="E3605" s="52">
        <v>1646</v>
      </c>
      <c r="F3605" s="13"/>
      <c r="G3605" s="13">
        <v>288.48</v>
      </c>
    </row>
    <row r="3606" spans="1:7" hidden="1" x14ac:dyDescent="0.75">
      <c r="A3606" s="51">
        <v>44939</v>
      </c>
      <c r="B3606" s="52">
        <v>55</v>
      </c>
      <c r="C3606" s="8" t="s">
        <v>4039</v>
      </c>
      <c r="D3606" s="8" t="s">
        <v>177</v>
      </c>
      <c r="E3606" s="52">
        <v>686</v>
      </c>
      <c r="F3606" s="13">
        <v>180</v>
      </c>
      <c r="G3606" s="13"/>
    </row>
    <row r="3607" spans="1:7" hidden="1" x14ac:dyDescent="0.75">
      <c r="A3607" s="51">
        <v>44939</v>
      </c>
      <c r="B3607" s="52">
        <v>55</v>
      </c>
      <c r="C3607" s="8" t="s">
        <v>4040</v>
      </c>
      <c r="D3607" s="8" t="s">
        <v>177</v>
      </c>
      <c r="E3607" s="52">
        <v>687</v>
      </c>
      <c r="F3607" s="13">
        <v>46.4</v>
      </c>
      <c r="G3607" s="13"/>
    </row>
    <row r="3608" spans="1:7" hidden="1" x14ac:dyDescent="0.75">
      <c r="A3608" s="51">
        <v>44939</v>
      </c>
      <c r="B3608" s="52">
        <v>55</v>
      </c>
      <c r="C3608" s="8" t="s">
        <v>4041</v>
      </c>
      <c r="D3608" s="8" t="s">
        <v>177</v>
      </c>
      <c r="E3608" s="52">
        <v>688</v>
      </c>
      <c r="F3608" s="13">
        <v>204.75</v>
      </c>
      <c r="G3608" s="13"/>
    </row>
    <row r="3609" spans="1:7" hidden="1" x14ac:dyDescent="0.75">
      <c r="A3609" s="51">
        <v>44939</v>
      </c>
      <c r="B3609" s="52">
        <v>55</v>
      </c>
      <c r="C3609" s="8" t="s">
        <v>4042</v>
      </c>
      <c r="D3609" s="8" t="s">
        <v>177</v>
      </c>
      <c r="E3609" s="52">
        <v>690</v>
      </c>
      <c r="F3609" s="13">
        <v>958.9</v>
      </c>
      <c r="G3609" s="13"/>
    </row>
    <row r="3610" spans="1:7" hidden="1" x14ac:dyDescent="0.75">
      <c r="A3610" s="51">
        <v>44939</v>
      </c>
      <c r="B3610" s="52">
        <v>55</v>
      </c>
      <c r="C3610" s="8" t="s">
        <v>4043</v>
      </c>
      <c r="D3610" s="8" t="s">
        <v>177</v>
      </c>
      <c r="E3610" s="52">
        <v>696</v>
      </c>
      <c r="F3610" s="13">
        <v>30</v>
      </c>
      <c r="G3610" s="13"/>
    </row>
    <row r="3611" spans="1:7" hidden="1" x14ac:dyDescent="0.75">
      <c r="A3611" s="51">
        <v>44939</v>
      </c>
      <c r="B3611" s="52">
        <v>55</v>
      </c>
      <c r="C3611" s="8" t="s">
        <v>4044</v>
      </c>
      <c r="D3611" s="8" t="s">
        <v>177</v>
      </c>
      <c r="E3611" s="52">
        <v>703</v>
      </c>
      <c r="F3611" s="13">
        <v>40</v>
      </c>
      <c r="G3611" s="13"/>
    </row>
    <row r="3612" spans="1:7" hidden="1" x14ac:dyDescent="0.75">
      <c r="A3612" s="51">
        <v>44939</v>
      </c>
      <c r="B3612" s="52">
        <v>55</v>
      </c>
      <c r="C3612" s="8" t="s">
        <v>4045</v>
      </c>
      <c r="D3612" s="8" t="s">
        <v>177</v>
      </c>
      <c r="E3612" s="52">
        <v>1503</v>
      </c>
      <c r="F3612" s="13">
        <v>976.5</v>
      </c>
      <c r="G3612" s="13"/>
    </row>
    <row r="3613" spans="1:7" hidden="1" x14ac:dyDescent="0.75">
      <c r="A3613" s="51">
        <v>44939</v>
      </c>
      <c r="B3613" s="52">
        <v>55</v>
      </c>
      <c r="C3613" s="8" t="s">
        <v>4046</v>
      </c>
      <c r="D3613" s="8" t="s">
        <v>177</v>
      </c>
      <c r="E3613" s="52">
        <v>1518</v>
      </c>
      <c r="F3613" s="13">
        <v>37.5</v>
      </c>
      <c r="G3613" s="13"/>
    </row>
    <row r="3614" spans="1:7" hidden="1" x14ac:dyDescent="0.75">
      <c r="A3614" s="51">
        <v>44939</v>
      </c>
      <c r="B3614" s="52">
        <v>55</v>
      </c>
      <c r="C3614" s="8" t="s">
        <v>4047</v>
      </c>
      <c r="D3614" s="8" t="s">
        <v>177</v>
      </c>
      <c r="E3614" s="52">
        <v>1558</v>
      </c>
      <c r="F3614" s="13">
        <v>220.63</v>
      </c>
      <c r="G3614" s="13"/>
    </row>
    <row r="3615" spans="1:7" hidden="1" x14ac:dyDescent="0.75">
      <c r="A3615" s="51">
        <v>44939</v>
      </c>
      <c r="B3615" s="52">
        <v>55</v>
      </c>
      <c r="C3615" s="8" t="s">
        <v>4048</v>
      </c>
      <c r="D3615" s="8" t="s">
        <v>177</v>
      </c>
      <c r="E3615" s="52">
        <v>692</v>
      </c>
      <c r="F3615" s="13">
        <v>690</v>
      </c>
      <c r="G3615" s="13"/>
    </row>
    <row r="3616" spans="1:7" hidden="1" x14ac:dyDescent="0.75">
      <c r="A3616" s="51">
        <v>44939</v>
      </c>
      <c r="B3616" s="52">
        <v>55</v>
      </c>
      <c r="C3616" s="8" t="s">
        <v>4049</v>
      </c>
      <c r="D3616" s="8" t="s">
        <v>177</v>
      </c>
      <c r="E3616" s="52">
        <v>694</v>
      </c>
      <c r="F3616" s="13">
        <v>100.9</v>
      </c>
      <c r="G3616" s="13"/>
    </row>
    <row r="3617" spans="1:7" hidden="1" x14ac:dyDescent="0.75">
      <c r="A3617" s="51">
        <v>44939</v>
      </c>
      <c r="B3617" s="52">
        <v>55</v>
      </c>
      <c r="C3617" s="8" t="s">
        <v>4050</v>
      </c>
      <c r="D3617" s="8" t="s">
        <v>177</v>
      </c>
      <c r="E3617" s="52">
        <v>695</v>
      </c>
      <c r="F3617" s="13">
        <v>279</v>
      </c>
      <c r="G3617" s="13"/>
    </row>
    <row r="3618" spans="1:7" hidden="1" x14ac:dyDescent="0.75">
      <c r="A3618" s="51">
        <v>44939</v>
      </c>
      <c r="B3618" s="52">
        <v>55</v>
      </c>
      <c r="C3618" s="8" t="s">
        <v>4051</v>
      </c>
      <c r="D3618" s="8" t="s">
        <v>177</v>
      </c>
      <c r="E3618" s="52">
        <v>1405</v>
      </c>
      <c r="F3618" s="13">
        <v>4160.5</v>
      </c>
      <c r="G3618" s="13"/>
    </row>
    <row r="3619" spans="1:7" hidden="1" x14ac:dyDescent="0.75">
      <c r="A3619" s="51">
        <v>44939</v>
      </c>
      <c r="B3619" s="52">
        <v>55</v>
      </c>
      <c r="C3619" s="8" t="s">
        <v>4052</v>
      </c>
      <c r="D3619" s="8" t="s">
        <v>177</v>
      </c>
      <c r="E3619" s="52">
        <v>694</v>
      </c>
      <c r="F3619" s="13">
        <v>210</v>
      </c>
      <c r="G3619" s="13"/>
    </row>
    <row r="3620" spans="1:7" hidden="1" x14ac:dyDescent="0.75">
      <c r="A3620" s="51">
        <v>44939</v>
      </c>
      <c r="B3620" s="52">
        <v>55</v>
      </c>
      <c r="C3620" s="8" t="s">
        <v>4053</v>
      </c>
      <c r="D3620" s="8" t="s">
        <v>177</v>
      </c>
      <c r="E3620" s="52">
        <v>1794</v>
      </c>
      <c r="F3620" s="13">
        <v>999.5</v>
      </c>
      <c r="G3620" s="13"/>
    </row>
    <row r="3621" spans="1:7" hidden="1" x14ac:dyDescent="0.75">
      <c r="A3621" s="51">
        <v>44939</v>
      </c>
      <c r="B3621" s="52">
        <v>55</v>
      </c>
      <c r="C3621" s="8" t="s">
        <v>4054</v>
      </c>
      <c r="D3621" s="8" t="s">
        <v>177</v>
      </c>
      <c r="E3621" s="52">
        <v>1406</v>
      </c>
      <c r="F3621" s="13">
        <v>1544.5</v>
      </c>
      <c r="G3621" s="13"/>
    </row>
    <row r="3622" spans="1:7" hidden="1" x14ac:dyDescent="0.75">
      <c r="A3622" s="51">
        <v>44939</v>
      </c>
      <c r="B3622" s="52">
        <v>55</v>
      </c>
      <c r="C3622" s="8" t="s">
        <v>4055</v>
      </c>
      <c r="D3622" s="8" t="s">
        <v>177</v>
      </c>
      <c r="E3622" s="52">
        <v>748</v>
      </c>
      <c r="F3622" s="13">
        <v>1059.2</v>
      </c>
      <c r="G3622" s="13"/>
    </row>
    <row r="3623" spans="1:7" hidden="1" x14ac:dyDescent="0.75">
      <c r="A3623" s="51">
        <v>44939</v>
      </c>
      <c r="B3623" s="52">
        <v>55</v>
      </c>
      <c r="C3623" s="8" t="s">
        <v>4056</v>
      </c>
      <c r="D3623" s="8" t="s">
        <v>177</v>
      </c>
      <c r="E3623" s="52">
        <v>697</v>
      </c>
      <c r="F3623" s="13">
        <v>1250</v>
      </c>
      <c r="G3623" s="13"/>
    </row>
    <row r="3624" spans="1:7" hidden="1" x14ac:dyDescent="0.75">
      <c r="A3624" s="51">
        <v>44939</v>
      </c>
      <c r="B3624" s="52">
        <v>55</v>
      </c>
      <c r="C3624" s="8" t="s">
        <v>4057</v>
      </c>
      <c r="D3624" s="8" t="s">
        <v>177</v>
      </c>
      <c r="E3624" s="52">
        <v>769</v>
      </c>
      <c r="F3624" s="13">
        <v>1376</v>
      </c>
      <c r="G3624" s="13"/>
    </row>
    <row r="3625" spans="1:7" hidden="1" x14ac:dyDescent="0.75">
      <c r="A3625" s="51">
        <v>44939</v>
      </c>
      <c r="B3625" s="52">
        <v>55</v>
      </c>
      <c r="C3625" s="8" t="s">
        <v>4058</v>
      </c>
      <c r="D3625" s="8" t="s">
        <v>177</v>
      </c>
      <c r="E3625" s="52">
        <v>1348</v>
      </c>
      <c r="F3625" s="13">
        <v>330</v>
      </c>
      <c r="G3625" s="13"/>
    </row>
    <row r="3626" spans="1:7" hidden="1" x14ac:dyDescent="0.75">
      <c r="A3626" s="51">
        <v>44939</v>
      </c>
      <c r="B3626" s="52">
        <v>55</v>
      </c>
      <c r="C3626" s="8" t="s">
        <v>4059</v>
      </c>
      <c r="D3626" s="8" t="s">
        <v>177</v>
      </c>
      <c r="E3626" s="52">
        <v>1365</v>
      </c>
      <c r="F3626" s="13">
        <v>1426</v>
      </c>
      <c r="G3626" s="13"/>
    </row>
    <row r="3627" spans="1:7" hidden="1" x14ac:dyDescent="0.75">
      <c r="A3627" s="51">
        <v>44939</v>
      </c>
      <c r="B3627" s="52">
        <v>55</v>
      </c>
      <c r="C3627" s="8" t="s">
        <v>4060</v>
      </c>
      <c r="D3627" s="8" t="s">
        <v>177</v>
      </c>
      <c r="E3627" s="52">
        <v>774</v>
      </c>
      <c r="F3627" s="13">
        <v>1850</v>
      </c>
      <c r="G3627" s="13"/>
    </row>
    <row r="3628" spans="1:7" hidden="1" x14ac:dyDescent="0.75">
      <c r="A3628" s="51">
        <v>44939</v>
      </c>
      <c r="B3628" s="52">
        <v>55</v>
      </c>
      <c r="C3628" s="8" t="s">
        <v>4061</v>
      </c>
      <c r="D3628" s="8" t="s">
        <v>177</v>
      </c>
      <c r="E3628" s="52">
        <v>874</v>
      </c>
      <c r="F3628" s="13">
        <v>966.5</v>
      </c>
      <c r="G3628" s="13"/>
    </row>
    <row r="3629" spans="1:7" hidden="1" x14ac:dyDescent="0.75">
      <c r="A3629" s="51">
        <v>44939</v>
      </c>
      <c r="B3629" s="52">
        <v>55</v>
      </c>
      <c r="C3629" s="8" t="s">
        <v>4062</v>
      </c>
      <c r="D3629" s="8" t="s">
        <v>177</v>
      </c>
      <c r="E3629" s="52">
        <v>874</v>
      </c>
      <c r="F3629" s="13">
        <v>899.45</v>
      </c>
      <c r="G3629" s="13"/>
    </row>
    <row r="3630" spans="1:7" hidden="1" x14ac:dyDescent="0.75">
      <c r="A3630" s="51">
        <v>44939</v>
      </c>
      <c r="B3630" s="52">
        <v>55</v>
      </c>
      <c r="C3630" s="8" t="s">
        <v>4063</v>
      </c>
      <c r="D3630" s="8" t="s">
        <v>177</v>
      </c>
      <c r="E3630" s="52">
        <v>1684</v>
      </c>
      <c r="F3630" s="13">
        <v>60</v>
      </c>
      <c r="G3630" s="13"/>
    </row>
    <row r="3631" spans="1:7" hidden="1" x14ac:dyDescent="0.75">
      <c r="A3631" s="51">
        <v>44939</v>
      </c>
      <c r="B3631" s="52">
        <v>55</v>
      </c>
      <c r="C3631" s="8" t="s">
        <v>4064</v>
      </c>
      <c r="D3631" s="8" t="s">
        <v>177</v>
      </c>
      <c r="E3631" s="52">
        <v>1721</v>
      </c>
      <c r="F3631" s="13">
        <v>800</v>
      </c>
      <c r="G3631" s="13"/>
    </row>
    <row r="3632" spans="1:7" hidden="1" x14ac:dyDescent="0.75">
      <c r="A3632" s="51">
        <v>44939</v>
      </c>
      <c r="B3632" s="52">
        <v>55</v>
      </c>
      <c r="C3632" s="8" t="s">
        <v>4065</v>
      </c>
      <c r="D3632" s="8" t="s">
        <v>177</v>
      </c>
      <c r="E3632" s="52">
        <v>1979</v>
      </c>
      <c r="F3632" s="13">
        <v>4976</v>
      </c>
      <c r="G3632" s="13"/>
    </row>
    <row r="3633" spans="1:7" hidden="1" x14ac:dyDescent="0.75">
      <c r="A3633" s="51">
        <v>44939</v>
      </c>
      <c r="B3633" s="52">
        <v>55</v>
      </c>
      <c r="C3633" s="8" t="s">
        <v>4066</v>
      </c>
      <c r="D3633" s="8" t="s">
        <v>177</v>
      </c>
      <c r="E3633" s="52">
        <v>1979</v>
      </c>
      <c r="F3633" s="13">
        <v>4976</v>
      </c>
      <c r="G3633" s="13"/>
    </row>
    <row r="3634" spans="1:7" hidden="1" x14ac:dyDescent="0.75">
      <c r="A3634" s="51">
        <v>44939</v>
      </c>
      <c r="B3634" s="52">
        <v>55</v>
      </c>
      <c r="C3634" s="8" t="s">
        <v>4067</v>
      </c>
      <c r="D3634" s="8" t="s">
        <v>177</v>
      </c>
      <c r="E3634" s="52">
        <v>769</v>
      </c>
      <c r="F3634" s="13">
        <v>7198</v>
      </c>
      <c r="G3634" s="13"/>
    </row>
    <row r="3635" spans="1:7" hidden="1" x14ac:dyDescent="0.75">
      <c r="A3635" s="51">
        <v>44939</v>
      </c>
      <c r="B3635" s="52">
        <v>55</v>
      </c>
      <c r="C3635" s="8" t="s">
        <v>1421</v>
      </c>
      <c r="D3635" s="8" t="s">
        <v>177</v>
      </c>
      <c r="E3635" s="52">
        <v>5</v>
      </c>
      <c r="F3635" s="13">
        <v>84.75</v>
      </c>
      <c r="G3635" s="13"/>
    </row>
    <row r="3636" spans="1:7" hidden="1" x14ac:dyDescent="0.75">
      <c r="A3636" s="51">
        <v>44939</v>
      </c>
      <c r="B3636" s="52">
        <v>55</v>
      </c>
      <c r="C3636" s="8" t="s">
        <v>4068</v>
      </c>
      <c r="D3636" s="8" t="s">
        <v>177</v>
      </c>
      <c r="E3636" s="52">
        <v>1646</v>
      </c>
      <c r="F3636" s="13"/>
      <c r="G3636" s="13">
        <v>1089.3</v>
      </c>
    </row>
    <row r="3637" spans="1:7" hidden="1" x14ac:dyDescent="0.75">
      <c r="A3637" s="51">
        <v>44939</v>
      </c>
      <c r="B3637" s="52">
        <v>55</v>
      </c>
      <c r="C3637" s="8" t="s">
        <v>4069</v>
      </c>
      <c r="D3637" s="8" t="s">
        <v>177</v>
      </c>
      <c r="E3637" s="52">
        <v>1646</v>
      </c>
      <c r="F3637" s="13"/>
      <c r="G3637" s="13">
        <v>76</v>
      </c>
    </row>
    <row r="3638" spans="1:7" hidden="1" x14ac:dyDescent="0.75">
      <c r="A3638" s="51">
        <v>44939</v>
      </c>
      <c r="B3638" s="52">
        <v>55</v>
      </c>
      <c r="C3638" s="8" t="s">
        <v>4070</v>
      </c>
      <c r="D3638" s="8" t="s">
        <v>177</v>
      </c>
      <c r="E3638" s="52">
        <v>769</v>
      </c>
      <c r="F3638" s="13"/>
      <c r="G3638" s="13">
        <v>490</v>
      </c>
    </row>
    <row r="3639" spans="1:7" hidden="1" x14ac:dyDescent="0.75">
      <c r="A3639" s="51">
        <v>44939</v>
      </c>
      <c r="B3639" s="52">
        <v>55</v>
      </c>
      <c r="C3639" s="8" t="s">
        <v>4071</v>
      </c>
      <c r="D3639" s="8" t="s">
        <v>177</v>
      </c>
      <c r="E3639" s="52">
        <v>1405</v>
      </c>
      <c r="F3639" s="13"/>
      <c r="G3639" s="13">
        <v>2340</v>
      </c>
    </row>
    <row r="3640" spans="1:7" hidden="1" x14ac:dyDescent="0.75">
      <c r="A3640" s="51">
        <v>44939</v>
      </c>
      <c r="B3640" s="52">
        <v>55</v>
      </c>
      <c r="C3640" s="8" t="s">
        <v>4072</v>
      </c>
      <c r="D3640" s="8" t="s">
        <v>177</v>
      </c>
      <c r="E3640" s="52">
        <v>1405</v>
      </c>
      <c r="F3640" s="13"/>
      <c r="G3640" s="13">
        <v>1170</v>
      </c>
    </row>
    <row r="3641" spans="1:7" hidden="1" x14ac:dyDescent="0.75">
      <c r="A3641" s="51">
        <v>44939</v>
      </c>
      <c r="B3641" s="52">
        <v>55</v>
      </c>
      <c r="C3641" s="8" t="s">
        <v>4073</v>
      </c>
      <c r="D3641" s="8" t="s">
        <v>177</v>
      </c>
      <c r="E3641" s="52">
        <v>1405</v>
      </c>
      <c r="F3641" s="13"/>
      <c r="G3641" s="13">
        <v>1170</v>
      </c>
    </row>
    <row r="3642" spans="1:7" hidden="1" x14ac:dyDescent="0.75">
      <c r="A3642" s="51">
        <v>44939</v>
      </c>
      <c r="B3642" s="52">
        <v>55</v>
      </c>
      <c r="C3642" s="8" t="s">
        <v>4074</v>
      </c>
      <c r="D3642" s="8" t="s">
        <v>177</v>
      </c>
      <c r="E3642" s="52">
        <v>1405</v>
      </c>
      <c r="F3642" s="13"/>
      <c r="G3642" s="13">
        <v>1170</v>
      </c>
    </row>
    <row r="3643" spans="1:7" hidden="1" x14ac:dyDescent="0.75">
      <c r="A3643" s="51">
        <v>44940</v>
      </c>
      <c r="B3643" s="52">
        <v>55</v>
      </c>
      <c r="C3643" s="8" t="s">
        <v>4075</v>
      </c>
      <c r="D3643" s="8" t="s">
        <v>177</v>
      </c>
      <c r="E3643" s="52">
        <v>686</v>
      </c>
      <c r="F3643" s="13">
        <v>481.6</v>
      </c>
      <c r="G3643" s="13"/>
    </row>
    <row r="3644" spans="1:7" hidden="1" x14ac:dyDescent="0.75">
      <c r="A3644" s="51">
        <v>44940</v>
      </c>
      <c r="B3644" s="52">
        <v>55</v>
      </c>
      <c r="C3644" s="8" t="s">
        <v>4076</v>
      </c>
      <c r="D3644" s="8" t="s">
        <v>177</v>
      </c>
      <c r="E3644" s="52">
        <v>687</v>
      </c>
      <c r="F3644" s="13">
        <v>152.19999999999999</v>
      </c>
      <c r="G3644" s="13"/>
    </row>
    <row r="3645" spans="1:7" hidden="1" x14ac:dyDescent="0.75">
      <c r="A3645" s="51">
        <v>44940</v>
      </c>
      <c r="B3645" s="52">
        <v>55</v>
      </c>
      <c r="C3645" s="8" t="s">
        <v>4077</v>
      </c>
      <c r="D3645" s="8" t="s">
        <v>177</v>
      </c>
      <c r="E3645" s="52">
        <v>688</v>
      </c>
      <c r="F3645" s="13">
        <v>861.75</v>
      </c>
      <c r="G3645" s="13"/>
    </row>
    <row r="3646" spans="1:7" hidden="1" x14ac:dyDescent="0.75">
      <c r="A3646" s="51">
        <v>44940</v>
      </c>
      <c r="B3646" s="52">
        <v>55</v>
      </c>
      <c r="C3646" s="8" t="s">
        <v>4078</v>
      </c>
      <c r="D3646" s="8" t="s">
        <v>177</v>
      </c>
      <c r="E3646" s="52">
        <v>690</v>
      </c>
      <c r="F3646" s="13">
        <v>915.1</v>
      </c>
      <c r="G3646" s="13"/>
    </row>
    <row r="3647" spans="1:7" hidden="1" x14ac:dyDescent="0.75">
      <c r="A3647" s="51">
        <v>44940</v>
      </c>
      <c r="B3647" s="52">
        <v>55</v>
      </c>
      <c r="C3647" s="8" t="s">
        <v>4079</v>
      </c>
      <c r="D3647" s="8" t="s">
        <v>177</v>
      </c>
      <c r="E3647" s="52">
        <v>696</v>
      </c>
      <c r="F3647" s="13">
        <v>71</v>
      </c>
      <c r="G3647" s="13"/>
    </row>
    <row r="3648" spans="1:7" hidden="1" x14ac:dyDescent="0.75">
      <c r="A3648" s="51">
        <v>44940</v>
      </c>
      <c r="B3648" s="52">
        <v>55</v>
      </c>
      <c r="C3648" s="8" t="s">
        <v>4080</v>
      </c>
      <c r="D3648" s="8" t="s">
        <v>177</v>
      </c>
      <c r="E3648" s="52">
        <v>689</v>
      </c>
      <c r="F3648" s="13">
        <v>875</v>
      </c>
      <c r="G3648" s="13"/>
    </row>
    <row r="3649" spans="1:7" hidden="1" x14ac:dyDescent="0.75">
      <c r="A3649" s="51">
        <v>44940</v>
      </c>
      <c r="B3649" s="52">
        <v>55</v>
      </c>
      <c r="C3649" s="8" t="s">
        <v>4081</v>
      </c>
      <c r="D3649" s="8" t="s">
        <v>177</v>
      </c>
      <c r="E3649" s="52">
        <v>973</v>
      </c>
      <c r="F3649" s="13">
        <v>24.2</v>
      </c>
      <c r="G3649" s="13"/>
    </row>
    <row r="3650" spans="1:7" hidden="1" x14ac:dyDescent="0.75">
      <c r="A3650" s="51">
        <v>44940</v>
      </c>
      <c r="B3650" s="52">
        <v>55</v>
      </c>
      <c r="C3650" s="8" t="s">
        <v>4082</v>
      </c>
      <c r="D3650" s="8" t="s">
        <v>177</v>
      </c>
      <c r="E3650" s="52">
        <v>694</v>
      </c>
      <c r="F3650" s="13">
        <v>117</v>
      </c>
      <c r="G3650" s="13"/>
    </row>
    <row r="3651" spans="1:7" hidden="1" x14ac:dyDescent="0.75">
      <c r="A3651" s="51">
        <v>44940</v>
      </c>
      <c r="B3651" s="52">
        <v>55</v>
      </c>
      <c r="C3651" s="8" t="s">
        <v>4083</v>
      </c>
      <c r="D3651" s="8" t="s">
        <v>177</v>
      </c>
      <c r="E3651" s="52">
        <v>703</v>
      </c>
      <c r="F3651" s="13">
        <v>30</v>
      </c>
      <c r="G3651" s="13"/>
    </row>
    <row r="3652" spans="1:7" hidden="1" x14ac:dyDescent="0.75">
      <c r="A3652" s="51">
        <v>44940</v>
      </c>
      <c r="B3652" s="52">
        <v>55</v>
      </c>
      <c r="C3652" s="8" t="s">
        <v>4084</v>
      </c>
      <c r="D3652" s="8" t="s">
        <v>177</v>
      </c>
      <c r="E3652" s="52">
        <v>1518</v>
      </c>
      <c r="F3652" s="13">
        <v>24</v>
      </c>
      <c r="G3652" s="13"/>
    </row>
    <row r="3653" spans="1:7" hidden="1" x14ac:dyDescent="0.75">
      <c r="A3653" s="51">
        <v>44940</v>
      </c>
      <c r="B3653" s="52">
        <v>55</v>
      </c>
      <c r="C3653" s="8" t="s">
        <v>4085</v>
      </c>
      <c r="D3653" s="8" t="s">
        <v>177</v>
      </c>
      <c r="E3653" s="52">
        <v>1558</v>
      </c>
      <c r="F3653" s="13">
        <v>161.5</v>
      </c>
      <c r="G3653" s="13"/>
    </row>
    <row r="3654" spans="1:7" hidden="1" x14ac:dyDescent="0.75">
      <c r="A3654" s="51">
        <v>44940</v>
      </c>
      <c r="B3654" s="52">
        <v>55</v>
      </c>
      <c r="C3654" s="8" t="s">
        <v>4086</v>
      </c>
      <c r="D3654" s="8" t="s">
        <v>177</v>
      </c>
      <c r="E3654" s="52">
        <v>1405</v>
      </c>
      <c r="F3654" s="13">
        <v>1134.5</v>
      </c>
      <c r="G3654" s="13"/>
    </row>
    <row r="3655" spans="1:7" hidden="1" x14ac:dyDescent="0.75">
      <c r="A3655" s="51">
        <v>44940</v>
      </c>
      <c r="B3655" s="52">
        <v>55</v>
      </c>
      <c r="C3655" s="8" t="s">
        <v>4087</v>
      </c>
      <c r="D3655" s="8" t="s">
        <v>177</v>
      </c>
      <c r="E3655" s="52">
        <v>686</v>
      </c>
      <c r="F3655" s="13">
        <v>103.5</v>
      </c>
      <c r="G3655" s="13"/>
    </row>
    <row r="3656" spans="1:7" hidden="1" x14ac:dyDescent="0.75">
      <c r="A3656" s="51">
        <v>44940</v>
      </c>
      <c r="B3656" s="52">
        <v>55</v>
      </c>
      <c r="C3656" s="8" t="s">
        <v>4088</v>
      </c>
      <c r="D3656" s="8" t="s">
        <v>177</v>
      </c>
      <c r="E3656" s="52">
        <v>687</v>
      </c>
      <c r="F3656" s="13">
        <v>123.8</v>
      </c>
      <c r="G3656" s="13"/>
    </row>
    <row r="3657" spans="1:7" hidden="1" x14ac:dyDescent="0.75">
      <c r="A3657" s="51">
        <v>44940</v>
      </c>
      <c r="B3657" s="52">
        <v>55</v>
      </c>
      <c r="C3657" s="8" t="s">
        <v>4089</v>
      </c>
      <c r="D3657" s="8" t="s">
        <v>177</v>
      </c>
      <c r="E3657" s="52">
        <v>688</v>
      </c>
      <c r="F3657" s="13">
        <v>559</v>
      </c>
      <c r="G3657" s="13"/>
    </row>
    <row r="3658" spans="1:7" hidden="1" x14ac:dyDescent="0.75">
      <c r="A3658" s="51">
        <v>44940</v>
      </c>
      <c r="B3658" s="52">
        <v>55</v>
      </c>
      <c r="C3658" s="8" t="s">
        <v>4090</v>
      </c>
      <c r="D3658" s="8" t="s">
        <v>177</v>
      </c>
      <c r="E3658" s="52">
        <v>690</v>
      </c>
      <c r="F3658" s="13">
        <v>822.5</v>
      </c>
      <c r="G3658" s="13"/>
    </row>
    <row r="3659" spans="1:7" hidden="1" x14ac:dyDescent="0.75">
      <c r="A3659" s="51">
        <v>44940</v>
      </c>
      <c r="B3659" s="52">
        <v>55</v>
      </c>
      <c r="C3659" s="8" t="s">
        <v>4091</v>
      </c>
      <c r="D3659" s="8" t="s">
        <v>177</v>
      </c>
      <c r="E3659" s="52">
        <v>696</v>
      </c>
      <c r="F3659" s="13">
        <v>42</v>
      </c>
      <c r="G3659" s="13"/>
    </row>
    <row r="3660" spans="1:7" hidden="1" x14ac:dyDescent="0.75">
      <c r="A3660" s="51">
        <v>44940</v>
      </c>
      <c r="B3660" s="52">
        <v>55</v>
      </c>
      <c r="C3660" s="8" t="s">
        <v>4092</v>
      </c>
      <c r="D3660" s="8" t="s">
        <v>177</v>
      </c>
      <c r="E3660" s="52">
        <v>748</v>
      </c>
      <c r="F3660" s="13">
        <v>528</v>
      </c>
      <c r="G3660" s="13"/>
    </row>
    <row r="3661" spans="1:7" hidden="1" x14ac:dyDescent="0.75">
      <c r="A3661" s="51">
        <v>44940</v>
      </c>
      <c r="B3661" s="52">
        <v>55</v>
      </c>
      <c r="C3661" s="8" t="s">
        <v>4093</v>
      </c>
      <c r="D3661" s="8" t="s">
        <v>177</v>
      </c>
      <c r="E3661" s="52">
        <v>1350</v>
      </c>
      <c r="F3661" s="13">
        <v>360</v>
      </c>
      <c r="G3661" s="13"/>
    </row>
    <row r="3662" spans="1:7" hidden="1" x14ac:dyDescent="0.75">
      <c r="A3662" s="51">
        <v>44940</v>
      </c>
      <c r="B3662" s="52">
        <v>55</v>
      </c>
      <c r="C3662" s="8" t="s">
        <v>4094</v>
      </c>
      <c r="D3662" s="8" t="s">
        <v>177</v>
      </c>
      <c r="E3662" s="52">
        <v>771</v>
      </c>
      <c r="F3662" s="13">
        <v>640</v>
      </c>
      <c r="G3662" s="13"/>
    </row>
    <row r="3663" spans="1:7" hidden="1" x14ac:dyDescent="0.75">
      <c r="A3663" s="51">
        <v>44940</v>
      </c>
      <c r="B3663" s="52">
        <v>55</v>
      </c>
      <c r="C3663" s="8" t="s">
        <v>4095</v>
      </c>
      <c r="D3663" s="8" t="s">
        <v>177</v>
      </c>
      <c r="E3663" s="52">
        <v>754</v>
      </c>
      <c r="F3663" s="13">
        <v>215</v>
      </c>
      <c r="G3663" s="13"/>
    </row>
    <row r="3664" spans="1:7" hidden="1" x14ac:dyDescent="0.75">
      <c r="A3664" s="51">
        <v>44940</v>
      </c>
      <c r="B3664" s="52">
        <v>55</v>
      </c>
      <c r="C3664" s="8" t="s">
        <v>4096</v>
      </c>
      <c r="D3664" s="8" t="s">
        <v>177</v>
      </c>
      <c r="E3664" s="52">
        <v>1961</v>
      </c>
      <c r="F3664" s="13">
        <v>3846.55</v>
      </c>
      <c r="G3664" s="13"/>
    </row>
    <row r="3665" spans="1:7" hidden="1" x14ac:dyDescent="0.75">
      <c r="A3665" s="51">
        <v>44940</v>
      </c>
      <c r="B3665" s="52">
        <v>55</v>
      </c>
      <c r="C3665" s="8" t="s">
        <v>4097</v>
      </c>
      <c r="D3665" s="8" t="s">
        <v>177</v>
      </c>
      <c r="E3665" s="52">
        <v>1365</v>
      </c>
      <c r="F3665" s="13">
        <v>1104</v>
      </c>
      <c r="G3665" s="13"/>
    </row>
    <row r="3666" spans="1:7" hidden="1" x14ac:dyDescent="0.75">
      <c r="A3666" s="51">
        <v>44940</v>
      </c>
      <c r="B3666" s="52">
        <v>55</v>
      </c>
      <c r="C3666" s="8" t="s">
        <v>4098</v>
      </c>
      <c r="D3666" s="8" t="s">
        <v>177</v>
      </c>
      <c r="E3666" s="52">
        <v>1366</v>
      </c>
      <c r="F3666" s="13">
        <v>1142.5</v>
      </c>
      <c r="G3666" s="13"/>
    </row>
    <row r="3667" spans="1:7" hidden="1" x14ac:dyDescent="0.75">
      <c r="A3667" s="51">
        <v>44940</v>
      </c>
      <c r="B3667" s="52">
        <v>55</v>
      </c>
      <c r="C3667" s="8" t="s">
        <v>4099</v>
      </c>
      <c r="D3667" s="8" t="s">
        <v>177</v>
      </c>
      <c r="E3667" s="52">
        <v>1366</v>
      </c>
      <c r="F3667" s="13">
        <v>1300</v>
      </c>
      <c r="G3667" s="13"/>
    </row>
    <row r="3668" spans="1:7" hidden="1" x14ac:dyDescent="0.75">
      <c r="A3668" s="51">
        <v>44940</v>
      </c>
      <c r="B3668" s="52">
        <v>55</v>
      </c>
      <c r="C3668" s="8" t="s">
        <v>4100</v>
      </c>
      <c r="D3668" s="8" t="s">
        <v>177</v>
      </c>
      <c r="E3668" s="52">
        <v>1366</v>
      </c>
      <c r="F3668" s="13">
        <v>1137.5</v>
      </c>
      <c r="G3668" s="13"/>
    </row>
    <row r="3669" spans="1:7" hidden="1" x14ac:dyDescent="0.75">
      <c r="A3669" s="51">
        <v>44940</v>
      </c>
      <c r="B3669" s="52">
        <v>55</v>
      </c>
      <c r="C3669" s="8" t="s">
        <v>4101</v>
      </c>
      <c r="D3669" s="8" t="s">
        <v>177</v>
      </c>
      <c r="E3669" s="52">
        <v>1306</v>
      </c>
      <c r="F3669" s="13">
        <v>3500</v>
      </c>
      <c r="G3669" s="13"/>
    </row>
    <row r="3670" spans="1:7" hidden="1" x14ac:dyDescent="0.75">
      <c r="A3670" s="51">
        <v>44940</v>
      </c>
      <c r="B3670" s="52">
        <v>55</v>
      </c>
      <c r="C3670" s="8" t="s">
        <v>4102</v>
      </c>
      <c r="D3670" s="8" t="s">
        <v>177</v>
      </c>
      <c r="E3670" s="52">
        <v>1306</v>
      </c>
      <c r="F3670" s="13">
        <v>1275</v>
      </c>
      <c r="G3670" s="13"/>
    </row>
    <row r="3671" spans="1:7" hidden="1" x14ac:dyDescent="0.75">
      <c r="A3671" s="51">
        <v>44940</v>
      </c>
      <c r="B3671" s="52">
        <v>55</v>
      </c>
      <c r="C3671" s="8" t="s">
        <v>4103</v>
      </c>
      <c r="D3671" s="8" t="s">
        <v>177</v>
      </c>
      <c r="E3671" s="52">
        <v>1684</v>
      </c>
      <c r="F3671" s="13">
        <v>279.5</v>
      </c>
      <c r="G3671" s="13"/>
    </row>
    <row r="3672" spans="1:7" hidden="1" x14ac:dyDescent="0.75">
      <c r="A3672" s="51">
        <v>44940</v>
      </c>
      <c r="B3672" s="52">
        <v>55</v>
      </c>
      <c r="C3672" s="8" t="s">
        <v>4104</v>
      </c>
      <c r="D3672" s="8" t="s">
        <v>177</v>
      </c>
      <c r="E3672" s="52">
        <v>1721</v>
      </c>
      <c r="F3672" s="13">
        <v>1108</v>
      </c>
      <c r="G3672" s="13"/>
    </row>
    <row r="3673" spans="1:7" hidden="1" x14ac:dyDescent="0.75">
      <c r="A3673" s="51">
        <v>44940</v>
      </c>
      <c r="B3673" s="52">
        <v>55</v>
      </c>
      <c r="C3673" s="8" t="s">
        <v>4105</v>
      </c>
      <c r="D3673" s="8" t="s">
        <v>177</v>
      </c>
      <c r="E3673" s="52">
        <v>769</v>
      </c>
      <c r="F3673" s="13">
        <v>5656</v>
      </c>
      <c r="G3673" s="13"/>
    </row>
    <row r="3674" spans="1:7" hidden="1" x14ac:dyDescent="0.75">
      <c r="A3674" s="51">
        <v>44940</v>
      </c>
      <c r="B3674" s="52">
        <v>55</v>
      </c>
      <c r="C3674" s="8" t="s">
        <v>4106</v>
      </c>
      <c r="D3674" s="8" t="s">
        <v>177</v>
      </c>
      <c r="E3674" s="52">
        <v>769</v>
      </c>
      <c r="F3674" s="13">
        <v>378</v>
      </c>
      <c r="G3674" s="13"/>
    </row>
    <row r="3675" spans="1:7" hidden="1" x14ac:dyDescent="0.75">
      <c r="A3675" s="51">
        <v>44940</v>
      </c>
      <c r="B3675" s="52">
        <v>55</v>
      </c>
      <c r="C3675" s="8" t="s">
        <v>4107</v>
      </c>
      <c r="D3675" s="8" t="s">
        <v>177</v>
      </c>
      <c r="E3675" s="52">
        <v>1646</v>
      </c>
      <c r="F3675" s="13"/>
      <c r="G3675" s="13">
        <v>600.53</v>
      </c>
    </row>
    <row r="3676" spans="1:7" hidden="1" x14ac:dyDescent="0.75">
      <c r="A3676" s="51">
        <v>44940</v>
      </c>
      <c r="B3676" s="52">
        <v>55</v>
      </c>
      <c r="C3676" s="8" t="s">
        <v>4108</v>
      </c>
      <c r="D3676" s="8" t="s">
        <v>177</v>
      </c>
      <c r="E3676" s="52">
        <v>1646</v>
      </c>
      <c r="F3676" s="13"/>
      <c r="G3676" s="13">
        <v>743.18</v>
      </c>
    </row>
    <row r="3677" spans="1:7" hidden="1" x14ac:dyDescent="0.75">
      <c r="A3677" s="51">
        <v>44940</v>
      </c>
      <c r="B3677" s="52">
        <v>55</v>
      </c>
      <c r="C3677" s="8" t="s">
        <v>4109</v>
      </c>
      <c r="D3677" s="8" t="s">
        <v>177</v>
      </c>
      <c r="E3677" s="52">
        <v>1646</v>
      </c>
      <c r="F3677" s="13"/>
      <c r="G3677" s="13">
        <v>576.04999999999995</v>
      </c>
    </row>
    <row r="3678" spans="1:7" hidden="1" x14ac:dyDescent="0.75">
      <c r="A3678" s="51">
        <v>44942</v>
      </c>
      <c r="B3678" s="52">
        <v>55</v>
      </c>
      <c r="C3678" s="8" t="s">
        <v>4110</v>
      </c>
      <c r="D3678" s="8" t="s">
        <v>177</v>
      </c>
      <c r="E3678" s="52">
        <v>973</v>
      </c>
      <c r="F3678" s="13">
        <v>30.8</v>
      </c>
      <c r="G3678" s="13"/>
    </row>
    <row r="3679" spans="1:7" hidden="1" x14ac:dyDescent="0.75">
      <c r="A3679" s="51">
        <v>44942</v>
      </c>
      <c r="B3679" s="52">
        <v>55</v>
      </c>
      <c r="C3679" s="8" t="s">
        <v>4111</v>
      </c>
      <c r="D3679" s="8" t="s">
        <v>177</v>
      </c>
      <c r="E3679" s="52">
        <v>1405</v>
      </c>
      <c r="F3679" s="13">
        <v>6067</v>
      </c>
      <c r="G3679" s="13"/>
    </row>
    <row r="3680" spans="1:7" hidden="1" x14ac:dyDescent="0.75">
      <c r="A3680" s="51">
        <v>44942</v>
      </c>
      <c r="B3680" s="52">
        <v>55</v>
      </c>
      <c r="C3680" s="8" t="s">
        <v>4112</v>
      </c>
      <c r="D3680" s="8" t="s">
        <v>177</v>
      </c>
      <c r="E3680" s="52">
        <v>703</v>
      </c>
      <c r="F3680" s="13">
        <v>80</v>
      </c>
      <c r="G3680" s="13"/>
    </row>
    <row r="3681" spans="1:7" hidden="1" x14ac:dyDescent="0.75">
      <c r="A3681" s="51">
        <v>44942</v>
      </c>
      <c r="B3681" s="52">
        <v>55</v>
      </c>
      <c r="C3681" s="8" t="s">
        <v>4113</v>
      </c>
      <c r="D3681" s="8" t="s">
        <v>177</v>
      </c>
      <c r="E3681" s="52">
        <v>695</v>
      </c>
      <c r="F3681" s="13">
        <v>273</v>
      </c>
      <c r="G3681" s="13"/>
    </row>
    <row r="3682" spans="1:7" hidden="1" x14ac:dyDescent="0.75">
      <c r="A3682" s="51">
        <v>44942</v>
      </c>
      <c r="B3682" s="52">
        <v>55</v>
      </c>
      <c r="C3682" s="8" t="s">
        <v>4114</v>
      </c>
      <c r="D3682" s="8" t="s">
        <v>177</v>
      </c>
      <c r="E3682" s="52">
        <v>1503</v>
      </c>
      <c r="F3682" s="13">
        <v>1865.6</v>
      </c>
      <c r="G3682" s="13"/>
    </row>
    <row r="3683" spans="1:7" hidden="1" x14ac:dyDescent="0.75">
      <c r="A3683" s="51">
        <v>44942</v>
      </c>
      <c r="B3683" s="52">
        <v>55</v>
      </c>
      <c r="C3683" s="8" t="s">
        <v>4115</v>
      </c>
      <c r="D3683" s="8" t="s">
        <v>177</v>
      </c>
      <c r="E3683" s="52">
        <v>1518</v>
      </c>
      <c r="F3683" s="13">
        <v>48</v>
      </c>
      <c r="G3683" s="13"/>
    </row>
    <row r="3684" spans="1:7" hidden="1" x14ac:dyDescent="0.75">
      <c r="A3684" s="51">
        <v>44942</v>
      </c>
      <c r="B3684" s="52">
        <v>55</v>
      </c>
      <c r="C3684" s="8" t="s">
        <v>4116</v>
      </c>
      <c r="D3684" s="8" t="s">
        <v>177</v>
      </c>
      <c r="E3684" s="52">
        <v>1406</v>
      </c>
      <c r="F3684" s="13">
        <v>1311</v>
      </c>
      <c r="G3684" s="13"/>
    </row>
    <row r="3685" spans="1:7" hidden="1" x14ac:dyDescent="0.75">
      <c r="A3685" s="51">
        <v>44942</v>
      </c>
      <c r="B3685" s="52">
        <v>55</v>
      </c>
      <c r="C3685" s="8" t="s">
        <v>4117</v>
      </c>
      <c r="D3685" s="8" t="s">
        <v>177</v>
      </c>
      <c r="E3685" s="52">
        <v>689</v>
      </c>
      <c r="F3685" s="13">
        <v>700</v>
      </c>
      <c r="G3685" s="13"/>
    </row>
    <row r="3686" spans="1:7" hidden="1" x14ac:dyDescent="0.75">
      <c r="A3686" s="51">
        <v>44942</v>
      </c>
      <c r="B3686" s="52">
        <v>55</v>
      </c>
      <c r="C3686" s="8" t="s">
        <v>4118</v>
      </c>
      <c r="D3686" s="8" t="s">
        <v>177</v>
      </c>
      <c r="E3686" s="52">
        <v>1794</v>
      </c>
      <c r="F3686" s="13">
        <v>1424</v>
      </c>
      <c r="G3686" s="13"/>
    </row>
    <row r="3687" spans="1:7" hidden="1" x14ac:dyDescent="0.75">
      <c r="A3687" s="51">
        <v>44942</v>
      </c>
      <c r="B3687" s="52">
        <v>55</v>
      </c>
      <c r="C3687" s="8" t="s">
        <v>4119</v>
      </c>
      <c r="D3687" s="8" t="s">
        <v>177</v>
      </c>
      <c r="E3687" s="52">
        <v>1898</v>
      </c>
      <c r="F3687" s="13">
        <v>4003.2</v>
      </c>
      <c r="G3687" s="13"/>
    </row>
    <row r="3688" spans="1:7" hidden="1" x14ac:dyDescent="0.75">
      <c r="A3688" s="51">
        <v>44942</v>
      </c>
      <c r="B3688" s="52">
        <v>55</v>
      </c>
      <c r="C3688" s="8" t="s">
        <v>4120</v>
      </c>
      <c r="D3688" s="8" t="s">
        <v>177</v>
      </c>
      <c r="E3688" s="52">
        <v>748</v>
      </c>
      <c r="F3688" s="13">
        <v>1136</v>
      </c>
      <c r="G3688" s="13"/>
    </row>
    <row r="3689" spans="1:7" hidden="1" x14ac:dyDescent="0.75">
      <c r="A3689" s="51">
        <v>44942</v>
      </c>
      <c r="B3689" s="52">
        <v>55</v>
      </c>
      <c r="C3689" s="8" t="s">
        <v>4121</v>
      </c>
      <c r="D3689" s="8" t="s">
        <v>177</v>
      </c>
      <c r="E3689" s="52">
        <v>1350</v>
      </c>
      <c r="F3689" s="13">
        <v>220</v>
      </c>
      <c r="G3689" s="13"/>
    </row>
    <row r="3690" spans="1:7" hidden="1" x14ac:dyDescent="0.75">
      <c r="A3690" s="51">
        <v>44942</v>
      </c>
      <c r="B3690" s="52">
        <v>55</v>
      </c>
      <c r="C3690" s="8" t="s">
        <v>4122</v>
      </c>
      <c r="D3690" s="8" t="s">
        <v>177</v>
      </c>
      <c r="E3690" s="52">
        <v>754</v>
      </c>
      <c r="F3690" s="13">
        <v>245</v>
      </c>
      <c r="G3690" s="13"/>
    </row>
    <row r="3691" spans="1:7" hidden="1" x14ac:dyDescent="0.75">
      <c r="A3691" s="51">
        <v>44942</v>
      </c>
      <c r="B3691" s="52">
        <v>55</v>
      </c>
      <c r="C3691" s="8" t="s">
        <v>4123</v>
      </c>
      <c r="D3691" s="8" t="s">
        <v>177</v>
      </c>
      <c r="E3691" s="52">
        <v>697</v>
      </c>
      <c r="F3691" s="13">
        <v>1450</v>
      </c>
      <c r="G3691" s="13"/>
    </row>
    <row r="3692" spans="1:7" hidden="1" x14ac:dyDescent="0.75">
      <c r="A3692" s="51">
        <v>44942</v>
      </c>
      <c r="B3692" s="52">
        <v>55</v>
      </c>
      <c r="C3692" s="8" t="s">
        <v>4124</v>
      </c>
      <c r="D3692" s="8" t="s">
        <v>177</v>
      </c>
      <c r="E3692" s="52">
        <v>1348</v>
      </c>
      <c r="F3692" s="13">
        <v>495</v>
      </c>
      <c r="G3692" s="13"/>
    </row>
    <row r="3693" spans="1:7" hidden="1" x14ac:dyDescent="0.75">
      <c r="A3693" s="51">
        <v>44942</v>
      </c>
      <c r="B3693" s="52">
        <v>55</v>
      </c>
      <c r="C3693" s="8" t="s">
        <v>4125</v>
      </c>
      <c r="D3693" s="8" t="s">
        <v>177</v>
      </c>
      <c r="E3693" s="52">
        <v>1365</v>
      </c>
      <c r="F3693" s="13">
        <v>372</v>
      </c>
      <c r="G3693" s="13"/>
    </row>
    <row r="3694" spans="1:7" hidden="1" x14ac:dyDescent="0.75">
      <c r="A3694" s="51">
        <v>44942</v>
      </c>
      <c r="B3694" s="52">
        <v>55</v>
      </c>
      <c r="C3694" s="8" t="s">
        <v>4126</v>
      </c>
      <c r="D3694" s="8" t="s">
        <v>177</v>
      </c>
      <c r="E3694" s="52">
        <v>774</v>
      </c>
      <c r="F3694" s="13">
        <v>1830</v>
      </c>
      <c r="G3694" s="13"/>
    </row>
    <row r="3695" spans="1:7" hidden="1" x14ac:dyDescent="0.75">
      <c r="A3695" s="51">
        <v>44942</v>
      </c>
      <c r="B3695" s="52">
        <v>55</v>
      </c>
      <c r="C3695" s="8" t="s">
        <v>4127</v>
      </c>
      <c r="D3695" s="8" t="s">
        <v>177</v>
      </c>
      <c r="E3695" s="52">
        <v>874</v>
      </c>
      <c r="F3695" s="13">
        <v>909</v>
      </c>
      <c r="G3695" s="13"/>
    </row>
    <row r="3696" spans="1:7" hidden="1" x14ac:dyDescent="0.75">
      <c r="A3696" s="51">
        <v>44942</v>
      </c>
      <c r="B3696" s="52">
        <v>55</v>
      </c>
      <c r="C3696" s="8" t="s">
        <v>4128</v>
      </c>
      <c r="D3696" s="8" t="s">
        <v>177</v>
      </c>
      <c r="E3696" s="52">
        <v>874</v>
      </c>
      <c r="F3696" s="13">
        <v>872.6</v>
      </c>
      <c r="G3696" s="13"/>
    </row>
    <row r="3697" spans="1:7" hidden="1" x14ac:dyDescent="0.75">
      <c r="A3697" s="51">
        <v>44942</v>
      </c>
      <c r="B3697" s="52">
        <v>55</v>
      </c>
      <c r="C3697" s="8" t="s">
        <v>4129</v>
      </c>
      <c r="D3697" s="8" t="s">
        <v>177</v>
      </c>
      <c r="E3697" s="52">
        <v>1684</v>
      </c>
      <c r="F3697" s="13">
        <v>507</v>
      </c>
      <c r="G3697" s="13"/>
    </row>
    <row r="3698" spans="1:7" hidden="1" x14ac:dyDescent="0.75">
      <c r="A3698" s="51">
        <v>44942</v>
      </c>
      <c r="B3698" s="52">
        <v>55</v>
      </c>
      <c r="C3698" s="8" t="s">
        <v>4130</v>
      </c>
      <c r="D3698" s="8" t="s">
        <v>177</v>
      </c>
      <c r="E3698" s="52">
        <v>1721</v>
      </c>
      <c r="F3698" s="13">
        <v>960</v>
      </c>
      <c r="G3698" s="13"/>
    </row>
    <row r="3699" spans="1:7" hidden="1" x14ac:dyDescent="0.75">
      <c r="A3699" s="51">
        <v>44942</v>
      </c>
      <c r="B3699" s="52">
        <v>55</v>
      </c>
      <c r="C3699" s="8" t="s">
        <v>4131</v>
      </c>
      <c r="D3699" s="8" t="s">
        <v>177</v>
      </c>
      <c r="E3699" s="52">
        <v>1900</v>
      </c>
      <c r="F3699" s="13">
        <v>401</v>
      </c>
      <c r="G3699" s="13"/>
    </row>
    <row r="3700" spans="1:7" hidden="1" x14ac:dyDescent="0.75">
      <c r="A3700" s="51">
        <v>44942</v>
      </c>
      <c r="B3700" s="52">
        <v>55</v>
      </c>
      <c r="C3700" s="8" t="s">
        <v>4132</v>
      </c>
      <c r="D3700" s="8" t="s">
        <v>177</v>
      </c>
      <c r="E3700" s="52">
        <v>769</v>
      </c>
      <c r="F3700" s="13">
        <v>5697</v>
      </c>
      <c r="G3700" s="13"/>
    </row>
    <row r="3701" spans="1:7" hidden="1" x14ac:dyDescent="0.75">
      <c r="A3701" s="51">
        <v>44942</v>
      </c>
      <c r="B3701" s="52">
        <v>55</v>
      </c>
      <c r="C3701" s="8" t="s">
        <v>4133</v>
      </c>
      <c r="D3701" s="8" t="s">
        <v>177</v>
      </c>
      <c r="E3701" s="52">
        <v>1646</v>
      </c>
      <c r="F3701" s="13"/>
      <c r="G3701" s="13">
        <v>736.1</v>
      </c>
    </row>
    <row r="3702" spans="1:7" hidden="1" x14ac:dyDescent="0.75">
      <c r="A3702" s="51">
        <v>44942</v>
      </c>
      <c r="B3702" s="52">
        <v>55</v>
      </c>
      <c r="C3702" s="8" t="s">
        <v>4134</v>
      </c>
      <c r="D3702" s="8" t="s">
        <v>177</v>
      </c>
      <c r="E3702" s="52">
        <v>518</v>
      </c>
      <c r="F3702" s="13"/>
      <c r="G3702" s="13">
        <v>13.14</v>
      </c>
    </row>
    <row r="3703" spans="1:7" hidden="1" x14ac:dyDescent="0.75">
      <c r="A3703" s="51">
        <v>44943</v>
      </c>
      <c r="B3703" s="52">
        <v>55</v>
      </c>
      <c r="C3703" s="8" t="s">
        <v>4135</v>
      </c>
      <c r="D3703" s="8" t="s">
        <v>177</v>
      </c>
      <c r="E3703" s="52">
        <v>973</v>
      </c>
      <c r="F3703" s="13">
        <v>8.8000000000000007</v>
      </c>
      <c r="G3703" s="13"/>
    </row>
    <row r="3704" spans="1:7" hidden="1" x14ac:dyDescent="0.75">
      <c r="A3704" s="51">
        <v>44943</v>
      </c>
      <c r="B3704" s="52">
        <v>55</v>
      </c>
      <c r="C3704" s="8" t="s">
        <v>4136</v>
      </c>
      <c r="D3704" s="8" t="s">
        <v>177</v>
      </c>
      <c r="E3704" s="52">
        <v>1405</v>
      </c>
      <c r="F3704" s="13">
        <v>2973.7</v>
      </c>
      <c r="G3704" s="13"/>
    </row>
    <row r="3705" spans="1:7" hidden="1" x14ac:dyDescent="0.75">
      <c r="A3705" s="51">
        <v>44943</v>
      </c>
      <c r="B3705" s="52">
        <v>55</v>
      </c>
      <c r="C3705" s="8" t="s">
        <v>4137</v>
      </c>
      <c r="D3705" s="8" t="s">
        <v>177</v>
      </c>
      <c r="E3705" s="52">
        <v>1503</v>
      </c>
      <c r="F3705" s="13">
        <v>1920</v>
      </c>
      <c r="G3705" s="13"/>
    </row>
    <row r="3706" spans="1:7" hidden="1" x14ac:dyDescent="0.75">
      <c r="A3706" s="51">
        <v>44943</v>
      </c>
      <c r="B3706" s="52">
        <v>55</v>
      </c>
      <c r="C3706" s="8" t="s">
        <v>4138</v>
      </c>
      <c r="D3706" s="8" t="s">
        <v>177</v>
      </c>
      <c r="E3706" s="52">
        <v>686</v>
      </c>
      <c r="F3706" s="13">
        <v>1140.5</v>
      </c>
      <c r="G3706" s="13"/>
    </row>
    <row r="3707" spans="1:7" hidden="1" x14ac:dyDescent="0.75">
      <c r="A3707" s="51">
        <v>44943</v>
      </c>
      <c r="B3707" s="52">
        <v>55</v>
      </c>
      <c r="C3707" s="8" t="s">
        <v>4139</v>
      </c>
      <c r="D3707" s="8" t="s">
        <v>177</v>
      </c>
      <c r="E3707" s="52">
        <v>1518</v>
      </c>
      <c r="F3707" s="13">
        <v>13.5</v>
      </c>
      <c r="G3707" s="13"/>
    </row>
    <row r="3708" spans="1:7" hidden="1" x14ac:dyDescent="0.75">
      <c r="A3708" s="51">
        <v>44943</v>
      </c>
      <c r="B3708" s="52">
        <v>55</v>
      </c>
      <c r="C3708" s="8" t="s">
        <v>4140</v>
      </c>
      <c r="D3708" s="8" t="s">
        <v>177</v>
      </c>
      <c r="E3708" s="52">
        <v>688</v>
      </c>
      <c r="F3708" s="13">
        <v>807</v>
      </c>
      <c r="G3708" s="13"/>
    </row>
    <row r="3709" spans="1:7" hidden="1" x14ac:dyDescent="0.75">
      <c r="A3709" s="51">
        <v>44943</v>
      </c>
      <c r="B3709" s="52">
        <v>55</v>
      </c>
      <c r="C3709" s="8" t="s">
        <v>4141</v>
      </c>
      <c r="D3709" s="8" t="s">
        <v>177</v>
      </c>
      <c r="E3709" s="52">
        <v>690</v>
      </c>
      <c r="F3709" s="13">
        <v>1416.5</v>
      </c>
      <c r="G3709" s="13"/>
    </row>
    <row r="3710" spans="1:7" hidden="1" x14ac:dyDescent="0.75">
      <c r="A3710" s="51">
        <v>44943</v>
      </c>
      <c r="B3710" s="52">
        <v>55</v>
      </c>
      <c r="C3710" s="8" t="s">
        <v>4142</v>
      </c>
      <c r="D3710" s="8" t="s">
        <v>177</v>
      </c>
      <c r="E3710" s="52">
        <v>692</v>
      </c>
      <c r="F3710" s="13">
        <v>1180</v>
      </c>
      <c r="G3710" s="13"/>
    </row>
    <row r="3711" spans="1:7" hidden="1" x14ac:dyDescent="0.75">
      <c r="A3711" s="51">
        <v>44943</v>
      </c>
      <c r="B3711" s="52">
        <v>55</v>
      </c>
      <c r="C3711" s="8" t="s">
        <v>4143</v>
      </c>
      <c r="D3711" s="8" t="s">
        <v>177</v>
      </c>
      <c r="E3711" s="52">
        <v>689</v>
      </c>
      <c r="F3711" s="13">
        <v>1671.6</v>
      </c>
      <c r="G3711" s="13"/>
    </row>
    <row r="3712" spans="1:7" hidden="1" x14ac:dyDescent="0.75">
      <c r="A3712" s="51">
        <v>44943</v>
      </c>
      <c r="B3712" s="52">
        <v>55</v>
      </c>
      <c r="C3712" s="8" t="s">
        <v>4144</v>
      </c>
      <c r="D3712" s="8" t="s">
        <v>177</v>
      </c>
      <c r="E3712" s="52">
        <v>694</v>
      </c>
      <c r="F3712" s="13">
        <v>307.39999999999998</v>
      </c>
      <c r="G3712" s="13"/>
    </row>
    <row r="3713" spans="1:7" hidden="1" x14ac:dyDescent="0.75">
      <c r="A3713" s="51">
        <v>44943</v>
      </c>
      <c r="B3713" s="52">
        <v>55</v>
      </c>
      <c r="C3713" s="8" t="s">
        <v>4145</v>
      </c>
      <c r="D3713" s="8" t="s">
        <v>177</v>
      </c>
      <c r="E3713" s="52">
        <v>1794</v>
      </c>
      <c r="F3713" s="13">
        <v>580</v>
      </c>
      <c r="G3713" s="13"/>
    </row>
    <row r="3714" spans="1:7" hidden="1" x14ac:dyDescent="0.75">
      <c r="A3714" s="51">
        <v>44943</v>
      </c>
      <c r="B3714" s="52">
        <v>55</v>
      </c>
      <c r="C3714" s="8" t="s">
        <v>4146</v>
      </c>
      <c r="D3714" s="8" t="s">
        <v>177</v>
      </c>
      <c r="E3714" s="52">
        <v>1558</v>
      </c>
      <c r="F3714" s="13">
        <v>300</v>
      </c>
      <c r="G3714" s="13"/>
    </row>
    <row r="3715" spans="1:7" hidden="1" x14ac:dyDescent="0.75">
      <c r="A3715" s="51">
        <v>44943</v>
      </c>
      <c r="B3715" s="52">
        <v>55</v>
      </c>
      <c r="C3715" s="8" t="s">
        <v>4147</v>
      </c>
      <c r="D3715" s="8" t="s">
        <v>177</v>
      </c>
      <c r="E3715" s="52">
        <v>696</v>
      </c>
      <c r="F3715" s="13">
        <v>16</v>
      </c>
      <c r="G3715" s="13"/>
    </row>
    <row r="3716" spans="1:7" hidden="1" x14ac:dyDescent="0.75">
      <c r="A3716" s="51">
        <v>44943</v>
      </c>
      <c r="B3716" s="52">
        <v>55</v>
      </c>
      <c r="C3716" s="8" t="s">
        <v>4148</v>
      </c>
      <c r="D3716" s="8" t="s">
        <v>177</v>
      </c>
      <c r="E3716" s="52">
        <v>687</v>
      </c>
      <c r="F3716" s="13">
        <v>92.8</v>
      </c>
      <c r="G3716" s="13"/>
    </row>
    <row r="3717" spans="1:7" hidden="1" x14ac:dyDescent="0.75">
      <c r="A3717" s="51">
        <v>44943</v>
      </c>
      <c r="B3717" s="52">
        <v>55</v>
      </c>
      <c r="C3717" s="8" t="s">
        <v>4149</v>
      </c>
      <c r="D3717" s="8" t="s">
        <v>177</v>
      </c>
      <c r="E3717" s="52">
        <v>748</v>
      </c>
      <c r="F3717" s="13">
        <v>692</v>
      </c>
      <c r="G3717" s="13"/>
    </row>
    <row r="3718" spans="1:7" hidden="1" x14ac:dyDescent="0.75">
      <c r="A3718" s="51">
        <v>44943</v>
      </c>
      <c r="B3718" s="52">
        <v>55</v>
      </c>
      <c r="C3718" s="8" t="s">
        <v>4150</v>
      </c>
      <c r="D3718" s="8" t="s">
        <v>177</v>
      </c>
      <c r="E3718" s="52">
        <v>771</v>
      </c>
      <c r="F3718" s="13">
        <v>480</v>
      </c>
      <c r="G3718" s="13"/>
    </row>
    <row r="3719" spans="1:7" hidden="1" x14ac:dyDescent="0.75">
      <c r="A3719" s="51">
        <v>44943</v>
      </c>
      <c r="B3719" s="52">
        <v>55</v>
      </c>
      <c r="C3719" s="8" t="s">
        <v>4151</v>
      </c>
      <c r="D3719" s="8" t="s">
        <v>177</v>
      </c>
      <c r="E3719" s="52">
        <v>754</v>
      </c>
      <c r="F3719" s="13">
        <v>185</v>
      </c>
      <c r="G3719" s="13"/>
    </row>
    <row r="3720" spans="1:7" hidden="1" x14ac:dyDescent="0.75">
      <c r="A3720" s="51">
        <v>44943</v>
      </c>
      <c r="B3720" s="52">
        <v>55</v>
      </c>
      <c r="C3720" s="8" t="s">
        <v>4152</v>
      </c>
      <c r="D3720" s="8" t="s">
        <v>177</v>
      </c>
      <c r="E3720" s="52">
        <v>769</v>
      </c>
      <c r="F3720" s="13">
        <v>980</v>
      </c>
      <c r="G3720" s="13"/>
    </row>
    <row r="3721" spans="1:7" hidden="1" x14ac:dyDescent="0.75">
      <c r="A3721" s="51">
        <v>44943</v>
      </c>
      <c r="B3721" s="52">
        <v>55</v>
      </c>
      <c r="C3721" s="8" t="s">
        <v>4153</v>
      </c>
      <c r="D3721" s="8" t="s">
        <v>177</v>
      </c>
      <c r="E3721" s="52">
        <v>774</v>
      </c>
      <c r="F3721" s="13">
        <v>980</v>
      </c>
      <c r="G3721" s="13"/>
    </row>
    <row r="3722" spans="1:7" hidden="1" x14ac:dyDescent="0.75">
      <c r="A3722" s="51">
        <v>44943</v>
      </c>
      <c r="B3722" s="52">
        <v>55</v>
      </c>
      <c r="C3722" s="8" t="s">
        <v>4154</v>
      </c>
      <c r="D3722" s="8" t="s">
        <v>177</v>
      </c>
      <c r="E3722" s="52">
        <v>762</v>
      </c>
      <c r="F3722" s="13">
        <v>1560</v>
      </c>
      <c r="G3722" s="13"/>
    </row>
    <row r="3723" spans="1:7" hidden="1" x14ac:dyDescent="0.75">
      <c r="A3723" s="51">
        <v>44943</v>
      </c>
      <c r="B3723" s="52">
        <v>55</v>
      </c>
      <c r="C3723" s="8" t="s">
        <v>4155</v>
      </c>
      <c r="D3723" s="8" t="s">
        <v>177</v>
      </c>
      <c r="E3723" s="52">
        <v>1684</v>
      </c>
      <c r="F3723" s="13">
        <v>202.45</v>
      </c>
      <c r="G3723" s="13"/>
    </row>
    <row r="3724" spans="1:7" hidden="1" x14ac:dyDescent="0.75">
      <c r="A3724" s="51">
        <v>44943</v>
      </c>
      <c r="B3724" s="52">
        <v>55</v>
      </c>
      <c r="C3724" s="8" t="s">
        <v>4156</v>
      </c>
      <c r="D3724" s="8" t="s">
        <v>177</v>
      </c>
      <c r="E3724" s="52">
        <v>1721</v>
      </c>
      <c r="F3724" s="13">
        <v>1089</v>
      </c>
      <c r="G3724" s="13"/>
    </row>
    <row r="3725" spans="1:7" hidden="1" x14ac:dyDescent="0.75">
      <c r="A3725" s="51">
        <v>44943</v>
      </c>
      <c r="B3725" s="52">
        <v>55</v>
      </c>
      <c r="C3725" s="8" t="s">
        <v>4157</v>
      </c>
      <c r="D3725" s="8" t="s">
        <v>177</v>
      </c>
      <c r="E3725" s="52">
        <v>687</v>
      </c>
      <c r="F3725" s="13">
        <v>144.19999999999999</v>
      </c>
      <c r="G3725" s="13"/>
    </row>
    <row r="3726" spans="1:7" hidden="1" x14ac:dyDescent="0.75">
      <c r="A3726" s="51">
        <v>44943</v>
      </c>
      <c r="B3726" s="52">
        <v>55</v>
      </c>
      <c r="C3726" s="8" t="s">
        <v>4158</v>
      </c>
      <c r="D3726" s="8" t="s">
        <v>177</v>
      </c>
      <c r="E3726" s="52">
        <v>696</v>
      </c>
      <c r="F3726" s="13">
        <v>89</v>
      </c>
      <c r="G3726" s="13"/>
    </row>
    <row r="3727" spans="1:7" hidden="1" x14ac:dyDescent="0.75">
      <c r="A3727" s="51">
        <v>44943</v>
      </c>
      <c r="B3727" s="52">
        <v>55</v>
      </c>
      <c r="C3727" s="8" t="s">
        <v>4159</v>
      </c>
      <c r="D3727" s="8" t="s">
        <v>177</v>
      </c>
      <c r="E3727" s="52">
        <v>769</v>
      </c>
      <c r="F3727" s="13"/>
      <c r="G3727" s="13">
        <v>118.45</v>
      </c>
    </row>
    <row r="3728" spans="1:7" hidden="1" x14ac:dyDescent="0.75">
      <c r="A3728" s="51">
        <v>44943</v>
      </c>
      <c r="B3728" s="52">
        <v>55</v>
      </c>
      <c r="C3728" s="8" t="s">
        <v>4160</v>
      </c>
      <c r="D3728" s="8" t="s">
        <v>177</v>
      </c>
      <c r="E3728" s="52">
        <v>518</v>
      </c>
      <c r="F3728" s="13"/>
      <c r="G3728" s="13">
        <v>4.7</v>
      </c>
    </row>
    <row r="3729" spans="1:7" hidden="1" x14ac:dyDescent="0.75">
      <c r="A3729" s="51">
        <v>44943</v>
      </c>
      <c r="B3729" s="52">
        <v>55</v>
      </c>
      <c r="C3729" s="8" t="s">
        <v>4161</v>
      </c>
      <c r="D3729" s="8" t="s">
        <v>177</v>
      </c>
      <c r="E3729" s="52">
        <v>1646</v>
      </c>
      <c r="F3729" s="13"/>
      <c r="G3729" s="13">
        <v>210.2</v>
      </c>
    </row>
    <row r="3730" spans="1:7" hidden="1" x14ac:dyDescent="0.75">
      <c r="A3730" s="51">
        <v>44943</v>
      </c>
      <c r="B3730" s="52">
        <v>55</v>
      </c>
      <c r="C3730" s="8" t="s">
        <v>4162</v>
      </c>
      <c r="D3730" s="8" t="s">
        <v>177</v>
      </c>
      <c r="E3730" s="52">
        <v>1646</v>
      </c>
      <c r="F3730" s="13"/>
      <c r="G3730" s="13">
        <v>631.54</v>
      </c>
    </row>
    <row r="3731" spans="1:7" hidden="1" x14ac:dyDescent="0.75">
      <c r="A3731" s="51">
        <v>44943</v>
      </c>
      <c r="B3731" s="52">
        <v>55</v>
      </c>
      <c r="C3731" s="8" t="s">
        <v>4163</v>
      </c>
      <c r="D3731" s="8" t="s">
        <v>177</v>
      </c>
      <c r="E3731" s="52">
        <v>1646</v>
      </c>
      <c r="F3731" s="13"/>
      <c r="G3731" s="13">
        <v>395.96</v>
      </c>
    </row>
    <row r="3732" spans="1:7" hidden="1" x14ac:dyDescent="0.75">
      <c r="A3732" s="51">
        <v>44943</v>
      </c>
      <c r="B3732" s="52">
        <v>55</v>
      </c>
      <c r="C3732" s="8" t="s">
        <v>4164</v>
      </c>
      <c r="D3732" s="8" t="s">
        <v>177</v>
      </c>
      <c r="E3732" s="52">
        <v>518</v>
      </c>
      <c r="F3732" s="13"/>
      <c r="G3732" s="13">
        <v>39.299999999999997</v>
      </c>
    </row>
    <row r="3733" spans="1:7" hidden="1" x14ac:dyDescent="0.75">
      <c r="A3733" s="51">
        <v>44943</v>
      </c>
      <c r="B3733" s="52">
        <v>55</v>
      </c>
      <c r="C3733" s="8" t="s">
        <v>4165</v>
      </c>
      <c r="D3733" s="8" t="s">
        <v>177</v>
      </c>
      <c r="E3733" s="52">
        <v>1010</v>
      </c>
      <c r="F3733" s="13"/>
      <c r="G3733" s="13">
        <v>686.11</v>
      </c>
    </row>
    <row r="3734" spans="1:7" hidden="1" x14ac:dyDescent="0.75">
      <c r="A3734" s="51">
        <v>44944</v>
      </c>
      <c r="B3734" s="52">
        <v>55</v>
      </c>
      <c r="C3734" s="8" t="s">
        <v>4166</v>
      </c>
      <c r="D3734" s="8" t="s">
        <v>177</v>
      </c>
      <c r="E3734" s="52">
        <v>686</v>
      </c>
      <c r="F3734" s="13">
        <v>87</v>
      </c>
      <c r="G3734" s="13"/>
    </row>
    <row r="3735" spans="1:7" hidden="1" x14ac:dyDescent="0.75">
      <c r="A3735" s="51">
        <v>44944</v>
      </c>
      <c r="B3735" s="52">
        <v>55</v>
      </c>
      <c r="C3735" s="8" t="s">
        <v>4167</v>
      </c>
      <c r="D3735" s="8" t="s">
        <v>177</v>
      </c>
      <c r="E3735" s="52">
        <v>688</v>
      </c>
      <c r="F3735" s="13">
        <v>415.25</v>
      </c>
      <c r="G3735" s="13"/>
    </row>
    <row r="3736" spans="1:7" hidden="1" x14ac:dyDescent="0.75">
      <c r="A3736" s="51">
        <v>44944</v>
      </c>
      <c r="B3736" s="52">
        <v>55</v>
      </c>
      <c r="C3736" s="8" t="s">
        <v>4168</v>
      </c>
      <c r="D3736" s="8" t="s">
        <v>177</v>
      </c>
      <c r="E3736" s="52">
        <v>690</v>
      </c>
      <c r="F3736" s="13">
        <v>842.5</v>
      </c>
      <c r="G3736" s="13"/>
    </row>
    <row r="3737" spans="1:7" hidden="1" x14ac:dyDescent="0.75">
      <c r="A3737" s="51">
        <v>44944</v>
      </c>
      <c r="B3737" s="52">
        <v>55</v>
      </c>
      <c r="C3737" s="8" t="s">
        <v>4169</v>
      </c>
      <c r="D3737" s="8" t="s">
        <v>177</v>
      </c>
      <c r="E3737" s="52">
        <v>694</v>
      </c>
      <c r="F3737" s="13">
        <v>75.599999999999994</v>
      </c>
      <c r="G3737" s="13"/>
    </row>
    <row r="3738" spans="1:7" hidden="1" x14ac:dyDescent="0.75">
      <c r="A3738" s="51">
        <v>44944</v>
      </c>
      <c r="B3738" s="52">
        <v>55</v>
      </c>
      <c r="C3738" s="8" t="s">
        <v>4170</v>
      </c>
      <c r="D3738" s="8" t="s">
        <v>177</v>
      </c>
      <c r="E3738" s="52">
        <v>1405</v>
      </c>
      <c r="F3738" s="13">
        <v>3615</v>
      </c>
      <c r="G3738" s="13"/>
    </row>
    <row r="3739" spans="1:7" hidden="1" x14ac:dyDescent="0.75">
      <c r="A3739" s="51">
        <v>44944</v>
      </c>
      <c r="B3739" s="52">
        <v>55</v>
      </c>
      <c r="C3739" s="8" t="s">
        <v>4171</v>
      </c>
      <c r="D3739" s="8" t="s">
        <v>177</v>
      </c>
      <c r="E3739" s="52">
        <v>697</v>
      </c>
      <c r="F3739" s="13">
        <v>1200</v>
      </c>
      <c r="G3739" s="13"/>
    </row>
    <row r="3740" spans="1:7" hidden="1" x14ac:dyDescent="0.75">
      <c r="A3740" s="51">
        <v>44944</v>
      </c>
      <c r="B3740" s="52">
        <v>55</v>
      </c>
      <c r="C3740" s="8" t="s">
        <v>4172</v>
      </c>
      <c r="D3740" s="8" t="s">
        <v>177</v>
      </c>
      <c r="E3740" s="52">
        <v>695</v>
      </c>
      <c r="F3740" s="13">
        <v>171</v>
      </c>
      <c r="G3740" s="13"/>
    </row>
    <row r="3741" spans="1:7" hidden="1" x14ac:dyDescent="0.75">
      <c r="A3741" s="51">
        <v>44944</v>
      </c>
      <c r="B3741" s="52">
        <v>55</v>
      </c>
      <c r="C3741" s="8" t="s">
        <v>4173</v>
      </c>
      <c r="D3741" s="8" t="s">
        <v>177</v>
      </c>
      <c r="E3741" s="52">
        <v>1503</v>
      </c>
      <c r="F3741" s="13">
        <v>1340.8</v>
      </c>
      <c r="G3741" s="13"/>
    </row>
    <row r="3742" spans="1:7" hidden="1" x14ac:dyDescent="0.75">
      <c r="A3742" s="51">
        <v>44944</v>
      </c>
      <c r="B3742" s="52">
        <v>55</v>
      </c>
      <c r="C3742" s="8" t="s">
        <v>4174</v>
      </c>
      <c r="D3742" s="8" t="s">
        <v>177</v>
      </c>
      <c r="E3742" s="52">
        <v>1406</v>
      </c>
      <c r="F3742" s="13">
        <v>1001</v>
      </c>
      <c r="G3742" s="13"/>
    </row>
    <row r="3743" spans="1:7" hidden="1" x14ac:dyDescent="0.75">
      <c r="A3743" s="51">
        <v>44944</v>
      </c>
      <c r="B3743" s="52">
        <v>55</v>
      </c>
      <c r="C3743" s="8" t="s">
        <v>4175</v>
      </c>
      <c r="D3743" s="8" t="s">
        <v>177</v>
      </c>
      <c r="E3743" s="52">
        <v>687</v>
      </c>
      <c r="F3743" s="13">
        <v>84.8</v>
      </c>
      <c r="G3743" s="13"/>
    </row>
    <row r="3744" spans="1:7" hidden="1" x14ac:dyDescent="0.75">
      <c r="A3744" s="51">
        <v>44944</v>
      </c>
      <c r="B3744" s="52">
        <v>55</v>
      </c>
      <c r="C3744" s="8" t="s">
        <v>4176</v>
      </c>
      <c r="D3744" s="8" t="s">
        <v>177</v>
      </c>
      <c r="E3744" s="52">
        <v>696</v>
      </c>
      <c r="F3744" s="13">
        <v>30</v>
      </c>
      <c r="G3744" s="13"/>
    </row>
    <row r="3745" spans="1:7" hidden="1" x14ac:dyDescent="0.75">
      <c r="A3745" s="51">
        <v>44944</v>
      </c>
      <c r="B3745" s="52">
        <v>55</v>
      </c>
      <c r="C3745" s="8" t="s">
        <v>4177</v>
      </c>
      <c r="D3745" s="8" t="s">
        <v>177</v>
      </c>
      <c r="E3745" s="52">
        <v>692</v>
      </c>
      <c r="F3745" s="13">
        <v>1000</v>
      </c>
      <c r="G3745" s="13"/>
    </row>
    <row r="3746" spans="1:7" hidden="1" x14ac:dyDescent="0.75">
      <c r="A3746" s="51">
        <v>44944</v>
      </c>
      <c r="B3746" s="52">
        <v>55</v>
      </c>
      <c r="C3746" s="8" t="s">
        <v>4178</v>
      </c>
      <c r="D3746" s="8" t="s">
        <v>177</v>
      </c>
      <c r="E3746" s="52">
        <v>1794</v>
      </c>
      <c r="F3746" s="13">
        <v>400</v>
      </c>
      <c r="G3746" s="13"/>
    </row>
    <row r="3747" spans="1:7" hidden="1" x14ac:dyDescent="0.75">
      <c r="A3747" s="51">
        <v>44944</v>
      </c>
      <c r="B3747" s="52">
        <v>55</v>
      </c>
      <c r="C3747" s="8" t="s">
        <v>4179</v>
      </c>
      <c r="D3747" s="8" t="s">
        <v>177</v>
      </c>
      <c r="E3747" s="52">
        <v>748</v>
      </c>
      <c r="F3747" s="13">
        <v>688</v>
      </c>
      <c r="G3747" s="13"/>
    </row>
    <row r="3748" spans="1:7" hidden="1" x14ac:dyDescent="0.75">
      <c r="A3748" s="51">
        <v>44944</v>
      </c>
      <c r="B3748" s="52">
        <v>55</v>
      </c>
      <c r="C3748" s="8" t="s">
        <v>4180</v>
      </c>
      <c r="D3748" s="8" t="s">
        <v>177</v>
      </c>
      <c r="E3748" s="52">
        <v>1348</v>
      </c>
      <c r="F3748" s="13">
        <v>495</v>
      </c>
      <c r="G3748" s="13"/>
    </row>
    <row r="3749" spans="1:7" hidden="1" x14ac:dyDescent="0.75">
      <c r="A3749" s="51">
        <v>44944</v>
      </c>
      <c r="B3749" s="52">
        <v>55</v>
      </c>
      <c r="C3749" s="8" t="s">
        <v>4181</v>
      </c>
      <c r="D3749" s="8" t="s">
        <v>177</v>
      </c>
      <c r="E3749" s="52">
        <v>1961</v>
      </c>
      <c r="F3749" s="13">
        <v>7903.93</v>
      </c>
      <c r="G3749" s="13"/>
    </row>
    <row r="3750" spans="1:7" hidden="1" x14ac:dyDescent="0.75">
      <c r="A3750" s="51">
        <v>44944</v>
      </c>
      <c r="B3750" s="52">
        <v>55</v>
      </c>
      <c r="C3750" s="8" t="s">
        <v>4182</v>
      </c>
      <c r="D3750" s="8" t="s">
        <v>177</v>
      </c>
      <c r="E3750" s="52">
        <v>1366</v>
      </c>
      <c r="F3750" s="13">
        <v>2244</v>
      </c>
      <c r="G3750" s="13"/>
    </row>
    <row r="3751" spans="1:7" hidden="1" x14ac:dyDescent="0.75">
      <c r="A3751" s="51">
        <v>44944</v>
      </c>
      <c r="B3751" s="52">
        <v>55</v>
      </c>
      <c r="C3751" s="8" t="s">
        <v>4183</v>
      </c>
      <c r="D3751" s="8" t="s">
        <v>177</v>
      </c>
      <c r="E3751" s="52">
        <v>1366</v>
      </c>
      <c r="F3751" s="13">
        <v>415</v>
      </c>
      <c r="G3751" s="13"/>
    </row>
    <row r="3752" spans="1:7" hidden="1" x14ac:dyDescent="0.75">
      <c r="A3752" s="51">
        <v>44944</v>
      </c>
      <c r="B3752" s="52">
        <v>55</v>
      </c>
      <c r="C3752" s="8" t="s">
        <v>4184</v>
      </c>
      <c r="D3752" s="8" t="s">
        <v>177</v>
      </c>
      <c r="E3752" s="52">
        <v>874</v>
      </c>
      <c r="F3752" s="13">
        <v>971.85</v>
      </c>
      <c r="G3752" s="13"/>
    </row>
    <row r="3753" spans="1:7" hidden="1" x14ac:dyDescent="0.75">
      <c r="A3753" s="51">
        <v>44944</v>
      </c>
      <c r="B3753" s="52">
        <v>55</v>
      </c>
      <c r="C3753" s="8" t="s">
        <v>4185</v>
      </c>
      <c r="D3753" s="8" t="s">
        <v>177</v>
      </c>
      <c r="E3753" s="52">
        <v>874</v>
      </c>
      <c r="F3753" s="13">
        <v>579.75</v>
      </c>
      <c r="G3753" s="13"/>
    </row>
    <row r="3754" spans="1:7" hidden="1" x14ac:dyDescent="0.75">
      <c r="A3754" s="51">
        <v>44944</v>
      </c>
      <c r="B3754" s="52">
        <v>55</v>
      </c>
      <c r="C3754" s="8" t="s">
        <v>4186</v>
      </c>
      <c r="D3754" s="8" t="s">
        <v>177</v>
      </c>
      <c r="E3754" s="52">
        <v>874</v>
      </c>
      <c r="F3754" s="13">
        <v>252</v>
      </c>
      <c r="G3754" s="13"/>
    </row>
    <row r="3755" spans="1:7" hidden="1" x14ac:dyDescent="0.75">
      <c r="A3755" s="51">
        <v>44944</v>
      </c>
      <c r="B3755" s="52">
        <v>55</v>
      </c>
      <c r="C3755" s="8" t="s">
        <v>4187</v>
      </c>
      <c r="D3755" s="8" t="s">
        <v>177</v>
      </c>
      <c r="E3755" s="52">
        <v>1306</v>
      </c>
      <c r="F3755" s="13">
        <v>4483</v>
      </c>
      <c r="G3755" s="13"/>
    </row>
    <row r="3756" spans="1:7" hidden="1" x14ac:dyDescent="0.75">
      <c r="A3756" s="51">
        <v>44944</v>
      </c>
      <c r="B3756" s="52">
        <v>55</v>
      </c>
      <c r="C3756" s="8" t="s">
        <v>4188</v>
      </c>
      <c r="D3756" s="8" t="s">
        <v>177</v>
      </c>
      <c r="E3756" s="52">
        <v>1306</v>
      </c>
      <c r="F3756" s="13">
        <v>2021</v>
      </c>
      <c r="G3756" s="13"/>
    </row>
    <row r="3757" spans="1:7" hidden="1" x14ac:dyDescent="0.75">
      <c r="A3757" s="51">
        <v>44944</v>
      </c>
      <c r="B3757" s="52">
        <v>55</v>
      </c>
      <c r="C3757" s="8" t="s">
        <v>4189</v>
      </c>
      <c r="D3757" s="8" t="s">
        <v>177</v>
      </c>
      <c r="E3757" s="52">
        <v>1306</v>
      </c>
      <c r="F3757" s="13">
        <v>2027</v>
      </c>
      <c r="G3757" s="13"/>
    </row>
    <row r="3758" spans="1:7" hidden="1" x14ac:dyDescent="0.75">
      <c r="A3758" s="51">
        <v>44944</v>
      </c>
      <c r="B3758" s="52">
        <v>55</v>
      </c>
      <c r="C3758" s="8" t="s">
        <v>4190</v>
      </c>
      <c r="D3758" s="8" t="s">
        <v>177</v>
      </c>
      <c r="E3758" s="52">
        <v>1684</v>
      </c>
      <c r="F3758" s="13">
        <v>195</v>
      </c>
      <c r="G3758" s="13"/>
    </row>
    <row r="3759" spans="1:7" hidden="1" x14ac:dyDescent="0.75">
      <c r="A3759" s="51">
        <v>44944</v>
      </c>
      <c r="B3759" s="52">
        <v>55</v>
      </c>
      <c r="C3759" s="8" t="s">
        <v>4191</v>
      </c>
      <c r="D3759" s="8" t="s">
        <v>177</v>
      </c>
      <c r="E3759" s="52">
        <v>1721</v>
      </c>
      <c r="F3759" s="13">
        <v>268</v>
      </c>
      <c r="G3759" s="13"/>
    </row>
    <row r="3760" spans="1:7" hidden="1" x14ac:dyDescent="0.75">
      <c r="A3760" s="51">
        <v>44944</v>
      </c>
      <c r="B3760" s="52">
        <v>55</v>
      </c>
      <c r="C3760" s="8" t="s">
        <v>4192</v>
      </c>
      <c r="D3760" s="8" t="s">
        <v>177</v>
      </c>
      <c r="E3760" s="52">
        <v>1980</v>
      </c>
      <c r="F3760" s="13">
        <v>1650</v>
      </c>
      <c r="G3760" s="13"/>
    </row>
    <row r="3761" spans="1:7" hidden="1" x14ac:dyDescent="0.75">
      <c r="A3761" s="51">
        <v>44944</v>
      </c>
      <c r="B3761" s="52">
        <v>55</v>
      </c>
      <c r="C3761" s="8" t="s">
        <v>4193</v>
      </c>
      <c r="D3761" s="8" t="s">
        <v>177</v>
      </c>
      <c r="E3761" s="52">
        <v>1646</v>
      </c>
      <c r="F3761" s="13"/>
      <c r="G3761" s="13">
        <v>358.49</v>
      </c>
    </row>
    <row r="3762" spans="1:7" hidden="1" x14ac:dyDescent="0.75">
      <c r="A3762" s="51">
        <v>44944</v>
      </c>
      <c r="B3762" s="52">
        <v>55</v>
      </c>
      <c r="C3762" s="8" t="s">
        <v>4194</v>
      </c>
      <c r="D3762" s="8" t="s">
        <v>177</v>
      </c>
      <c r="E3762" s="52">
        <v>1646</v>
      </c>
      <c r="F3762" s="13"/>
      <c r="G3762" s="13">
        <v>342.75</v>
      </c>
    </row>
    <row r="3763" spans="1:7" hidden="1" x14ac:dyDescent="0.75">
      <c r="A3763" s="51">
        <v>44944</v>
      </c>
      <c r="B3763" s="52">
        <v>55</v>
      </c>
      <c r="C3763" s="8" t="s">
        <v>4195</v>
      </c>
      <c r="D3763" s="8" t="s">
        <v>177</v>
      </c>
      <c r="E3763" s="52">
        <v>1646</v>
      </c>
      <c r="F3763" s="13"/>
      <c r="G3763" s="13">
        <v>322.3</v>
      </c>
    </row>
    <row r="3764" spans="1:7" hidden="1" x14ac:dyDescent="0.75">
      <c r="A3764" s="51">
        <v>44945</v>
      </c>
      <c r="B3764" s="52">
        <v>55</v>
      </c>
      <c r="C3764" s="8" t="s">
        <v>4196</v>
      </c>
      <c r="D3764" s="8" t="s">
        <v>177</v>
      </c>
      <c r="E3764" s="52">
        <v>694</v>
      </c>
      <c r="F3764" s="13">
        <v>357.8</v>
      </c>
      <c r="G3764" s="13"/>
    </row>
    <row r="3765" spans="1:7" hidden="1" x14ac:dyDescent="0.75">
      <c r="A3765" s="51">
        <v>44945</v>
      </c>
      <c r="B3765" s="52">
        <v>55</v>
      </c>
      <c r="C3765" s="8" t="s">
        <v>4197</v>
      </c>
      <c r="D3765" s="8" t="s">
        <v>177</v>
      </c>
      <c r="E3765" s="52">
        <v>973</v>
      </c>
      <c r="F3765" s="13">
        <v>35.200000000000003</v>
      </c>
      <c r="G3765" s="13"/>
    </row>
    <row r="3766" spans="1:7" hidden="1" x14ac:dyDescent="0.75">
      <c r="A3766" s="51">
        <v>44945</v>
      </c>
      <c r="B3766" s="52">
        <v>55</v>
      </c>
      <c r="C3766" s="8" t="s">
        <v>4198</v>
      </c>
      <c r="D3766" s="8" t="s">
        <v>177</v>
      </c>
      <c r="E3766" s="52">
        <v>1405</v>
      </c>
      <c r="F3766" s="13">
        <v>2703</v>
      </c>
      <c r="G3766" s="13"/>
    </row>
    <row r="3767" spans="1:7" hidden="1" x14ac:dyDescent="0.75">
      <c r="A3767" s="51">
        <v>44945</v>
      </c>
      <c r="B3767" s="52">
        <v>55</v>
      </c>
      <c r="C3767" s="8" t="s">
        <v>4199</v>
      </c>
      <c r="D3767" s="8" t="s">
        <v>177</v>
      </c>
      <c r="E3767" s="52">
        <v>703</v>
      </c>
      <c r="F3767" s="13">
        <v>40</v>
      </c>
      <c r="G3767" s="13"/>
    </row>
    <row r="3768" spans="1:7" hidden="1" x14ac:dyDescent="0.75">
      <c r="A3768" s="51">
        <v>44945</v>
      </c>
      <c r="B3768" s="52">
        <v>55</v>
      </c>
      <c r="C3768" s="8" t="s">
        <v>4200</v>
      </c>
      <c r="D3768" s="8" t="s">
        <v>177</v>
      </c>
      <c r="E3768" s="52">
        <v>1503</v>
      </c>
      <c r="F3768" s="13">
        <v>2240</v>
      </c>
      <c r="G3768" s="13"/>
    </row>
    <row r="3769" spans="1:7" hidden="1" x14ac:dyDescent="0.75">
      <c r="A3769" s="51">
        <v>44945</v>
      </c>
      <c r="B3769" s="52">
        <v>55</v>
      </c>
      <c r="C3769" s="8" t="s">
        <v>4201</v>
      </c>
      <c r="D3769" s="8" t="s">
        <v>177</v>
      </c>
      <c r="E3769" s="52">
        <v>1518</v>
      </c>
      <c r="F3769" s="13">
        <v>43.5</v>
      </c>
      <c r="G3769" s="13"/>
    </row>
    <row r="3770" spans="1:7" hidden="1" x14ac:dyDescent="0.75">
      <c r="A3770" s="51">
        <v>44945</v>
      </c>
      <c r="B3770" s="52">
        <v>55</v>
      </c>
      <c r="C3770" s="8" t="s">
        <v>4202</v>
      </c>
      <c r="D3770" s="8" t="s">
        <v>177</v>
      </c>
      <c r="E3770" s="52">
        <v>686</v>
      </c>
      <c r="F3770" s="13">
        <v>823.5</v>
      </c>
      <c r="G3770" s="13"/>
    </row>
    <row r="3771" spans="1:7" hidden="1" x14ac:dyDescent="0.75">
      <c r="A3771" s="51">
        <v>44945</v>
      </c>
      <c r="B3771" s="52">
        <v>55</v>
      </c>
      <c r="C3771" s="8" t="s">
        <v>4203</v>
      </c>
      <c r="D3771" s="8" t="s">
        <v>177</v>
      </c>
      <c r="E3771" s="52">
        <v>688</v>
      </c>
      <c r="F3771" s="13">
        <v>1294</v>
      </c>
      <c r="G3771" s="13"/>
    </row>
    <row r="3772" spans="1:7" hidden="1" x14ac:dyDescent="0.75">
      <c r="A3772" s="51">
        <v>44945</v>
      </c>
      <c r="B3772" s="52">
        <v>55</v>
      </c>
      <c r="C3772" s="8" t="s">
        <v>4204</v>
      </c>
      <c r="D3772" s="8" t="s">
        <v>177</v>
      </c>
      <c r="E3772" s="52">
        <v>690</v>
      </c>
      <c r="F3772" s="13">
        <v>937.4</v>
      </c>
      <c r="G3772" s="13"/>
    </row>
    <row r="3773" spans="1:7" hidden="1" x14ac:dyDescent="0.75">
      <c r="A3773" s="51">
        <v>44945</v>
      </c>
      <c r="B3773" s="52">
        <v>55</v>
      </c>
      <c r="C3773" s="8" t="s">
        <v>4205</v>
      </c>
      <c r="D3773" s="8" t="s">
        <v>177</v>
      </c>
      <c r="E3773" s="52">
        <v>689</v>
      </c>
      <c r="F3773" s="13">
        <v>1496.5</v>
      </c>
      <c r="G3773" s="13"/>
    </row>
    <row r="3774" spans="1:7" hidden="1" x14ac:dyDescent="0.75">
      <c r="A3774" s="51">
        <v>44945</v>
      </c>
      <c r="B3774" s="52">
        <v>55</v>
      </c>
      <c r="C3774" s="8" t="s">
        <v>4206</v>
      </c>
      <c r="D3774" s="8" t="s">
        <v>177</v>
      </c>
      <c r="E3774" s="52">
        <v>1794</v>
      </c>
      <c r="F3774" s="13">
        <v>596</v>
      </c>
      <c r="G3774" s="13"/>
    </row>
    <row r="3775" spans="1:7" hidden="1" x14ac:dyDescent="0.75">
      <c r="A3775" s="51">
        <v>44945</v>
      </c>
      <c r="B3775" s="52">
        <v>55</v>
      </c>
      <c r="C3775" s="8" t="s">
        <v>4207</v>
      </c>
      <c r="D3775" s="8" t="s">
        <v>177</v>
      </c>
      <c r="E3775" s="52">
        <v>973</v>
      </c>
      <c r="F3775" s="13">
        <v>3000</v>
      </c>
      <c r="G3775" s="13"/>
    </row>
    <row r="3776" spans="1:7" hidden="1" x14ac:dyDescent="0.75">
      <c r="A3776" s="51">
        <v>44945</v>
      </c>
      <c r="B3776" s="52">
        <v>55</v>
      </c>
      <c r="C3776" s="8" t="s">
        <v>4208</v>
      </c>
      <c r="D3776" s="8" t="s">
        <v>177</v>
      </c>
      <c r="E3776" s="52">
        <v>748</v>
      </c>
      <c r="F3776" s="13">
        <v>2035</v>
      </c>
      <c r="G3776" s="13"/>
    </row>
    <row r="3777" spans="1:7" hidden="1" x14ac:dyDescent="0.75">
      <c r="A3777" s="51">
        <v>44945</v>
      </c>
      <c r="B3777" s="52">
        <v>55</v>
      </c>
      <c r="C3777" s="8" t="s">
        <v>4209</v>
      </c>
      <c r="D3777" s="8" t="s">
        <v>177</v>
      </c>
      <c r="E3777" s="52">
        <v>1350</v>
      </c>
      <c r="F3777" s="13">
        <v>765</v>
      </c>
      <c r="G3777" s="13"/>
    </row>
    <row r="3778" spans="1:7" hidden="1" x14ac:dyDescent="0.75">
      <c r="A3778" s="51">
        <v>44945</v>
      </c>
      <c r="B3778" s="52">
        <v>55</v>
      </c>
      <c r="C3778" s="8" t="s">
        <v>4210</v>
      </c>
      <c r="D3778" s="8" t="s">
        <v>177</v>
      </c>
      <c r="E3778" s="52">
        <v>754</v>
      </c>
      <c r="F3778" s="13">
        <v>180</v>
      </c>
      <c r="G3778" s="13"/>
    </row>
    <row r="3779" spans="1:7" hidden="1" x14ac:dyDescent="0.75">
      <c r="A3779" s="51">
        <v>44945</v>
      </c>
      <c r="B3779" s="52">
        <v>55</v>
      </c>
      <c r="C3779" s="8" t="s">
        <v>4211</v>
      </c>
      <c r="D3779" s="8" t="s">
        <v>177</v>
      </c>
      <c r="E3779" s="52">
        <v>769</v>
      </c>
      <c r="F3779" s="13">
        <v>3600</v>
      </c>
      <c r="G3779" s="13"/>
    </row>
    <row r="3780" spans="1:7" hidden="1" x14ac:dyDescent="0.75">
      <c r="A3780" s="51">
        <v>44945</v>
      </c>
      <c r="B3780" s="52">
        <v>55</v>
      </c>
      <c r="C3780" s="8" t="s">
        <v>4212</v>
      </c>
      <c r="D3780" s="8" t="s">
        <v>177</v>
      </c>
      <c r="E3780" s="52">
        <v>1534</v>
      </c>
      <c r="F3780" s="13">
        <v>2397.7199999999998</v>
      </c>
      <c r="G3780" s="13"/>
    </row>
    <row r="3781" spans="1:7" hidden="1" x14ac:dyDescent="0.75">
      <c r="A3781" s="51">
        <v>44945</v>
      </c>
      <c r="B3781" s="52">
        <v>55</v>
      </c>
      <c r="C3781" s="8" t="s">
        <v>4213</v>
      </c>
      <c r="D3781" s="8" t="s">
        <v>177</v>
      </c>
      <c r="E3781" s="52">
        <v>1413</v>
      </c>
      <c r="F3781" s="13">
        <v>130</v>
      </c>
      <c r="G3781" s="13"/>
    </row>
    <row r="3782" spans="1:7" hidden="1" x14ac:dyDescent="0.75">
      <c r="A3782" s="51">
        <v>44945</v>
      </c>
      <c r="B3782" s="52">
        <v>55</v>
      </c>
      <c r="C3782" s="8" t="s">
        <v>4214</v>
      </c>
      <c r="D3782" s="8" t="s">
        <v>177</v>
      </c>
      <c r="E3782" s="52">
        <v>1684</v>
      </c>
      <c r="F3782" s="13">
        <v>322</v>
      </c>
      <c r="G3782" s="13"/>
    </row>
    <row r="3783" spans="1:7" hidden="1" x14ac:dyDescent="0.75">
      <c r="A3783" s="51">
        <v>44945</v>
      </c>
      <c r="B3783" s="52">
        <v>55</v>
      </c>
      <c r="C3783" s="8" t="s">
        <v>4215</v>
      </c>
      <c r="D3783" s="8" t="s">
        <v>177</v>
      </c>
      <c r="E3783" s="52">
        <v>1721</v>
      </c>
      <c r="F3783" s="13">
        <v>1072</v>
      </c>
      <c r="G3783" s="13"/>
    </row>
    <row r="3784" spans="1:7" hidden="1" x14ac:dyDescent="0.75">
      <c r="A3784" s="51">
        <v>44945</v>
      </c>
      <c r="B3784" s="52">
        <v>55</v>
      </c>
      <c r="C3784" s="8" t="s">
        <v>4216</v>
      </c>
      <c r="D3784" s="8" t="s">
        <v>177</v>
      </c>
      <c r="E3784" s="52">
        <v>1721</v>
      </c>
      <c r="F3784" s="13">
        <v>500</v>
      </c>
      <c r="G3784" s="13"/>
    </row>
    <row r="3785" spans="1:7" hidden="1" x14ac:dyDescent="0.75">
      <c r="A3785" s="51">
        <v>44945</v>
      </c>
      <c r="B3785" s="52">
        <v>55</v>
      </c>
      <c r="C3785" s="8" t="s">
        <v>4217</v>
      </c>
      <c r="D3785" s="8" t="s">
        <v>177</v>
      </c>
      <c r="E3785" s="52">
        <v>1980</v>
      </c>
      <c r="F3785" s="13">
        <v>870</v>
      </c>
      <c r="G3785" s="13"/>
    </row>
    <row r="3786" spans="1:7" hidden="1" x14ac:dyDescent="0.75">
      <c r="A3786" s="51">
        <v>44945</v>
      </c>
      <c r="B3786" s="52">
        <v>55</v>
      </c>
      <c r="C3786" s="8" t="s">
        <v>4218</v>
      </c>
      <c r="D3786" s="8" t="s">
        <v>177</v>
      </c>
      <c r="E3786" s="52">
        <v>1646</v>
      </c>
      <c r="F3786" s="13"/>
      <c r="G3786" s="13">
        <v>429.19</v>
      </c>
    </row>
    <row r="3787" spans="1:7" hidden="1" x14ac:dyDescent="0.75">
      <c r="A3787" s="51">
        <v>44945</v>
      </c>
      <c r="B3787" s="52">
        <v>55</v>
      </c>
      <c r="C3787" s="8" t="s">
        <v>4219</v>
      </c>
      <c r="D3787" s="8" t="s">
        <v>177</v>
      </c>
      <c r="E3787" s="52">
        <v>1646</v>
      </c>
      <c r="F3787" s="13"/>
      <c r="G3787" s="13">
        <v>181.64</v>
      </c>
    </row>
    <row r="3788" spans="1:7" hidden="1" x14ac:dyDescent="0.75">
      <c r="A3788" s="51">
        <v>44945</v>
      </c>
      <c r="B3788" s="52">
        <v>55</v>
      </c>
      <c r="C3788" s="8" t="s">
        <v>4220</v>
      </c>
      <c r="D3788" s="8" t="s">
        <v>177</v>
      </c>
      <c r="E3788" s="52">
        <v>769</v>
      </c>
      <c r="F3788" s="13"/>
      <c r="G3788" s="13">
        <v>190.55</v>
      </c>
    </row>
    <row r="3789" spans="1:7" hidden="1" x14ac:dyDescent="0.75">
      <c r="A3789" s="51">
        <v>44945</v>
      </c>
      <c r="B3789" s="52">
        <v>55</v>
      </c>
      <c r="C3789" s="8" t="s">
        <v>4221</v>
      </c>
      <c r="D3789" s="8" t="s">
        <v>177</v>
      </c>
      <c r="E3789" s="52">
        <v>1646</v>
      </c>
      <c r="F3789" s="13"/>
      <c r="G3789" s="13">
        <v>684.45</v>
      </c>
    </row>
    <row r="3790" spans="1:7" hidden="1" x14ac:dyDescent="0.75">
      <c r="A3790" s="51">
        <v>44945</v>
      </c>
      <c r="B3790" s="52">
        <v>55</v>
      </c>
      <c r="C3790" s="8" t="s">
        <v>4222</v>
      </c>
      <c r="D3790" s="8" t="s">
        <v>177</v>
      </c>
      <c r="E3790" s="52">
        <v>1646</v>
      </c>
      <c r="F3790" s="13"/>
      <c r="G3790" s="13">
        <v>4.57</v>
      </c>
    </row>
    <row r="3791" spans="1:7" hidden="1" x14ac:dyDescent="0.75">
      <c r="A3791" s="51">
        <v>44946</v>
      </c>
      <c r="B3791" s="52">
        <v>55</v>
      </c>
      <c r="C3791" s="8" t="s">
        <v>4223</v>
      </c>
      <c r="D3791" s="8" t="s">
        <v>177</v>
      </c>
      <c r="E3791" s="52">
        <v>686</v>
      </c>
      <c r="F3791" s="13">
        <v>150</v>
      </c>
      <c r="G3791" s="13"/>
    </row>
    <row r="3792" spans="1:7" hidden="1" x14ac:dyDescent="0.75">
      <c r="A3792" s="51">
        <v>44946</v>
      </c>
      <c r="B3792" s="52">
        <v>55</v>
      </c>
      <c r="C3792" s="8" t="s">
        <v>4224</v>
      </c>
      <c r="D3792" s="8" t="s">
        <v>177</v>
      </c>
      <c r="E3792" s="52">
        <v>688</v>
      </c>
      <c r="F3792" s="13">
        <v>1084.75</v>
      </c>
      <c r="G3792" s="13"/>
    </row>
    <row r="3793" spans="1:7" hidden="1" x14ac:dyDescent="0.75">
      <c r="A3793" s="51">
        <v>44946</v>
      </c>
      <c r="B3793" s="52">
        <v>55</v>
      </c>
      <c r="C3793" s="8" t="s">
        <v>4225</v>
      </c>
      <c r="D3793" s="8" t="s">
        <v>177</v>
      </c>
      <c r="E3793" s="52">
        <v>696</v>
      </c>
      <c r="F3793" s="13">
        <v>32</v>
      </c>
      <c r="G3793" s="13"/>
    </row>
    <row r="3794" spans="1:7" hidden="1" x14ac:dyDescent="0.75">
      <c r="A3794" s="51">
        <v>44946</v>
      </c>
      <c r="B3794" s="52">
        <v>55</v>
      </c>
      <c r="C3794" s="8" t="s">
        <v>4226</v>
      </c>
      <c r="D3794" s="8" t="s">
        <v>177</v>
      </c>
      <c r="E3794" s="52">
        <v>690</v>
      </c>
      <c r="F3794" s="13">
        <v>1042.2</v>
      </c>
      <c r="G3794" s="13"/>
    </row>
    <row r="3795" spans="1:7" hidden="1" x14ac:dyDescent="0.75">
      <c r="A3795" s="51">
        <v>44946</v>
      </c>
      <c r="B3795" s="52">
        <v>55</v>
      </c>
      <c r="C3795" s="8" t="s">
        <v>4227</v>
      </c>
      <c r="D3795" s="8" t="s">
        <v>177</v>
      </c>
      <c r="E3795" s="52">
        <v>1405</v>
      </c>
      <c r="F3795" s="13">
        <v>3828.3</v>
      </c>
      <c r="G3795" s="13"/>
    </row>
    <row r="3796" spans="1:7" hidden="1" x14ac:dyDescent="0.75">
      <c r="A3796" s="51">
        <v>44946</v>
      </c>
      <c r="B3796" s="52">
        <v>55</v>
      </c>
      <c r="C3796" s="8" t="s">
        <v>4228</v>
      </c>
      <c r="D3796" s="8" t="s">
        <v>177</v>
      </c>
      <c r="E3796" s="52">
        <v>1503</v>
      </c>
      <c r="F3796" s="13">
        <v>1753.6</v>
      </c>
      <c r="G3796" s="13"/>
    </row>
    <row r="3797" spans="1:7" hidden="1" x14ac:dyDescent="0.75">
      <c r="A3797" s="51">
        <v>44946</v>
      </c>
      <c r="B3797" s="52">
        <v>55</v>
      </c>
      <c r="C3797" s="8" t="s">
        <v>4229</v>
      </c>
      <c r="D3797" s="8" t="s">
        <v>177</v>
      </c>
      <c r="E3797" s="52">
        <v>1518</v>
      </c>
      <c r="F3797" s="13">
        <v>60</v>
      </c>
      <c r="G3797" s="13"/>
    </row>
    <row r="3798" spans="1:7" hidden="1" x14ac:dyDescent="0.75">
      <c r="A3798" s="51">
        <v>44946</v>
      </c>
      <c r="B3798" s="52">
        <v>55</v>
      </c>
      <c r="C3798" s="8" t="s">
        <v>4230</v>
      </c>
      <c r="D3798" s="8" t="s">
        <v>177</v>
      </c>
      <c r="E3798" s="52">
        <v>1558</v>
      </c>
      <c r="F3798" s="13">
        <v>139.75</v>
      </c>
      <c r="G3798" s="13"/>
    </row>
    <row r="3799" spans="1:7" hidden="1" x14ac:dyDescent="0.75">
      <c r="A3799" s="51">
        <v>44946</v>
      </c>
      <c r="B3799" s="52">
        <v>55</v>
      </c>
      <c r="C3799" s="8" t="s">
        <v>4231</v>
      </c>
      <c r="D3799" s="8" t="s">
        <v>177</v>
      </c>
      <c r="E3799" s="52">
        <v>1794</v>
      </c>
      <c r="F3799" s="13">
        <v>1221</v>
      </c>
      <c r="G3799" s="13"/>
    </row>
    <row r="3800" spans="1:7" hidden="1" x14ac:dyDescent="0.75">
      <c r="A3800" s="51">
        <v>44946</v>
      </c>
      <c r="B3800" s="52">
        <v>55</v>
      </c>
      <c r="C3800" s="8" t="s">
        <v>4232</v>
      </c>
      <c r="D3800" s="8" t="s">
        <v>177</v>
      </c>
      <c r="E3800" s="52">
        <v>695</v>
      </c>
      <c r="F3800" s="13">
        <v>270</v>
      </c>
      <c r="G3800" s="13"/>
    </row>
    <row r="3801" spans="1:7" hidden="1" x14ac:dyDescent="0.75">
      <c r="A3801" s="51">
        <v>44946</v>
      </c>
      <c r="B3801" s="52">
        <v>55</v>
      </c>
      <c r="C3801" s="8" t="s">
        <v>4233</v>
      </c>
      <c r="D3801" s="8" t="s">
        <v>177</v>
      </c>
      <c r="E3801" s="52">
        <v>694</v>
      </c>
      <c r="F3801" s="13">
        <v>599.6</v>
      </c>
      <c r="G3801" s="13"/>
    </row>
    <row r="3802" spans="1:7" hidden="1" x14ac:dyDescent="0.75">
      <c r="A3802" s="51">
        <v>44946</v>
      </c>
      <c r="B3802" s="52">
        <v>55</v>
      </c>
      <c r="C3802" s="8" t="s">
        <v>4234</v>
      </c>
      <c r="D3802" s="8" t="s">
        <v>177</v>
      </c>
      <c r="E3802" s="52">
        <v>1406</v>
      </c>
      <c r="F3802" s="13">
        <v>1331.75</v>
      </c>
      <c r="G3802" s="13"/>
    </row>
    <row r="3803" spans="1:7" hidden="1" x14ac:dyDescent="0.75">
      <c r="A3803" s="51">
        <v>44946</v>
      </c>
      <c r="B3803" s="52">
        <v>55</v>
      </c>
      <c r="C3803" s="8" t="s">
        <v>4235</v>
      </c>
      <c r="D3803" s="8" t="s">
        <v>177</v>
      </c>
      <c r="E3803" s="52">
        <v>748</v>
      </c>
      <c r="F3803" s="13">
        <v>2564</v>
      </c>
      <c r="G3803" s="13"/>
    </row>
    <row r="3804" spans="1:7" hidden="1" x14ac:dyDescent="0.75">
      <c r="A3804" s="51">
        <v>44946</v>
      </c>
      <c r="B3804" s="52">
        <v>55</v>
      </c>
      <c r="C3804" s="8" t="s">
        <v>4236</v>
      </c>
      <c r="D3804" s="8" t="s">
        <v>177</v>
      </c>
      <c r="E3804" s="52">
        <v>771</v>
      </c>
      <c r="F3804" s="13">
        <v>670</v>
      </c>
      <c r="G3804" s="13"/>
    </row>
    <row r="3805" spans="1:7" hidden="1" x14ac:dyDescent="0.75">
      <c r="A3805" s="51">
        <v>44946</v>
      </c>
      <c r="B3805" s="52">
        <v>55</v>
      </c>
      <c r="C3805" s="8" t="s">
        <v>4237</v>
      </c>
      <c r="D3805" s="8" t="s">
        <v>177</v>
      </c>
      <c r="E3805" s="52">
        <v>697</v>
      </c>
      <c r="F3805" s="13">
        <v>850</v>
      </c>
      <c r="G3805" s="13"/>
    </row>
    <row r="3806" spans="1:7" hidden="1" x14ac:dyDescent="0.75">
      <c r="A3806" s="51">
        <v>44946</v>
      </c>
      <c r="B3806" s="52">
        <v>55</v>
      </c>
      <c r="C3806" s="8" t="s">
        <v>4238</v>
      </c>
      <c r="D3806" s="8" t="s">
        <v>177</v>
      </c>
      <c r="E3806" s="52">
        <v>769</v>
      </c>
      <c r="F3806" s="13">
        <v>1960</v>
      </c>
      <c r="G3806" s="13"/>
    </row>
    <row r="3807" spans="1:7" hidden="1" x14ac:dyDescent="0.75">
      <c r="A3807" s="51">
        <v>44946</v>
      </c>
      <c r="B3807" s="52">
        <v>55</v>
      </c>
      <c r="C3807" s="8" t="s">
        <v>4239</v>
      </c>
      <c r="D3807" s="8" t="s">
        <v>177</v>
      </c>
      <c r="E3807" s="52">
        <v>1348</v>
      </c>
      <c r="F3807" s="13">
        <v>165</v>
      </c>
      <c r="G3807" s="13"/>
    </row>
    <row r="3808" spans="1:7" hidden="1" x14ac:dyDescent="0.75">
      <c r="A3808" s="51">
        <v>44946</v>
      </c>
      <c r="B3808" s="52">
        <v>55</v>
      </c>
      <c r="C3808" s="8" t="s">
        <v>4240</v>
      </c>
      <c r="D3808" s="8" t="s">
        <v>177</v>
      </c>
      <c r="E3808" s="52">
        <v>1366</v>
      </c>
      <c r="F3808" s="13">
        <v>622.5</v>
      </c>
      <c r="G3808" s="13"/>
    </row>
    <row r="3809" spans="1:7" hidden="1" x14ac:dyDescent="0.75">
      <c r="A3809" s="51">
        <v>44946</v>
      </c>
      <c r="B3809" s="52">
        <v>55</v>
      </c>
      <c r="C3809" s="8" t="s">
        <v>4241</v>
      </c>
      <c r="D3809" s="8" t="s">
        <v>177</v>
      </c>
      <c r="E3809" s="52">
        <v>874</v>
      </c>
      <c r="F3809" s="13">
        <v>1151.3</v>
      </c>
      <c r="G3809" s="13"/>
    </row>
    <row r="3810" spans="1:7" hidden="1" x14ac:dyDescent="0.75">
      <c r="A3810" s="51">
        <v>44946</v>
      </c>
      <c r="B3810" s="52">
        <v>55</v>
      </c>
      <c r="C3810" s="8" t="s">
        <v>4242</v>
      </c>
      <c r="D3810" s="8" t="s">
        <v>177</v>
      </c>
      <c r="E3810" s="52">
        <v>874</v>
      </c>
      <c r="F3810" s="13">
        <v>891.45</v>
      </c>
      <c r="G3810" s="13"/>
    </row>
    <row r="3811" spans="1:7" hidden="1" x14ac:dyDescent="0.75">
      <c r="A3811" s="51">
        <v>44946</v>
      </c>
      <c r="B3811" s="52">
        <v>55</v>
      </c>
      <c r="C3811" s="8" t="s">
        <v>4243</v>
      </c>
      <c r="D3811" s="8" t="s">
        <v>177</v>
      </c>
      <c r="E3811" s="52">
        <v>1684</v>
      </c>
      <c r="F3811" s="13">
        <v>339</v>
      </c>
      <c r="G3811" s="13"/>
    </row>
    <row r="3812" spans="1:7" hidden="1" x14ac:dyDescent="0.75">
      <c r="A3812" s="51">
        <v>44946</v>
      </c>
      <c r="B3812" s="52">
        <v>55</v>
      </c>
      <c r="C3812" s="8" t="s">
        <v>4244</v>
      </c>
      <c r="D3812" s="8" t="s">
        <v>177</v>
      </c>
      <c r="E3812" s="52">
        <v>1721</v>
      </c>
      <c r="F3812" s="13">
        <v>444</v>
      </c>
      <c r="G3812" s="13"/>
    </row>
    <row r="3813" spans="1:7" hidden="1" x14ac:dyDescent="0.75">
      <c r="A3813" s="51">
        <v>44946</v>
      </c>
      <c r="B3813" s="52">
        <v>55</v>
      </c>
      <c r="C3813" s="8" t="s">
        <v>4245</v>
      </c>
      <c r="D3813" s="8" t="s">
        <v>177</v>
      </c>
      <c r="E3813" s="52">
        <v>1979</v>
      </c>
      <c r="F3813" s="13">
        <v>4484.5</v>
      </c>
      <c r="G3813" s="13"/>
    </row>
    <row r="3814" spans="1:7" hidden="1" x14ac:dyDescent="0.75">
      <c r="A3814" s="51">
        <v>44946</v>
      </c>
      <c r="B3814" s="52">
        <v>55</v>
      </c>
      <c r="C3814" s="8" t="s">
        <v>4246</v>
      </c>
      <c r="D3814" s="8" t="s">
        <v>177</v>
      </c>
      <c r="E3814" s="52">
        <v>1900</v>
      </c>
      <c r="F3814" s="13">
        <v>140</v>
      </c>
      <c r="G3814" s="13"/>
    </row>
    <row r="3815" spans="1:7" hidden="1" x14ac:dyDescent="0.75">
      <c r="A3815" s="51">
        <v>44946</v>
      </c>
      <c r="B3815" s="52">
        <v>55</v>
      </c>
      <c r="C3815" s="8" t="s">
        <v>4247</v>
      </c>
      <c r="D3815" s="8" t="s">
        <v>177</v>
      </c>
      <c r="E3815" s="52">
        <v>1980</v>
      </c>
      <c r="F3815" s="13">
        <v>1290</v>
      </c>
      <c r="G3815" s="13"/>
    </row>
    <row r="3816" spans="1:7" hidden="1" x14ac:dyDescent="0.75">
      <c r="A3816" s="51">
        <v>44946</v>
      </c>
      <c r="B3816" s="52">
        <v>55</v>
      </c>
      <c r="C3816" s="8" t="s">
        <v>4248</v>
      </c>
      <c r="D3816" s="8" t="s">
        <v>177</v>
      </c>
      <c r="E3816" s="52">
        <v>769</v>
      </c>
      <c r="F3816" s="13">
        <v>9450</v>
      </c>
      <c r="G3816" s="13"/>
    </row>
    <row r="3817" spans="1:7" hidden="1" x14ac:dyDescent="0.75">
      <c r="A3817" s="51">
        <v>44946</v>
      </c>
      <c r="B3817" s="52">
        <v>55</v>
      </c>
      <c r="C3817" s="8" t="s">
        <v>4249</v>
      </c>
      <c r="D3817" s="8" t="s">
        <v>177</v>
      </c>
      <c r="E3817" s="52">
        <v>687</v>
      </c>
      <c r="F3817" s="13">
        <v>267</v>
      </c>
      <c r="G3817" s="13"/>
    </row>
    <row r="3818" spans="1:7" hidden="1" x14ac:dyDescent="0.75">
      <c r="A3818" s="51">
        <v>44946</v>
      </c>
      <c r="B3818" s="52">
        <v>55</v>
      </c>
      <c r="C3818" s="8" t="s">
        <v>4250</v>
      </c>
      <c r="D3818" s="8" t="s">
        <v>177</v>
      </c>
      <c r="E3818" s="52">
        <v>1646</v>
      </c>
      <c r="F3818" s="13"/>
      <c r="G3818" s="13">
        <v>532.33000000000004</v>
      </c>
    </row>
    <row r="3819" spans="1:7" hidden="1" x14ac:dyDescent="0.75">
      <c r="A3819" s="51">
        <v>44946</v>
      </c>
      <c r="B3819" s="52">
        <v>55</v>
      </c>
      <c r="C3819" s="8" t="s">
        <v>4251</v>
      </c>
      <c r="D3819" s="8" t="s">
        <v>177</v>
      </c>
      <c r="E3819" s="52">
        <v>1646</v>
      </c>
      <c r="F3819" s="13"/>
      <c r="G3819" s="13">
        <v>499.6</v>
      </c>
    </row>
    <row r="3820" spans="1:7" hidden="1" x14ac:dyDescent="0.75">
      <c r="A3820" s="51">
        <v>44946</v>
      </c>
      <c r="B3820" s="52">
        <v>55</v>
      </c>
      <c r="C3820" s="8" t="s">
        <v>4252</v>
      </c>
      <c r="D3820" s="8" t="s">
        <v>177</v>
      </c>
      <c r="E3820" s="52">
        <v>518</v>
      </c>
      <c r="F3820" s="13"/>
      <c r="G3820" s="13">
        <v>20.6</v>
      </c>
    </row>
    <row r="3821" spans="1:7" hidden="1" x14ac:dyDescent="0.75">
      <c r="A3821" s="51">
        <v>44947</v>
      </c>
      <c r="B3821" s="52">
        <v>55</v>
      </c>
      <c r="C3821" s="8" t="s">
        <v>4253</v>
      </c>
      <c r="D3821" s="8" t="s">
        <v>177</v>
      </c>
      <c r="E3821" s="52">
        <v>692</v>
      </c>
      <c r="F3821" s="13">
        <v>2350</v>
      </c>
      <c r="G3821" s="13"/>
    </row>
    <row r="3822" spans="1:7" hidden="1" x14ac:dyDescent="0.75">
      <c r="A3822" s="51">
        <v>44947</v>
      </c>
      <c r="B3822" s="52">
        <v>55</v>
      </c>
      <c r="C3822" s="8" t="s">
        <v>4254</v>
      </c>
      <c r="D3822" s="8" t="s">
        <v>177</v>
      </c>
      <c r="E3822" s="52">
        <v>686</v>
      </c>
      <c r="F3822" s="13">
        <v>523.5</v>
      </c>
      <c r="G3822" s="13"/>
    </row>
    <row r="3823" spans="1:7" hidden="1" x14ac:dyDescent="0.75">
      <c r="A3823" s="51">
        <v>44947</v>
      </c>
      <c r="B3823" s="52">
        <v>55</v>
      </c>
      <c r="C3823" s="8" t="s">
        <v>4255</v>
      </c>
      <c r="D3823" s="8" t="s">
        <v>177</v>
      </c>
      <c r="E3823" s="52">
        <v>688</v>
      </c>
      <c r="F3823" s="13">
        <v>2891.25</v>
      </c>
      <c r="G3823" s="13"/>
    </row>
    <row r="3824" spans="1:7" hidden="1" x14ac:dyDescent="0.75">
      <c r="A3824" s="51">
        <v>44947</v>
      </c>
      <c r="B3824" s="52">
        <v>55</v>
      </c>
      <c r="C3824" s="8" t="s">
        <v>4256</v>
      </c>
      <c r="D3824" s="8" t="s">
        <v>177</v>
      </c>
      <c r="E3824" s="52">
        <v>690</v>
      </c>
      <c r="F3824" s="13">
        <v>1166.0999999999999</v>
      </c>
      <c r="G3824" s="13"/>
    </row>
    <row r="3825" spans="1:7" hidden="1" x14ac:dyDescent="0.75">
      <c r="A3825" s="51">
        <v>44947</v>
      </c>
      <c r="B3825" s="52">
        <v>55</v>
      </c>
      <c r="C3825" s="8" t="s">
        <v>4257</v>
      </c>
      <c r="D3825" s="8" t="s">
        <v>177</v>
      </c>
      <c r="E3825" s="52">
        <v>696</v>
      </c>
      <c r="F3825" s="13">
        <v>29</v>
      </c>
      <c r="G3825" s="13"/>
    </row>
    <row r="3826" spans="1:7" hidden="1" x14ac:dyDescent="0.75">
      <c r="A3826" s="51">
        <v>44947</v>
      </c>
      <c r="B3826" s="52">
        <v>55</v>
      </c>
      <c r="C3826" s="8" t="s">
        <v>4258</v>
      </c>
      <c r="D3826" s="8" t="s">
        <v>177</v>
      </c>
      <c r="E3826" s="52">
        <v>688</v>
      </c>
      <c r="F3826" s="13">
        <v>1729</v>
      </c>
      <c r="G3826" s="13"/>
    </row>
    <row r="3827" spans="1:7" hidden="1" x14ac:dyDescent="0.75">
      <c r="A3827" s="51">
        <v>44947</v>
      </c>
      <c r="B3827" s="52">
        <v>55</v>
      </c>
      <c r="C3827" s="8" t="s">
        <v>4259</v>
      </c>
      <c r="D3827" s="8" t="s">
        <v>177</v>
      </c>
      <c r="E3827" s="52">
        <v>694</v>
      </c>
      <c r="F3827" s="13">
        <v>252</v>
      </c>
      <c r="G3827" s="13"/>
    </row>
    <row r="3828" spans="1:7" hidden="1" x14ac:dyDescent="0.75">
      <c r="A3828" s="51">
        <v>44947</v>
      </c>
      <c r="B3828" s="52">
        <v>55</v>
      </c>
      <c r="C3828" s="8" t="s">
        <v>4260</v>
      </c>
      <c r="D3828" s="8" t="s">
        <v>177</v>
      </c>
      <c r="E3828" s="52">
        <v>1405</v>
      </c>
      <c r="F3828" s="13">
        <v>591.5</v>
      </c>
      <c r="G3828" s="13"/>
    </row>
    <row r="3829" spans="1:7" hidden="1" x14ac:dyDescent="0.75">
      <c r="A3829" s="51">
        <v>44947</v>
      </c>
      <c r="B3829" s="52">
        <v>55</v>
      </c>
      <c r="C3829" s="8" t="s">
        <v>4261</v>
      </c>
      <c r="D3829" s="8" t="s">
        <v>177</v>
      </c>
      <c r="E3829" s="52">
        <v>703</v>
      </c>
      <c r="F3829" s="13">
        <v>80</v>
      </c>
      <c r="G3829" s="13"/>
    </row>
    <row r="3830" spans="1:7" hidden="1" x14ac:dyDescent="0.75">
      <c r="A3830" s="51">
        <v>44947</v>
      </c>
      <c r="B3830" s="52">
        <v>55</v>
      </c>
      <c r="C3830" s="8" t="s">
        <v>4262</v>
      </c>
      <c r="D3830" s="8" t="s">
        <v>177</v>
      </c>
      <c r="E3830" s="52">
        <v>1794</v>
      </c>
      <c r="F3830" s="13">
        <v>630</v>
      </c>
      <c r="G3830" s="13"/>
    </row>
    <row r="3831" spans="1:7" hidden="1" x14ac:dyDescent="0.75">
      <c r="A3831" s="51">
        <v>44947</v>
      </c>
      <c r="B3831" s="52">
        <v>55</v>
      </c>
      <c r="C3831" s="8" t="s">
        <v>4263</v>
      </c>
      <c r="D3831" s="8" t="s">
        <v>177</v>
      </c>
      <c r="E3831" s="52">
        <v>1518</v>
      </c>
      <c r="F3831" s="13">
        <v>39</v>
      </c>
      <c r="G3831" s="13"/>
    </row>
    <row r="3832" spans="1:7" hidden="1" x14ac:dyDescent="0.75">
      <c r="A3832" s="51">
        <v>44947</v>
      </c>
      <c r="B3832" s="52">
        <v>55</v>
      </c>
      <c r="C3832" s="8" t="s">
        <v>4264</v>
      </c>
      <c r="D3832" s="8" t="s">
        <v>177</v>
      </c>
      <c r="E3832" s="52">
        <v>973</v>
      </c>
      <c r="F3832" s="13">
        <v>17.600000000000001</v>
      </c>
      <c r="G3832" s="13"/>
    </row>
    <row r="3833" spans="1:7" hidden="1" x14ac:dyDescent="0.75">
      <c r="A3833" s="51">
        <v>44947</v>
      </c>
      <c r="B3833" s="52">
        <v>55</v>
      </c>
      <c r="C3833" s="8" t="s">
        <v>4265</v>
      </c>
      <c r="D3833" s="8" t="s">
        <v>177</v>
      </c>
      <c r="E3833" s="52">
        <v>689</v>
      </c>
      <c r="F3833" s="13">
        <v>1493.2</v>
      </c>
      <c r="G3833" s="13"/>
    </row>
    <row r="3834" spans="1:7" hidden="1" x14ac:dyDescent="0.75">
      <c r="A3834" s="51">
        <v>44947</v>
      </c>
      <c r="B3834" s="52">
        <v>55</v>
      </c>
      <c r="C3834" s="8" t="s">
        <v>4266</v>
      </c>
      <c r="D3834" s="8" t="s">
        <v>177</v>
      </c>
      <c r="E3834" s="52">
        <v>687</v>
      </c>
      <c r="F3834" s="13">
        <v>34.5</v>
      </c>
      <c r="G3834" s="13"/>
    </row>
    <row r="3835" spans="1:7" hidden="1" x14ac:dyDescent="0.75">
      <c r="A3835" s="51">
        <v>44947</v>
      </c>
      <c r="B3835" s="52">
        <v>55</v>
      </c>
      <c r="C3835" s="8" t="s">
        <v>4267</v>
      </c>
      <c r="D3835" s="8" t="s">
        <v>177</v>
      </c>
      <c r="E3835" s="52">
        <v>688</v>
      </c>
      <c r="F3835" s="13">
        <v>66.25</v>
      </c>
      <c r="G3835" s="13"/>
    </row>
    <row r="3836" spans="1:7" hidden="1" x14ac:dyDescent="0.75">
      <c r="A3836" s="51">
        <v>44947</v>
      </c>
      <c r="B3836" s="52">
        <v>55</v>
      </c>
      <c r="C3836" s="8" t="s">
        <v>4268</v>
      </c>
      <c r="D3836" s="8" t="s">
        <v>177</v>
      </c>
      <c r="E3836" s="52">
        <v>690</v>
      </c>
      <c r="F3836" s="13">
        <v>280</v>
      </c>
      <c r="G3836" s="13"/>
    </row>
    <row r="3837" spans="1:7" hidden="1" x14ac:dyDescent="0.75">
      <c r="A3837" s="51">
        <v>44947</v>
      </c>
      <c r="B3837" s="52">
        <v>55</v>
      </c>
      <c r="C3837" s="8" t="s">
        <v>4269</v>
      </c>
      <c r="D3837" s="8" t="s">
        <v>177</v>
      </c>
      <c r="E3837" s="52">
        <v>696</v>
      </c>
      <c r="F3837" s="13">
        <v>35</v>
      </c>
      <c r="G3837" s="13"/>
    </row>
    <row r="3838" spans="1:7" hidden="1" x14ac:dyDescent="0.75">
      <c r="A3838" s="51">
        <v>44947</v>
      </c>
      <c r="B3838" s="52">
        <v>55</v>
      </c>
      <c r="C3838" s="8" t="s">
        <v>4270</v>
      </c>
      <c r="D3838" s="8" t="s">
        <v>177</v>
      </c>
      <c r="E3838" s="52">
        <v>686</v>
      </c>
      <c r="F3838" s="13">
        <v>84</v>
      </c>
      <c r="G3838" s="13"/>
    </row>
    <row r="3839" spans="1:7" hidden="1" x14ac:dyDescent="0.75">
      <c r="A3839" s="51">
        <v>44947</v>
      </c>
      <c r="B3839" s="52">
        <v>55</v>
      </c>
      <c r="C3839" s="8" t="s">
        <v>4271</v>
      </c>
      <c r="D3839" s="8" t="s">
        <v>177</v>
      </c>
      <c r="E3839" s="52">
        <v>748</v>
      </c>
      <c r="F3839" s="13">
        <v>1708</v>
      </c>
      <c r="G3839" s="13"/>
    </row>
    <row r="3840" spans="1:7" hidden="1" x14ac:dyDescent="0.75">
      <c r="A3840" s="51">
        <v>44947</v>
      </c>
      <c r="B3840" s="52">
        <v>55</v>
      </c>
      <c r="C3840" s="8" t="s">
        <v>4272</v>
      </c>
      <c r="D3840" s="8" t="s">
        <v>177</v>
      </c>
      <c r="E3840" s="52">
        <v>1365</v>
      </c>
      <c r="F3840" s="13">
        <v>528</v>
      </c>
      <c r="G3840" s="13"/>
    </row>
    <row r="3841" spans="1:7" hidden="1" x14ac:dyDescent="0.75">
      <c r="A3841" s="51">
        <v>44947</v>
      </c>
      <c r="B3841" s="52">
        <v>55</v>
      </c>
      <c r="C3841" s="8" t="s">
        <v>4273</v>
      </c>
      <c r="D3841" s="8" t="s">
        <v>177</v>
      </c>
      <c r="E3841" s="52">
        <v>1306</v>
      </c>
      <c r="F3841" s="13">
        <v>1719</v>
      </c>
      <c r="G3841" s="13"/>
    </row>
    <row r="3842" spans="1:7" hidden="1" x14ac:dyDescent="0.75">
      <c r="A3842" s="51">
        <v>44947</v>
      </c>
      <c r="B3842" s="52">
        <v>55</v>
      </c>
      <c r="C3842" s="8" t="s">
        <v>4274</v>
      </c>
      <c r="D3842" s="8" t="s">
        <v>177</v>
      </c>
      <c r="E3842" s="52">
        <v>1306</v>
      </c>
      <c r="F3842" s="13">
        <v>3680</v>
      </c>
      <c r="G3842" s="13"/>
    </row>
    <row r="3843" spans="1:7" hidden="1" x14ac:dyDescent="0.75">
      <c r="A3843" s="51">
        <v>44947</v>
      </c>
      <c r="B3843" s="52">
        <v>55</v>
      </c>
      <c r="C3843" s="8" t="s">
        <v>4275</v>
      </c>
      <c r="D3843" s="8" t="s">
        <v>177</v>
      </c>
      <c r="E3843" s="52">
        <v>1306</v>
      </c>
      <c r="F3843" s="13">
        <v>997</v>
      </c>
      <c r="G3843" s="13"/>
    </row>
    <row r="3844" spans="1:7" hidden="1" x14ac:dyDescent="0.75">
      <c r="A3844" s="51">
        <v>44947</v>
      </c>
      <c r="B3844" s="52">
        <v>55</v>
      </c>
      <c r="C3844" s="8" t="s">
        <v>4276</v>
      </c>
      <c r="D3844" s="8" t="s">
        <v>177</v>
      </c>
      <c r="E3844" s="52">
        <v>1684</v>
      </c>
      <c r="F3844" s="13">
        <v>494.5</v>
      </c>
      <c r="G3844" s="13"/>
    </row>
    <row r="3845" spans="1:7" hidden="1" x14ac:dyDescent="0.75">
      <c r="A3845" s="51">
        <v>44947</v>
      </c>
      <c r="B3845" s="52">
        <v>55</v>
      </c>
      <c r="C3845" s="8" t="s">
        <v>4277</v>
      </c>
      <c r="D3845" s="8" t="s">
        <v>177</v>
      </c>
      <c r="E3845" s="52">
        <v>1721</v>
      </c>
      <c r="F3845" s="13">
        <v>632.5</v>
      </c>
      <c r="G3845" s="13"/>
    </row>
    <row r="3846" spans="1:7" hidden="1" x14ac:dyDescent="0.75">
      <c r="A3846" s="51">
        <v>44947</v>
      </c>
      <c r="B3846" s="52">
        <v>55</v>
      </c>
      <c r="C3846" s="8" t="s">
        <v>4278</v>
      </c>
      <c r="D3846" s="8" t="s">
        <v>177</v>
      </c>
      <c r="E3846" s="52">
        <v>1980</v>
      </c>
      <c r="F3846" s="13">
        <v>710</v>
      </c>
      <c r="G3846" s="13"/>
    </row>
    <row r="3847" spans="1:7" hidden="1" x14ac:dyDescent="0.75">
      <c r="A3847" s="51">
        <v>44947</v>
      </c>
      <c r="B3847" s="52">
        <v>55</v>
      </c>
      <c r="C3847" s="8" t="s">
        <v>4279</v>
      </c>
      <c r="D3847" s="8" t="s">
        <v>177</v>
      </c>
      <c r="E3847" s="52">
        <v>769</v>
      </c>
      <c r="F3847" s="13">
        <v>7910</v>
      </c>
      <c r="G3847" s="13"/>
    </row>
    <row r="3848" spans="1:7" hidden="1" x14ac:dyDescent="0.75">
      <c r="A3848" s="51">
        <v>44947</v>
      </c>
      <c r="B3848" s="52">
        <v>55</v>
      </c>
      <c r="C3848" s="8" t="s">
        <v>4280</v>
      </c>
      <c r="D3848" s="8" t="s">
        <v>177</v>
      </c>
      <c r="E3848" s="52">
        <v>769</v>
      </c>
      <c r="F3848" s="13">
        <v>434</v>
      </c>
      <c r="G3848" s="13"/>
    </row>
    <row r="3849" spans="1:7" hidden="1" x14ac:dyDescent="0.75">
      <c r="A3849" s="51">
        <v>44947</v>
      </c>
      <c r="B3849" s="52">
        <v>55</v>
      </c>
      <c r="C3849" s="8" t="s">
        <v>4281</v>
      </c>
      <c r="D3849" s="8" t="s">
        <v>177</v>
      </c>
      <c r="E3849" s="52">
        <v>687</v>
      </c>
      <c r="F3849" s="13">
        <v>250.3</v>
      </c>
      <c r="G3849" s="13"/>
    </row>
    <row r="3850" spans="1:7" hidden="1" x14ac:dyDescent="0.75">
      <c r="A3850" s="51">
        <v>44947</v>
      </c>
      <c r="B3850" s="52">
        <v>55</v>
      </c>
      <c r="C3850" s="8" t="s">
        <v>4282</v>
      </c>
      <c r="D3850" s="8" t="s">
        <v>177</v>
      </c>
      <c r="E3850" s="52">
        <v>688</v>
      </c>
      <c r="F3850" s="13"/>
      <c r="G3850" s="13">
        <v>1294</v>
      </c>
    </row>
    <row r="3851" spans="1:7" hidden="1" x14ac:dyDescent="0.75">
      <c r="A3851" s="51">
        <v>44947</v>
      </c>
      <c r="B3851" s="52">
        <v>55</v>
      </c>
      <c r="C3851" s="8" t="s">
        <v>4283</v>
      </c>
      <c r="D3851" s="8" t="s">
        <v>177</v>
      </c>
      <c r="E3851" s="52">
        <v>1646</v>
      </c>
      <c r="F3851" s="13"/>
      <c r="G3851" s="13">
        <v>465.1</v>
      </c>
    </row>
    <row r="3852" spans="1:7" hidden="1" x14ac:dyDescent="0.75">
      <c r="A3852" s="51">
        <v>44947</v>
      </c>
      <c r="B3852" s="52">
        <v>55</v>
      </c>
      <c r="C3852" s="8" t="s">
        <v>4284</v>
      </c>
      <c r="D3852" s="8" t="s">
        <v>177</v>
      </c>
      <c r="E3852" s="52">
        <v>1646</v>
      </c>
      <c r="F3852" s="13"/>
      <c r="G3852" s="13">
        <v>365.18</v>
      </c>
    </row>
    <row r="3853" spans="1:7" hidden="1" x14ac:dyDescent="0.75">
      <c r="A3853" s="51">
        <v>44947</v>
      </c>
      <c r="B3853" s="52">
        <v>55</v>
      </c>
      <c r="C3853" s="8" t="s">
        <v>4285</v>
      </c>
      <c r="D3853" s="8" t="s">
        <v>177</v>
      </c>
      <c r="E3853" s="52">
        <v>1646</v>
      </c>
      <c r="F3853" s="13"/>
      <c r="G3853" s="13">
        <v>582.95000000000005</v>
      </c>
    </row>
    <row r="3854" spans="1:7" hidden="1" x14ac:dyDescent="0.75">
      <c r="A3854" s="51">
        <v>44949</v>
      </c>
      <c r="B3854" s="52">
        <v>55</v>
      </c>
      <c r="C3854" s="8" t="s">
        <v>4286</v>
      </c>
      <c r="D3854" s="8" t="s">
        <v>177</v>
      </c>
      <c r="E3854" s="52">
        <v>689</v>
      </c>
      <c r="F3854" s="13">
        <v>895</v>
      </c>
      <c r="G3854" s="13"/>
    </row>
    <row r="3855" spans="1:7" hidden="1" x14ac:dyDescent="0.75">
      <c r="A3855" s="51">
        <v>44949</v>
      </c>
      <c r="B3855" s="52">
        <v>55</v>
      </c>
      <c r="C3855" s="8" t="s">
        <v>4287</v>
      </c>
      <c r="D3855" s="8" t="s">
        <v>177</v>
      </c>
      <c r="E3855" s="52">
        <v>1405</v>
      </c>
      <c r="F3855" s="13">
        <v>1437</v>
      </c>
      <c r="G3855" s="13"/>
    </row>
    <row r="3856" spans="1:7" hidden="1" x14ac:dyDescent="0.75">
      <c r="A3856" s="51">
        <v>44949</v>
      </c>
      <c r="B3856" s="52">
        <v>55</v>
      </c>
      <c r="C3856" s="8" t="s">
        <v>4288</v>
      </c>
      <c r="D3856" s="8" t="s">
        <v>177</v>
      </c>
      <c r="E3856" s="52">
        <v>689</v>
      </c>
      <c r="F3856" s="13">
        <v>570</v>
      </c>
      <c r="G3856" s="13"/>
    </row>
    <row r="3857" spans="1:7" hidden="1" x14ac:dyDescent="0.75">
      <c r="A3857" s="51">
        <v>44949</v>
      </c>
      <c r="B3857" s="52">
        <v>55</v>
      </c>
      <c r="C3857" s="8" t="s">
        <v>4289</v>
      </c>
      <c r="D3857" s="8" t="s">
        <v>177</v>
      </c>
      <c r="E3857" s="52">
        <v>973</v>
      </c>
      <c r="F3857" s="13">
        <v>52.8</v>
      </c>
      <c r="G3857" s="13"/>
    </row>
    <row r="3858" spans="1:7" hidden="1" x14ac:dyDescent="0.75">
      <c r="A3858" s="51">
        <v>44949</v>
      </c>
      <c r="B3858" s="52">
        <v>55</v>
      </c>
      <c r="C3858" s="8" t="s">
        <v>4290</v>
      </c>
      <c r="D3858" s="8" t="s">
        <v>177</v>
      </c>
      <c r="E3858" s="52">
        <v>694</v>
      </c>
      <c r="F3858" s="13">
        <v>60</v>
      </c>
      <c r="G3858" s="13"/>
    </row>
    <row r="3859" spans="1:7" hidden="1" x14ac:dyDescent="0.75">
      <c r="A3859" s="51">
        <v>44949</v>
      </c>
      <c r="B3859" s="52">
        <v>55</v>
      </c>
      <c r="C3859" s="8" t="s">
        <v>4291</v>
      </c>
      <c r="D3859" s="8" t="s">
        <v>177</v>
      </c>
      <c r="E3859" s="52">
        <v>1405</v>
      </c>
      <c r="F3859" s="13">
        <v>3196.5</v>
      </c>
      <c r="G3859" s="13"/>
    </row>
    <row r="3860" spans="1:7" hidden="1" x14ac:dyDescent="0.75">
      <c r="A3860" s="51">
        <v>44949</v>
      </c>
      <c r="B3860" s="52">
        <v>55</v>
      </c>
      <c r="C3860" s="8" t="s">
        <v>4292</v>
      </c>
      <c r="D3860" s="8" t="s">
        <v>177</v>
      </c>
      <c r="E3860" s="52">
        <v>703</v>
      </c>
      <c r="F3860" s="13">
        <v>90</v>
      </c>
      <c r="G3860" s="13"/>
    </row>
    <row r="3861" spans="1:7" hidden="1" x14ac:dyDescent="0.75">
      <c r="A3861" s="51">
        <v>44949</v>
      </c>
      <c r="B3861" s="52">
        <v>55</v>
      </c>
      <c r="C3861" s="8" t="s">
        <v>4293</v>
      </c>
      <c r="D3861" s="8" t="s">
        <v>177</v>
      </c>
      <c r="E3861" s="52">
        <v>695</v>
      </c>
      <c r="F3861" s="13">
        <v>201</v>
      </c>
      <c r="G3861" s="13"/>
    </row>
    <row r="3862" spans="1:7" hidden="1" x14ac:dyDescent="0.75">
      <c r="A3862" s="51">
        <v>44949</v>
      </c>
      <c r="B3862" s="52">
        <v>55</v>
      </c>
      <c r="C3862" s="8" t="s">
        <v>4294</v>
      </c>
      <c r="D3862" s="8" t="s">
        <v>177</v>
      </c>
      <c r="E3862" s="52">
        <v>1794</v>
      </c>
      <c r="F3862" s="13">
        <v>934.2</v>
      </c>
      <c r="G3862" s="13"/>
    </row>
    <row r="3863" spans="1:7" hidden="1" x14ac:dyDescent="0.75">
      <c r="A3863" s="51">
        <v>44949</v>
      </c>
      <c r="B3863" s="52">
        <v>55</v>
      </c>
      <c r="C3863" s="8" t="s">
        <v>4295</v>
      </c>
      <c r="D3863" s="8" t="s">
        <v>177</v>
      </c>
      <c r="E3863" s="52">
        <v>1503</v>
      </c>
      <c r="F3863" s="13">
        <v>1768</v>
      </c>
      <c r="G3863" s="13"/>
    </row>
    <row r="3864" spans="1:7" hidden="1" x14ac:dyDescent="0.75">
      <c r="A3864" s="51">
        <v>44949</v>
      </c>
      <c r="B3864" s="52">
        <v>55</v>
      </c>
      <c r="C3864" s="8" t="s">
        <v>4296</v>
      </c>
      <c r="D3864" s="8" t="s">
        <v>177</v>
      </c>
      <c r="E3864" s="52">
        <v>748</v>
      </c>
      <c r="F3864" s="13">
        <v>1124</v>
      </c>
      <c r="G3864" s="13"/>
    </row>
    <row r="3865" spans="1:7" hidden="1" x14ac:dyDescent="0.75">
      <c r="A3865" s="51">
        <v>44949</v>
      </c>
      <c r="B3865" s="52">
        <v>55</v>
      </c>
      <c r="C3865" s="8" t="s">
        <v>4297</v>
      </c>
      <c r="D3865" s="8" t="s">
        <v>177</v>
      </c>
      <c r="E3865" s="52">
        <v>1350</v>
      </c>
      <c r="F3865" s="13">
        <v>365</v>
      </c>
      <c r="G3865" s="13"/>
    </row>
    <row r="3866" spans="1:7" hidden="1" x14ac:dyDescent="0.75">
      <c r="A3866" s="51">
        <v>44949</v>
      </c>
      <c r="B3866" s="52">
        <v>55</v>
      </c>
      <c r="C3866" s="8" t="s">
        <v>4298</v>
      </c>
      <c r="D3866" s="8" t="s">
        <v>177</v>
      </c>
      <c r="E3866" s="52">
        <v>1350</v>
      </c>
      <c r="F3866" s="13">
        <v>510</v>
      </c>
      <c r="G3866" s="13"/>
    </row>
    <row r="3867" spans="1:7" hidden="1" x14ac:dyDescent="0.75">
      <c r="A3867" s="51">
        <v>44949</v>
      </c>
      <c r="B3867" s="52">
        <v>55</v>
      </c>
      <c r="C3867" s="8" t="s">
        <v>4299</v>
      </c>
      <c r="D3867" s="8" t="s">
        <v>177</v>
      </c>
      <c r="E3867" s="52">
        <v>771</v>
      </c>
      <c r="F3867" s="13">
        <v>660</v>
      </c>
      <c r="G3867" s="13"/>
    </row>
    <row r="3868" spans="1:7" hidden="1" x14ac:dyDescent="0.75">
      <c r="A3868" s="51">
        <v>44949</v>
      </c>
      <c r="B3868" s="52">
        <v>55</v>
      </c>
      <c r="C3868" s="8" t="s">
        <v>4300</v>
      </c>
      <c r="D3868" s="8" t="s">
        <v>177</v>
      </c>
      <c r="E3868" s="52">
        <v>754</v>
      </c>
      <c r="F3868" s="13">
        <v>240</v>
      </c>
      <c r="G3868" s="13"/>
    </row>
    <row r="3869" spans="1:7" hidden="1" x14ac:dyDescent="0.75">
      <c r="A3869" s="51">
        <v>44949</v>
      </c>
      <c r="B3869" s="52">
        <v>55</v>
      </c>
      <c r="C3869" s="8" t="s">
        <v>4301</v>
      </c>
      <c r="D3869" s="8" t="s">
        <v>177</v>
      </c>
      <c r="E3869" s="52">
        <v>697</v>
      </c>
      <c r="F3869" s="13">
        <v>795</v>
      </c>
      <c r="G3869" s="13"/>
    </row>
    <row r="3870" spans="1:7" hidden="1" x14ac:dyDescent="0.75">
      <c r="A3870" s="51">
        <v>44949</v>
      </c>
      <c r="B3870" s="52">
        <v>55</v>
      </c>
      <c r="C3870" s="8" t="s">
        <v>4302</v>
      </c>
      <c r="D3870" s="8" t="s">
        <v>177</v>
      </c>
      <c r="E3870" s="52">
        <v>1365</v>
      </c>
      <c r="F3870" s="13">
        <v>210</v>
      </c>
      <c r="G3870" s="13"/>
    </row>
    <row r="3871" spans="1:7" hidden="1" x14ac:dyDescent="0.75">
      <c r="A3871" s="51">
        <v>44949</v>
      </c>
      <c r="B3871" s="52">
        <v>55</v>
      </c>
      <c r="C3871" s="8" t="s">
        <v>4303</v>
      </c>
      <c r="D3871" s="8" t="s">
        <v>177</v>
      </c>
      <c r="E3871" s="52">
        <v>874</v>
      </c>
      <c r="F3871" s="13">
        <v>1002.7</v>
      </c>
      <c r="G3871" s="13"/>
    </row>
    <row r="3872" spans="1:7" hidden="1" x14ac:dyDescent="0.75">
      <c r="A3872" s="51">
        <v>44949</v>
      </c>
      <c r="B3872" s="52">
        <v>55</v>
      </c>
      <c r="C3872" s="8" t="s">
        <v>4304</v>
      </c>
      <c r="D3872" s="8" t="s">
        <v>177</v>
      </c>
      <c r="E3872" s="52">
        <v>874</v>
      </c>
      <c r="F3872" s="13">
        <v>1054.1500000000001</v>
      </c>
      <c r="G3872" s="13"/>
    </row>
    <row r="3873" spans="1:7" hidden="1" x14ac:dyDescent="0.75">
      <c r="A3873" s="51">
        <v>44949</v>
      </c>
      <c r="B3873" s="52">
        <v>55</v>
      </c>
      <c r="C3873" s="8" t="s">
        <v>4305</v>
      </c>
      <c r="D3873" s="8" t="s">
        <v>177</v>
      </c>
      <c r="E3873" s="52">
        <v>874</v>
      </c>
      <c r="F3873" s="13">
        <v>320.60000000000002</v>
      </c>
      <c r="G3873" s="13"/>
    </row>
    <row r="3874" spans="1:7" hidden="1" x14ac:dyDescent="0.75">
      <c r="A3874" s="51">
        <v>44949</v>
      </c>
      <c r="B3874" s="52">
        <v>55</v>
      </c>
      <c r="C3874" s="8" t="s">
        <v>4306</v>
      </c>
      <c r="D3874" s="8" t="s">
        <v>177</v>
      </c>
      <c r="E3874" s="52">
        <v>1721</v>
      </c>
      <c r="F3874" s="13">
        <v>480</v>
      </c>
      <c r="G3874" s="13"/>
    </row>
    <row r="3875" spans="1:7" hidden="1" x14ac:dyDescent="0.75">
      <c r="A3875" s="51">
        <v>44949</v>
      </c>
      <c r="B3875" s="52">
        <v>55</v>
      </c>
      <c r="C3875" s="8" t="s">
        <v>4307</v>
      </c>
      <c r="D3875" s="8" t="s">
        <v>177</v>
      </c>
      <c r="E3875" s="52">
        <v>1900</v>
      </c>
      <c r="F3875" s="13">
        <v>520</v>
      </c>
      <c r="G3875" s="13"/>
    </row>
    <row r="3876" spans="1:7" hidden="1" x14ac:dyDescent="0.75">
      <c r="A3876" s="51">
        <v>44949</v>
      </c>
      <c r="B3876" s="52">
        <v>55</v>
      </c>
      <c r="C3876" s="8" t="s">
        <v>4308</v>
      </c>
      <c r="D3876" s="8" t="s">
        <v>177</v>
      </c>
      <c r="E3876" s="52">
        <v>1980</v>
      </c>
      <c r="F3876" s="13">
        <v>1410</v>
      </c>
      <c r="G3876" s="13"/>
    </row>
    <row r="3877" spans="1:7" hidden="1" x14ac:dyDescent="0.75">
      <c r="A3877" s="51">
        <v>44949</v>
      </c>
      <c r="B3877" s="52">
        <v>55</v>
      </c>
      <c r="C3877" s="8" t="s">
        <v>4309</v>
      </c>
      <c r="D3877" s="8" t="s">
        <v>177</v>
      </c>
      <c r="E3877" s="52">
        <v>769</v>
      </c>
      <c r="F3877" s="13">
        <v>450</v>
      </c>
      <c r="G3877" s="13"/>
    </row>
    <row r="3878" spans="1:7" hidden="1" x14ac:dyDescent="0.75">
      <c r="A3878" s="51">
        <v>44949</v>
      </c>
      <c r="B3878" s="52">
        <v>55</v>
      </c>
      <c r="C3878" s="8" t="s">
        <v>4310</v>
      </c>
      <c r="D3878" s="8" t="s">
        <v>177</v>
      </c>
      <c r="E3878" s="52">
        <v>518</v>
      </c>
      <c r="F3878" s="13"/>
      <c r="G3878" s="13">
        <v>54.5</v>
      </c>
    </row>
    <row r="3879" spans="1:7" hidden="1" x14ac:dyDescent="0.75">
      <c r="A3879" s="51">
        <v>44949</v>
      </c>
      <c r="B3879" s="52">
        <v>55</v>
      </c>
      <c r="C3879" s="8" t="s">
        <v>4311</v>
      </c>
      <c r="D3879" s="8" t="s">
        <v>177</v>
      </c>
      <c r="E3879" s="52">
        <v>1646</v>
      </c>
      <c r="F3879" s="13"/>
      <c r="G3879" s="13">
        <v>308.86</v>
      </c>
    </row>
    <row r="3880" spans="1:7" hidden="1" x14ac:dyDescent="0.75">
      <c r="A3880" s="51">
        <v>44949</v>
      </c>
      <c r="B3880" s="52">
        <v>55</v>
      </c>
      <c r="C3880" s="8" t="s">
        <v>4312</v>
      </c>
      <c r="D3880" s="8" t="s">
        <v>177</v>
      </c>
      <c r="E3880" s="52">
        <v>1646</v>
      </c>
      <c r="F3880" s="13"/>
      <c r="G3880" s="13">
        <v>232.95</v>
      </c>
    </row>
    <row r="3881" spans="1:7" hidden="1" x14ac:dyDescent="0.75">
      <c r="A3881" s="51">
        <v>44950</v>
      </c>
      <c r="B3881" s="52">
        <v>55</v>
      </c>
      <c r="C3881" s="8" t="s">
        <v>4313</v>
      </c>
      <c r="D3881" s="8" t="s">
        <v>177</v>
      </c>
      <c r="E3881" s="52">
        <v>692</v>
      </c>
      <c r="F3881" s="13">
        <v>780</v>
      </c>
      <c r="G3881" s="13"/>
    </row>
    <row r="3882" spans="1:7" hidden="1" x14ac:dyDescent="0.75">
      <c r="A3882" s="51">
        <v>44950</v>
      </c>
      <c r="B3882" s="52">
        <v>55</v>
      </c>
      <c r="C3882" s="8" t="s">
        <v>4314</v>
      </c>
      <c r="D3882" s="8" t="s">
        <v>177</v>
      </c>
      <c r="E3882" s="52">
        <v>973</v>
      </c>
      <c r="F3882" s="13">
        <v>37.4</v>
      </c>
      <c r="G3882" s="13"/>
    </row>
    <row r="3883" spans="1:7" hidden="1" x14ac:dyDescent="0.75">
      <c r="A3883" s="51">
        <v>44950</v>
      </c>
      <c r="B3883" s="52">
        <v>55</v>
      </c>
      <c r="C3883" s="8" t="s">
        <v>4315</v>
      </c>
      <c r="D3883" s="8" t="s">
        <v>177</v>
      </c>
      <c r="E3883" s="52">
        <v>1405</v>
      </c>
      <c r="F3883" s="13">
        <v>2444.5</v>
      </c>
      <c r="G3883" s="13"/>
    </row>
    <row r="3884" spans="1:7" hidden="1" x14ac:dyDescent="0.75">
      <c r="A3884" s="51">
        <v>44950</v>
      </c>
      <c r="B3884" s="52">
        <v>55</v>
      </c>
      <c r="C3884" s="8" t="s">
        <v>4316</v>
      </c>
      <c r="D3884" s="8" t="s">
        <v>177</v>
      </c>
      <c r="E3884" s="52">
        <v>703</v>
      </c>
      <c r="F3884" s="13">
        <v>60</v>
      </c>
      <c r="G3884" s="13"/>
    </row>
    <row r="3885" spans="1:7" hidden="1" x14ac:dyDescent="0.75">
      <c r="A3885" s="51">
        <v>44950</v>
      </c>
      <c r="B3885" s="52">
        <v>55</v>
      </c>
      <c r="C3885" s="8" t="s">
        <v>4317</v>
      </c>
      <c r="D3885" s="8" t="s">
        <v>177</v>
      </c>
      <c r="E3885" s="52">
        <v>1503</v>
      </c>
      <c r="F3885" s="13">
        <v>1360</v>
      </c>
      <c r="G3885" s="13"/>
    </row>
    <row r="3886" spans="1:7" hidden="1" x14ac:dyDescent="0.75">
      <c r="A3886" s="51">
        <v>44950</v>
      </c>
      <c r="B3886" s="52">
        <v>55</v>
      </c>
      <c r="C3886" s="8" t="s">
        <v>4318</v>
      </c>
      <c r="D3886" s="8" t="s">
        <v>177</v>
      </c>
      <c r="E3886" s="52">
        <v>1518</v>
      </c>
      <c r="F3886" s="13">
        <v>12</v>
      </c>
      <c r="G3886" s="13"/>
    </row>
    <row r="3887" spans="1:7" hidden="1" x14ac:dyDescent="0.75">
      <c r="A3887" s="51">
        <v>44950</v>
      </c>
      <c r="B3887" s="52">
        <v>55</v>
      </c>
      <c r="C3887" s="8" t="s">
        <v>4319</v>
      </c>
      <c r="D3887" s="8" t="s">
        <v>177</v>
      </c>
      <c r="E3887" s="52">
        <v>686</v>
      </c>
      <c r="F3887" s="13">
        <v>1100.0999999999999</v>
      </c>
      <c r="G3887" s="13"/>
    </row>
    <row r="3888" spans="1:7" hidden="1" x14ac:dyDescent="0.75">
      <c r="A3888" s="51">
        <v>44950</v>
      </c>
      <c r="B3888" s="52">
        <v>55</v>
      </c>
      <c r="C3888" s="8" t="s">
        <v>4320</v>
      </c>
      <c r="D3888" s="8" t="s">
        <v>177</v>
      </c>
      <c r="E3888" s="52">
        <v>688</v>
      </c>
      <c r="F3888" s="13">
        <v>1217.5</v>
      </c>
      <c r="G3888" s="13"/>
    </row>
    <row r="3889" spans="1:7" hidden="1" x14ac:dyDescent="0.75">
      <c r="A3889" s="51">
        <v>44950</v>
      </c>
      <c r="B3889" s="52">
        <v>55</v>
      </c>
      <c r="C3889" s="8" t="s">
        <v>4321</v>
      </c>
      <c r="D3889" s="8" t="s">
        <v>177</v>
      </c>
      <c r="E3889" s="52">
        <v>690</v>
      </c>
      <c r="F3889" s="13">
        <v>576</v>
      </c>
      <c r="G3889" s="13"/>
    </row>
    <row r="3890" spans="1:7" hidden="1" x14ac:dyDescent="0.75">
      <c r="A3890" s="51">
        <v>44950</v>
      </c>
      <c r="B3890" s="52">
        <v>55</v>
      </c>
      <c r="C3890" s="8" t="s">
        <v>4322</v>
      </c>
      <c r="D3890" s="8" t="s">
        <v>177</v>
      </c>
      <c r="E3890" s="52">
        <v>1518</v>
      </c>
      <c r="F3890" s="13">
        <v>27</v>
      </c>
      <c r="G3890" s="13"/>
    </row>
    <row r="3891" spans="1:7" hidden="1" x14ac:dyDescent="0.75">
      <c r="A3891" s="51">
        <v>44950</v>
      </c>
      <c r="B3891" s="52">
        <v>55</v>
      </c>
      <c r="C3891" s="8" t="s">
        <v>4323</v>
      </c>
      <c r="D3891" s="8" t="s">
        <v>177</v>
      </c>
      <c r="E3891" s="52">
        <v>1406</v>
      </c>
      <c r="F3891" s="13">
        <v>1516.75</v>
      </c>
      <c r="G3891" s="13"/>
    </row>
    <row r="3892" spans="1:7" hidden="1" x14ac:dyDescent="0.75">
      <c r="A3892" s="51">
        <v>44950</v>
      </c>
      <c r="B3892" s="52">
        <v>55</v>
      </c>
      <c r="C3892" s="8" t="s">
        <v>4324</v>
      </c>
      <c r="D3892" s="8" t="s">
        <v>177</v>
      </c>
      <c r="E3892" s="52">
        <v>689</v>
      </c>
      <c r="F3892" s="13">
        <v>1873.2</v>
      </c>
      <c r="G3892" s="13"/>
    </row>
    <row r="3893" spans="1:7" hidden="1" x14ac:dyDescent="0.75">
      <c r="A3893" s="51">
        <v>44950</v>
      </c>
      <c r="B3893" s="52">
        <v>55</v>
      </c>
      <c r="C3893" s="8" t="s">
        <v>4325</v>
      </c>
      <c r="D3893" s="8" t="s">
        <v>177</v>
      </c>
      <c r="E3893" s="52">
        <v>694</v>
      </c>
      <c r="F3893" s="13">
        <v>486.4</v>
      </c>
      <c r="G3893" s="13"/>
    </row>
    <row r="3894" spans="1:7" hidden="1" x14ac:dyDescent="0.75">
      <c r="A3894" s="51">
        <v>44950</v>
      </c>
      <c r="B3894" s="52">
        <v>55</v>
      </c>
      <c r="C3894" s="8" t="s">
        <v>4326</v>
      </c>
      <c r="D3894" s="8" t="s">
        <v>177</v>
      </c>
      <c r="E3894" s="52">
        <v>1794</v>
      </c>
      <c r="F3894" s="13">
        <v>997</v>
      </c>
      <c r="G3894" s="13"/>
    </row>
    <row r="3895" spans="1:7" hidden="1" x14ac:dyDescent="0.75">
      <c r="A3895" s="51">
        <v>44950</v>
      </c>
      <c r="B3895" s="52">
        <v>55</v>
      </c>
      <c r="C3895" s="8" t="s">
        <v>4327</v>
      </c>
      <c r="D3895" s="8" t="s">
        <v>177</v>
      </c>
      <c r="E3895" s="52">
        <v>1558</v>
      </c>
      <c r="F3895" s="13">
        <v>608.25</v>
      </c>
      <c r="G3895" s="13"/>
    </row>
    <row r="3896" spans="1:7" hidden="1" x14ac:dyDescent="0.75">
      <c r="A3896" s="51">
        <v>44950</v>
      </c>
      <c r="B3896" s="52">
        <v>55</v>
      </c>
      <c r="C3896" s="8" t="s">
        <v>4328</v>
      </c>
      <c r="D3896" s="8" t="s">
        <v>177</v>
      </c>
      <c r="E3896" s="52">
        <v>1898</v>
      </c>
      <c r="F3896" s="13">
        <v>5033.3999999999996</v>
      </c>
      <c r="G3896" s="13"/>
    </row>
    <row r="3897" spans="1:7" hidden="1" x14ac:dyDescent="0.75">
      <c r="A3897" s="51">
        <v>44950</v>
      </c>
      <c r="B3897" s="52">
        <v>55</v>
      </c>
      <c r="C3897" s="8" t="s">
        <v>4329</v>
      </c>
      <c r="D3897" s="8" t="s">
        <v>177</v>
      </c>
      <c r="E3897" s="52">
        <v>748</v>
      </c>
      <c r="F3897" s="13">
        <v>1278</v>
      </c>
      <c r="G3897" s="13"/>
    </row>
    <row r="3898" spans="1:7" hidden="1" x14ac:dyDescent="0.75">
      <c r="A3898" s="51">
        <v>44950</v>
      </c>
      <c r="B3898" s="52">
        <v>55</v>
      </c>
      <c r="C3898" s="8" t="s">
        <v>4330</v>
      </c>
      <c r="D3898" s="8" t="s">
        <v>177</v>
      </c>
      <c r="E3898" s="52">
        <v>1350</v>
      </c>
      <c r="F3898" s="13">
        <v>220</v>
      </c>
      <c r="G3898" s="13"/>
    </row>
    <row r="3899" spans="1:7" hidden="1" x14ac:dyDescent="0.75">
      <c r="A3899" s="51">
        <v>44950</v>
      </c>
      <c r="B3899" s="52">
        <v>55</v>
      </c>
      <c r="C3899" s="8" t="s">
        <v>4331</v>
      </c>
      <c r="D3899" s="8" t="s">
        <v>177</v>
      </c>
      <c r="E3899" s="52">
        <v>906</v>
      </c>
      <c r="F3899" s="13">
        <v>630</v>
      </c>
      <c r="G3899" s="13"/>
    </row>
    <row r="3900" spans="1:7" hidden="1" x14ac:dyDescent="0.75">
      <c r="A3900" s="51">
        <v>44950</v>
      </c>
      <c r="B3900" s="52">
        <v>55</v>
      </c>
      <c r="C3900" s="8" t="s">
        <v>4332</v>
      </c>
      <c r="D3900" s="8" t="s">
        <v>177</v>
      </c>
      <c r="E3900" s="52">
        <v>754</v>
      </c>
      <c r="F3900" s="13">
        <v>334</v>
      </c>
      <c r="G3900" s="13"/>
    </row>
    <row r="3901" spans="1:7" hidden="1" x14ac:dyDescent="0.75">
      <c r="A3901" s="51">
        <v>44950</v>
      </c>
      <c r="B3901" s="52">
        <v>55</v>
      </c>
      <c r="C3901" s="8" t="s">
        <v>4333</v>
      </c>
      <c r="D3901" s="8" t="s">
        <v>177</v>
      </c>
      <c r="E3901" s="52">
        <v>1593</v>
      </c>
      <c r="F3901" s="13">
        <v>72</v>
      </c>
      <c r="G3901" s="13"/>
    </row>
    <row r="3902" spans="1:7" hidden="1" x14ac:dyDescent="0.75">
      <c r="A3902" s="51">
        <v>44950</v>
      </c>
      <c r="B3902" s="52">
        <v>55</v>
      </c>
      <c r="C3902" s="8" t="s">
        <v>4334</v>
      </c>
      <c r="D3902" s="8" t="s">
        <v>177</v>
      </c>
      <c r="E3902" s="52">
        <v>769</v>
      </c>
      <c r="F3902" s="13">
        <v>1148</v>
      </c>
      <c r="G3902" s="13"/>
    </row>
    <row r="3903" spans="1:7" hidden="1" x14ac:dyDescent="0.75">
      <c r="A3903" s="51">
        <v>44950</v>
      </c>
      <c r="B3903" s="52">
        <v>55</v>
      </c>
      <c r="C3903" s="8" t="s">
        <v>4335</v>
      </c>
      <c r="D3903" s="8" t="s">
        <v>177</v>
      </c>
      <c r="E3903" s="52">
        <v>1365</v>
      </c>
      <c r="F3903" s="13">
        <v>420</v>
      </c>
      <c r="G3903" s="13"/>
    </row>
    <row r="3904" spans="1:7" hidden="1" x14ac:dyDescent="0.75">
      <c r="A3904" s="51">
        <v>44950</v>
      </c>
      <c r="B3904" s="52">
        <v>55</v>
      </c>
      <c r="C3904" s="8" t="s">
        <v>4336</v>
      </c>
      <c r="D3904" s="8" t="s">
        <v>177</v>
      </c>
      <c r="E3904" s="52">
        <v>762</v>
      </c>
      <c r="F3904" s="13">
        <v>2600</v>
      </c>
      <c r="G3904" s="13"/>
    </row>
    <row r="3905" spans="1:7" hidden="1" x14ac:dyDescent="0.75">
      <c r="A3905" s="51">
        <v>44950</v>
      </c>
      <c r="B3905" s="52">
        <v>55</v>
      </c>
      <c r="C3905" s="8" t="s">
        <v>4337</v>
      </c>
      <c r="D3905" s="8" t="s">
        <v>177</v>
      </c>
      <c r="E3905" s="52">
        <v>1684</v>
      </c>
      <c r="F3905" s="13">
        <v>570.75</v>
      </c>
      <c r="G3905" s="13"/>
    </row>
    <row r="3906" spans="1:7" hidden="1" x14ac:dyDescent="0.75">
      <c r="A3906" s="51">
        <v>44950</v>
      </c>
      <c r="B3906" s="52">
        <v>55</v>
      </c>
      <c r="C3906" s="8" t="s">
        <v>4338</v>
      </c>
      <c r="D3906" s="8" t="s">
        <v>177</v>
      </c>
      <c r="E3906" s="52">
        <v>1684</v>
      </c>
      <c r="F3906" s="13">
        <v>261.75</v>
      </c>
      <c r="G3906" s="13"/>
    </row>
    <row r="3907" spans="1:7" hidden="1" x14ac:dyDescent="0.75">
      <c r="A3907" s="51">
        <v>44950</v>
      </c>
      <c r="B3907" s="52">
        <v>55</v>
      </c>
      <c r="C3907" s="8" t="s">
        <v>4339</v>
      </c>
      <c r="D3907" s="8" t="s">
        <v>177</v>
      </c>
      <c r="E3907" s="52">
        <v>1721</v>
      </c>
      <c r="F3907" s="13">
        <v>550</v>
      </c>
      <c r="G3907" s="13"/>
    </row>
    <row r="3908" spans="1:7" hidden="1" x14ac:dyDescent="0.75">
      <c r="A3908" s="51">
        <v>44950</v>
      </c>
      <c r="B3908" s="52">
        <v>55</v>
      </c>
      <c r="C3908" s="8" t="s">
        <v>4340</v>
      </c>
      <c r="D3908" s="8" t="s">
        <v>177</v>
      </c>
      <c r="E3908" s="52">
        <v>1721</v>
      </c>
      <c r="F3908" s="13">
        <v>210</v>
      </c>
      <c r="G3908" s="13"/>
    </row>
    <row r="3909" spans="1:7" hidden="1" x14ac:dyDescent="0.75">
      <c r="A3909" s="51">
        <v>44950</v>
      </c>
      <c r="B3909" s="52">
        <v>55</v>
      </c>
      <c r="C3909" s="8" t="s">
        <v>4341</v>
      </c>
      <c r="D3909" s="8" t="s">
        <v>177</v>
      </c>
      <c r="E3909" s="52">
        <v>1900</v>
      </c>
      <c r="F3909" s="13">
        <v>150</v>
      </c>
      <c r="G3909" s="13"/>
    </row>
    <row r="3910" spans="1:7" hidden="1" x14ac:dyDescent="0.75">
      <c r="A3910" s="51">
        <v>44950</v>
      </c>
      <c r="B3910" s="52">
        <v>55</v>
      </c>
      <c r="C3910" s="8" t="s">
        <v>4342</v>
      </c>
      <c r="D3910" s="8" t="s">
        <v>177</v>
      </c>
      <c r="E3910" s="52">
        <v>1980</v>
      </c>
      <c r="F3910" s="13">
        <v>970</v>
      </c>
      <c r="G3910" s="13"/>
    </row>
    <row r="3911" spans="1:7" hidden="1" x14ac:dyDescent="0.75">
      <c r="A3911" s="51">
        <v>44950</v>
      </c>
      <c r="B3911" s="52">
        <v>55</v>
      </c>
      <c r="C3911" s="8" t="s">
        <v>4343</v>
      </c>
      <c r="D3911" s="8" t="s">
        <v>177</v>
      </c>
      <c r="E3911" s="52">
        <v>769</v>
      </c>
      <c r="F3911" s="13">
        <v>6160</v>
      </c>
      <c r="G3911" s="13"/>
    </row>
    <row r="3912" spans="1:7" hidden="1" x14ac:dyDescent="0.75">
      <c r="A3912" s="51">
        <v>44950</v>
      </c>
      <c r="B3912" s="52">
        <v>55</v>
      </c>
      <c r="C3912" s="8" t="s">
        <v>4344</v>
      </c>
      <c r="D3912" s="8" t="s">
        <v>177</v>
      </c>
      <c r="E3912" s="52">
        <v>687</v>
      </c>
      <c r="F3912" s="13">
        <v>148.69999999999999</v>
      </c>
      <c r="G3912" s="13"/>
    </row>
    <row r="3913" spans="1:7" hidden="1" x14ac:dyDescent="0.75">
      <c r="A3913" s="51">
        <v>44950</v>
      </c>
      <c r="B3913" s="52">
        <v>55</v>
      </c>
      <c r="C3913" s="8" t="s">
        <v>4345</v>
      </c>
      <c r="D3913" s="8" t="s">
        <v>177</v>
      </c>
      <c r="E3913" s="52">
        <v>696</v>
      </c>
      <c r="F3913" s="13">
        <v>49</v>
      </c>
      <c r="G3913" s="13"/>
    </row>
    <row r="3914" spans="1:7" hidden="1" x14ac:dyDescent="0.75">
      <c r="A3914" s="51">
        <v>44950</v>
      </c>
      <c r="B3914" s="52">
        <v>55</v>
      </c>
      <c r="C3914" s="8" t="s">
        <v>4346</v>
      </c>
      <c r="D3914" s="8" t="s">
        <v>177</v>
      </c>
      <c r="E3914" s="52">
        <v>1646</v>
      </c>
      <c r="F3914" s="13"/>
      <c r="G3914" s="13">
        <v>417.27</v>
      </c>
    </row>
    <row r="3915" spans="1:7" hidden="1" x14ac:dyDescent="0.75">
      <c r="A3915" s="51">
        <v>44950</v>
      </c>
      <c r="B3915" s="52">
        <v>55</v>
      </c>
      <c r="C3915" s="8" t="s">
        <v>4347</v>
      </c>
      <c r="D3915" s="8" t="s">
        <v>177</v>
      </c>
      <c r="E3915" s="52">
        <v>1646</v>
      </c>
      <c r="F3915" s="13"/>
      <c r="G3915" s="13">
        <v>254.15</v>
      </c>
    </row>
    <row r="3916" spans="1:7" hidden="1" x14ac:dyDescent="0.75">
      <c r="A3916" s="51">
        <v>44950</v>
      </c>
      <c r="B3916" s="52">
        <v>55</v>
      </c>
      <c r="C3916" s="8" t="s">
        <v>4348</v>
      </c>
      <c r="D3916" s="8" t="s">
        <v>177</v>
      </c>
      <c r="E3916" s="52">
        <v>1646</v>
      </c>
      <c r="F3916" s="13"/>
      <c r="G3916" s="13">
        <v>35</v>
      </c>
    </row>
    <row r="3917" spans="1:7" hidden="1" x14ac:dyDescent="0.75">
      <c r="A3917" s="51">
        <v>44950</v>
      </c>
      <c r="B3917" s="52">
        <v>55</v>
      </c>
      <c r="C3917" s="8" t="s">
        <v>4349</v>
      </c>
      <c r="D3917" s="8" t="s">
        <v>177</v>
      </c>
      <c r="E3917" s="52">
        <v>1646</v>
      </c>
      <c r="F3917" s="13"/>
      <c r="G3917" s="13">
        <v>2.08</v>
      </c>
    </row>
    <row r="3918" spans="1:7" hidden="1" x14ac:dyDescent="0.75">
      <c r="A3918" s="51">
        <v>44950</v>
      </c>
      <c r="B3918" s="52">
        <v>55</v>
      </c>
      <c r="C3918" s="8" t="s">
        <v>4350</v>
      </c>
      <c r="D3918" s="8" t="s">
        <v>177</v>
      </c>
      <c r="E3918" s="52">
        <v>1646</v>
      </c>
      <c r="F3918" s="13"/>
      <c r="G3918" s="13">
        <v>665.95</v>
      </c>
    </row>
    <row r="3919" spans="1:7" hidden="1" x14ac:dyDescent="0.75">
      <c r="A3919" s="51">
        <v>44950</v>
      </c>
      <c r="B3919" s="52">
        <v>55</v>
      </c>
      <c r="C3919" s="8" t="s">
        <v>4351</v>
      </c>
      <c r="D3919" s="8" t="s">
        <v>177</v>
      </c>
      <c r="E3919" s="52">
        <v>1646</v>
      </c>
      <c r="F3919" s="13"/>
      <c r="G3919" s="13">
        <v>261.14999999999998</v>
      </c>
    </row>
    <row r="3920" spans="1:7" hidden="1" x14ac:dyDescent="0.75">
      <c r="A3920" s="51">
        <v>44951</v>
      </c>
      <c r="B3920" s="52">
        <v>55</v>
      </c>
      <c r="C3920" s="8" t="s">
        <v>4352</v>
      </c>
      <c r="D3920" s="8" t="s">
        <v>177</v>
      </c>
      <c r="E3920" s="52">
        <v>686</v>
      </c>
      <c r="F3920" s="13">
        <v>86.5</v>
      </c>
      <c r="G3920" s="13"/>
    </row>
    <row r="3921" spans="1:7" hidden="1" x14ac:dyDescent="0.75">
      <c r="A3921" s="51">
        <v>44951</v>
      </c>
      <c r="B3921" s="52">
        <v>55</v>
      </c>
      <c r="C3921" s="8" t="s">
        <v>4353</v>
      </c>
      <c r="D3921" s="8" t="s">
        <v>177</v>
      </c>
      <c r="E3921" s="52">
        <v>687</v>
      </c>
      <c r="F3921" s="13">
        <v>80.400000000000006</v>
      </c>
      <c r="G3921" s="13"/>
    </row>
    <row r="3922" spans="1:7" hidden="1" x14ac:dyDescent="0.75">
      <c r="A3922" s="51">
        <v>44951</v>
      </c>
      <c r="B3922" s="52">
        <v>55</v>
      </c>
      <c r="C3922" s="8" t="s">
        <v>4354</v>
      </c>
      <c r="D3922" s="8" t="s">
        <v>177</v>
      </c>
      <c r="E3922" s="52">
        <v>688</v>
      </c>
      <c r="F3922" s="13">
        <v>138.75</v>
      </c>
      <c r="G3922" s="13"/>
    </row>
    <row r="3923" spans="1:7" hidden="1" x14ac:dyDescent="0.75">
      <c r="A3923" s="51">
        <v>44951</v>
      </c>
      <c r="B3923" s="52">
        <v>55</v>
      </c>
      <c r="C3923" s="8" t="s">
        <v>4355</v>
      </c>
      <c r="D3923" s="8" t="s">
        <v>177</v>
      </c>
      <c r="E3923" s="52">
        <v>690</v>
      </c>
      <c r="F3923" s="13">
        <v>520</v>
      </c>
      <c r="G3923" s="13"/>
    </row>
    <row r="3924" spans="1:7" hidden="1" x14ac:dyDescent="0.75">
      <c r="A3924" s="51">
        <v>44951</v>
      </c>
      <c r="B3924" s="52">
        <v>55</v>
      </c>
      <c r="C3924" s="8" t="s">
        <v>4356</v>
      </c>
      <c r="D3924" s="8" t="s">
        <v>177</v>
      </c>
      <c r="E3924" s="52">
        <v>696</v>
      </c>
      <c r="F3924" s="13">
        <v>36</v>
      </c>
      <c r="G3924" s="13"/>
    </row>
    <row r="3925" spans="1:7" hidden="1" x14ac:dyDescent="0.75">
      <c r="A3925" s="51">
        <v>44951</v>
      </c>
      <c r="B3925" s="52">
        <v>55</v>
      </c>
      <c r="C3925" s="8" t="s">
        <v>4357</v>
      </c>
      <c r="D3925" s="8" t="s">
        <v>177</v>
      </c>
      <c r="E3925" s="52">
        <v>694</v>
      </c>
      <c r="F3925" s="13">
        <v>89.6</v>
      </c>
      <c r="G3925" s="13"/>
    </row>
    <row r="3926" spans="1:7" hidden="1" x14ac:dyDescent="0.75">
      <c r="A3926" s="51">
        <v>44951</v>
      </c>
      <c r="B3926" s="52">
        <v>55</v>
      </c>
      <c r="C3926" s="8" t="s">
        <v>4358</v>
      </c>
      <c r="D3926" s="8" t="s">
        <v>177</v>
      </c>
      <c r="E3926" s="52">
        <v>1405</v>
      </c>
      <c r="F3926" s="13">
        <v>3358</v>
      </c>
      <c r="G3926" s="13"/>
    </row>
    <row r="3927" spans="1:7" hidden="1" x14ac:dyDescent="0.75">
      <c r="A3927" s="51">
        <v>44951</v>
      </c>
      <c r="B3927" s="52">
        <v>55</v>
      </c>
      <c r="C3927" s="8" t="s">
        <v>4359</v>
      </c>
      <c r="D3927" s="8" t="s">
        <v>177</v>
      </c>
      <c r="E3927" s="52">
        <v>1794</v>
      </c>
      <c r="F3927" s="13">
        <v>272</v>
      </c>
      <c r="G3927" s="13"/>
    </row>
    <row r="3928" spans="1:7" hidden="1" x14ac:dyDescent="0.75">
      <c r="A3928" s="51">
        <v>44951</v>
      </c>
      <c r="B3928" s="52">
        <v>55</v>
      </c>
      <c r="C3928" s="8" t="s">
        <v>4360</v>
      </c>
      <c r="D3928" s="8" t="s">
        <v>177</v>
      </c>
      <c r="E3928" s="52">
        <v>1503</v>
      </c>
      <c r="F3928" s="13">
        <v>1768</v>
      </c>
      <c r="G3928" s="13"/>
    </row>
    <row r="3929" spans="1:7" hidden="1" x14ac:dyDescent="0.75">
      <c r="A3929" s="51">
        <v>44951</v>
      </c>
      <c r="B3929" s="52">
        <v>55</v>
      </c>
      <c r="C3929" s="8" t="s">
        <v>4361</v>
      </c>
      <c r="D3929" s="8" t="s">
        <v>177</v>
      </c>
      <c r="E3929" s="52">
        <v>1518</v>
      </c>
      <c r="F3929" s="13">
        <v>30</v>
      </c>
      <c r="G3929" s="13"/>
    </row>
    <row r="3930" spans="1:7" hidden="1" x14ac:dyDescent="0.75">
      <c r="A3930" s="51">
        <v>44951</v>
      </c>
      <c r="B3930" s="52">
        <v>55</v>
      </c>
      <c r="C3930" s="8" t="s">
        <v>4362</v>
      </c>
      <c r="D3930" s="8" t="s">
        <v>177</v>
      </c>
      <c r="E3930" s="52">
        <v>1558</v>
      </c>
      <c r="F3930" s="13">
        <v>392.63</v>
      </c>
      <c r="G3930" s="13"/>
    </row>
    <row r="3931" spans="1:7" hidden="1" x14ac:dyDescent="0.75">
      <c r="A3931" s="51">
        <v>44951</v>
      </c>
      <c r="B3931" s="52">
        <v>55</v>
      </c>
      <c r="C3931" s="8" t="s">
        <v>4363</v>
      </c>
      <c r="D3931" s="8" t="s">
        <v>177</v>
      </c>
      <c r="E3931" s="52">
        <v>1406</v>
      </c>
      <c r="F3931" s="13">
        <v>1566.5</v>
      </c>
      <c r="G3931" s="13"/>
    </row>
    <row r="3932" spans="1:7" hidden="1" x14ac:dyDescent="0.75">
      <c r="A3932" s="51">
        <v>44951</v>
      </c>
      <c r="B3932" s="52">
        <v>55</v>
      </c>
      <c r="C3932" s="8" t="s">
        <v>4364</v>
      </c>
      <c r="D3932" s="8" t="s">
        <v>177</v>
      </c>
      <c r="E3932" s="52">
        <v>695</v>
      </c>
      <c r="F3932" s="13">
        <v>195</v>
      </c>
      <c r="G3932" s="13"/>
    </row>
    <row r="3933" spans="1:7" hidden="1" x14ac:dyDescent="0.75">
      <c r="A3933" s="51">
        <v>44951</v>
      </c>
      <c r="B3933" s="52">
        <v>55</v>
      </c>
      <c r="C3933" s="8" t="s">
        <v>4365</v>
      </c>
      <c r="D3933" s="8" t="s">
        <v>177</v>
      </c>
      <c r="E3933" s="52">
        <v>692</v>
      </c>
      <c r="F3933" s="13">
        <v>864</v>
      </c>
      <c r="G3933" s="13"/>
    </row>
    <row r="3934" spans="1:7" hidden="1" x14ac:dyDescent="0.75">
      <c r="A3934" s="51">
        <v>44951</v>
      </c>
      <c r="B3934" s="52">
        <v>55</v>
      </c>
      <c r="C3934" s="8" t="s">
        <v>4366</v>
      </c>
      <c r="D3934" s="8" t="s">
        <v>177</v>
      </c>
      <c r="E3934" s="52">
        <v>748</v>
      </c>
      <c r="F3934" s="13">
        <v>1409</v>
      </c>
      <c r="G3934" s="13"/>
    </row>
    <row r="3935" spans="1:7" hidden="1" x14ac:dyDescent="0.75">
      <c r="A3935" s="51">
        <v>44951</v>
      </c>
      <c r="B3935" s="52">
        <v>55</v>
      </c>
      <c r="C3935" s="8" t="s">
        <v>4367</v>
      </c>
      <c r="D3935" s="8" t="s">
        <v>177</v>
      </c>
      <c r="E3935" s="52">
        <v>771</v>
      </c>
      <c r="F3935" s="13">
        <v>320</v>
      </c>
      <c r="G3935" s="13"/>
    </row>
    <row r="3936" spans="1:7" hidden="1" x14ac:dyDescent="0.75">
      <c r="A3936" s="51">
        <v>44951</v>
      </c>
      <c r="B3936" s="52">
        <v>55</v>
      </c>
      <c r="C3936" s="8" t="s">
        <v>4368</v>
      </c>
      <c r="D3936" s="8" t="s">
        <v>177</v>
      </c>
      <c r="E3936" s="52">
        <v>697</v>
      </c>
      <c r="F3936" s="13">
        <v>860</v>
      </c>
      <c r="G3936" s="13"/>
    </row>
    <row r="3937" spans="1:7" hidden="1" x14ac:dyDescent="0.75">
      <c r="A3937" s="51">
        <v>44951</v>
      </c>
      <c r="B3937" s="52">
        <v>55</v>
      </c>
      <c r="C3937" s="8" t="s">
        <v>4369</v>
      </c>
      <c r="D3937" s="8" t="s">
        <v>177</v>
      </c>
      <c r="E3937" s="52">
        <v>1365</v>
      </c>
      <c r="F3937" s="13">
        <v>474</v>
      </c>
      <c r="G3937" s="13"/>
    </row>
    <row r="3938" spans="1:7" hidden="1" x14ac:dyDescent="0.75">
      <c r="A3938" s="51">
        <v>44951</v>
      </c>
      <c r="B3938" s="52">
        <v>55</v>
      </c>
      <c r="C3938" s="8" t="s">
        <v>4370</v>
      </c>
      <c r="D3938" s="8" t="s">
        <v>177</v>
      </c>
      <c r="E3938" s="52">
        <v>1366</v>
      </c>
      <c r="F3938" s="13">
        <v>415</v>
      </c>
      <c r="G3938" s="13"/>
    </row>
    <row r="3939" spans="1:7" hidden="1" x14ac:dyDescent="0.75">
      <c r="A3939" s="51">
        <v>44951</v>
      </c>
      <c r="B3939" s="52">
        <v>55</v>
      </c>
      <c r="C3939" s="8" t="s">
        <v>4371</v>
      </c>
      <c r="D3939" s="8" t="s">
        <v>177</v>
      </c>
      <c r="E3939" s="52">
        <v>874</v>
      </c>
      <c r="F3939" s="13">
        <v>1148.55</v>
      </c>
      <c r="G3939" s="13"/>
    </row>
    <row r="3940" spans="1:7" hidden="1" x14ac:dyDescent="0.75">
      <c r="A3940" s="51">
        <v>44951</v>
      </c>
      <c r="B3940" s="52">
        <v>55</v>
      </c>
      <c r="C3940" s="8" t="s">
        <v>4372</v>
      </c>
      <c r="D3940" s="8" t="s">
        <v>177</v>
      </c>
      <c r="E3940" s="52">
        <v>874</v>
      </c>
      <c r="F3940" s="13">
        <v>1164.95</v>
      </c>
      <c r="G3940" s="13"/>
    </row>
    <row r="3941" spans="1:7" hidden="1" x14ac:dyDescent="0.75">
      <c r="A3941" s="51">
        <v>44951</v>
      </c>
      <c r="B3941" s="52">
        <v>55</v>
      </c>
      <c r="C3941" s="8" t="s">
        <v>4373</v>
      </c>
      <c r="D3941" s="8" t="s">
        <v>177</v>
      </c>
      <c r="E3941" s="52">
        <v>1306</v>
      </c>
      <c r="F3941" s="13">
        <v>2625</v>
      </c>
      <c r="G3941" s="13"/>
    </row>
    <row r="3942" spans="1:7" hidden="1" x14ac:dyDescent="0.75">
      <c r="A3942" s="51">
        <v>44951</v>
      </c>
      <c r="B3942" s="52">
        <v>55</v>
      </c>
      <c r="C3942" s="8" t="s">
        <v>4374</v>
      </c>
      <c r="D3942" s="8" t="s">
        <v>177</v>
      </c>
      <c r="E3942" s="52">
        <v>1306</v>
      </c>
      <c r="F3942" s="13">
        <v>1725</v>
      </c>
      <c r="G3942" s="13"/>
    </row>
    <row r="3943" spans="1:7" hidden="1" x14ac:dyDescent="0.75">
      <c r="A3943" s="51">
        <v>44951</v>
      </c>
      <c r="B3943" s="52">
        <v>55</v>
      </c>
      <c r="C3943" s="8" t="s">
        <v>4375</v>
      </c>
      <c r="D3943" s="8" t="s">
        <v>177</v>
      </c>
      <c r="E3943" s="52">
        <v>1306</v>
      </c>
      <c r="F3943" s="13">
        <v>2065</v>
      </c>
      <c r="G3943" s="13"/>
    </row>
    <row r="3944" spans="1:7" hidden="1" x14ac:dyDescent="0.75">
      <c r="A3944" s="51">
        <v>44951</v>
      </c>
      <c r="B3944" s="52">
        <v>55</v>
      </c>
      <c r="C3944" s="8" t="s">
        <v>4376</v>
      </c>
      <c r="D3944" s="8" t="s">
        <v>177</v>
      </c>
      <c r="E3944" s="52">
        <v>1684</v>
      </c>
      <c r="F3944" s="13">
        <v>255</v>
      </c>
      <c r="G3944" s="13"/>
    </row>
    <row r="3945" spans="1:7" hidden="1" x14ac:dyDescent="0.75">
      <c r="A3945" s="51">
        <v>44951</v>
      </c>
      <c r="B3945" s="52">
        <v>55</v>
      </c>
      <c r="C3945" s="8" t="s">
        <v>4377</v>
      </c>
      <c r="D3945" s="8" t="s">
        <v>177</v>
      </c>
      <c r="E3945" s="52">
        <v>1721</v>
      </c>
      <c r="F3945" s="13">
        <v>925</v>
      </c>
      <c r="G3945" s="13"/>
    </row>
    <row r="3946" spans="1:7" hidden="1" x14ac:dyDescent="0.75">
      <c r="A3946" s="51">
        <v>44951</v>
      </c>
      <c r="B3946" s="52">
        <v>55</v>
      </c>
      <c r="C3946" s="8" t="s">
        <v>4378</v>
      </c>
      <c r="D3946" s="8" t="s">
        <v>177</v>
      </c>
      <c r="E3946" s="52">
        <v>1980</v>
      </c>
      <c r="F3946" s="13">
        <v>1990</v>
      </c>
      <c r="G3946" s="13"/>
    </row>
    <row r="3947" spans="1:7" hidden="1" x14ac:dyDescent="0.75">
      <c r="A3947" s="51">
        <v>44951</v>
      </c>
      <c r="B3947" s="52">
        <v>55</v>
      </c>
      <c r="C3947" s="8" t="s">
        <v>4379</v>
      </c>
      <c r="D3947" s="8" t="s">
        <v>177</v>
      </c>
      <c r="E3947" s="52">
        <v>1721</v>
      </c>
      <c r="F3947" s="13"/>
      <c r="G3947" s="13">
        <v>400</v>
      </c>
    </row>
    <row r="3948" spans="1:7" hidden="1" x14ac:dyDescent="0.75">
      <c r="A3948" s="51">
        <v>44951</v>
      </c>
      <c r="B3948" s="52">
        <v>55</v>
      </c>
      <c r="C3948" s="8" t="s">
        <v>4380</v>
      </c>
      <c r="D3948" s="8" t="s">
        <v>177</v>
      </c>
      <c r="E3948" s="52">
        <v>1646</v>
      </c>
      <c r="F3948" s="13"/>
      <c r="G3948" s="13">
        <v>222.5</v>
      </c>
    </row>
    <row r="3949" spans="1:7" hidden="1" x14ac:dyDescent="0.75">
      <c r="A3949" s="51">
        <v>44951</v>
      </c>
      <c r="B3949" s="52">
        <v>55</v>
      </c>
      <c r="C3949" s="8" t="s">
        <v>4381</v>
      </c>
      <c r="D3949" s="8" t="s">
        <v>177</v>
      </c>
      <c r="E3949" s="52">
        <v>1646</v>
      </c>
      <c r="F3949" s="13"/>
      <c r="G3949" s="13">
        <v>108.41</v>
      </c>
    </row>
    <row r="3950" spans="1:7" hidden="1" x14ac:dyDescent="0.75">
      <c r="A3950" s="51">
        <v>44951</v>
      </c>
      <c r="B3950" s="52">
        <v>55</v>
      </c>
      <c r="C3950" s="8" t="s">
        <v>4382</v>
      </c>
      <c r="D3950" s="8" t="s">
        <v>177</v>
      </c>
      <c r="E3950" s="52">
        <v>1646</v>
      </c>
      <c r="F3950" s="13"/>
      <c r="G3950" s="13">
        <v>531.85</v>
      </c>
    </row>
    <row r="3951" spans="1:7" hidden="1" x14ac:dyDescent="0.75">
      <c r="A3951" s="51">
        <v>44952</v>
      </c>
      <c r="B3951" s="52">
        <v>55</v>
      </c>
      <c r="C3951" s="8" t="s">
        <v>4383</v>
      </c>
      <c r="D3951" s="8" t="s">
        <v>177</v>
      </c>
      <c r="E3951" s="52">
        <v>686</v>
      </c>
      <c r="F3951" s="13">
        <v>774.6</v>
      </c>
      <c r="G3951" s="13"/>
    </row>
    <row r="3952" spans="1:7" hidden="1" x14ac:dyDescent="0.75">
      <c r="A3952" s="51">
        <v>44952</v>
      </c>
      <c r="B3952" s="52">
        <v>55</v>
      </c>
      <c r="C3952" s="8" t="s">
        <v>4384</v>
      </c>
      <c r="D3952" s="8" t="s">
        <v>177</v>
      </c>
      <c r="E3952" s="52">
        <v>687</v>
      </c>
      <c r="F3952" s="13">
        <v>157</v>
      </c>
      <c r="G3952" s="13"/>
    </row>
    <row r="3953" spans="1:7" hidden="1" x14ac:dyDescent="0.75">
      <c r="A3953" s="51">
        <v>44952</v>
      </c>
      <c r="B3953" s="52">
        <v>55</v>
      </c>
      <c r="C3953" s="8" t="s">
        <v>4385</v>
      </c>
      <c r="D3953" s="8" t="s">
        <v>177</v>
      </c>
      <c r="E3953" s="52">
        <v>688</v>
      </c>
      <c r="F3953" s="13">
        <v>883.75</v>
      </c>
      <c r="G3953" s="13"/>
    </row>
    <row r="3954" spans="1:7" hidden="1" x14ac:dyDescent="0.75">
      <c r="A3954" s="51">
        <v>44952</v>
      </c>
      <c r="B3954" s="52">
        <v>55</v>
      </c>
      <c r="C3954" s="8" t="s">
        <v>4386</v>
      </c>
      <c r="D3954" s="8" t="s">
        <v>177</v>
      </c>
      <c r="E3954" s="52">
        <v>690</v>
      </c>
      <c r="F3954" s="13">
        <v>480</v>
      </c>
      <c r="G3954" s="13"/>
    </row>
    <row r="3955" spans="1:7" hidden="1" x14ac:dyDescent="0.75">
      <c r="A3955" s="51">
        <v>44952</v>
      </c>
      <c r="B3955" s="52">
        <v>55</v>
      </c>
      <c r="C3955" s="8" t="s">
        <v>4387</v>
      </c>
      <c r="D3955" s="8" t="s">
        <v>177</v>
      </c>
      <c r="E3955" s="52">
        <v>696</v>
      </c>
      <c r="F3955" s="13">
        <v>70</v>
      </c>
      <c r="G3955" s="13"/>
    </row>
    <row r="3956" spans="1:7" hidden="1" x14ac:dyDescent="0.75">
      <c r="A3956" s="51">
        <v>44952</v>
      </c>
      <c r="B3956" s="52">
        <v>55</v>
      </c>
      <c r="C3956" s="8" t="s">
        <v>4388</v>
      </c>
      <c r="D3956" s="8" t="s">
        <v>177</v>
      </c>
      <c r="E3956" s="52">
        <v>973</v>
      </c>
      <c r="F3956" s="13">
        <v>30.8</v>
      </c>
      <c r="G3956" s="13"/>
    </row>
    <row r="3957" spans="1:7" hidden="1" x14ac:dyDescent="0.75">
      <c r="A3957" s="51">
        <v>44952</v>
      </c>
      <c r="B3957" s="52">
        <v>55</v>
      </c>
      <c r="C3957" s="8" t="s">
        <v>4389</v>
      </c>
      <c r="D3957" s="8" t="s">
        <v>177</v>
      </c>
      <c r="E3957" s="52">
        <v>694</v>
      </c>
      <c r="F3957" s="13">
        <v>439.4</v>
      </c>
      <c r="G3957" s="13"/>
    </row>
    <row r="3958" spans="1:7" hidden="1" x14ac:dyDescent="0.75">
      <c r="A3958" s="51">
        <v>44952</v>
      </c>
      <c r="B3958" s="52">
        <v>55</v>
      </c>
      <c r="C3958" s="8" t="s">
        <v>4390</v>
      </c>
      <c r="D3958" s="8" t="s">
        <v>177</v>
      </c>
      <c r="E3958" s="52">
        <v>1405</v>
      </c>
      <c r="F3958" s="13">
        <v>2404.5</v>
      </c>
      <c r="G3958" s="13"/>
    </row>
    <row r="3959" spans="1:7" hidden="1" x14ac:dyDescent="0.75">
      <c r="A3959" s="51">
        <v>44952</v>
      </c>
      <c r="B3959" s="52">
        <v>55</v>
      </c>
      <c r="C3959" s="8" t="s">
        <v>4391</v>
      </c>
      <c r="D3959" s="8" t="s">
        <v>177</v>
      </c>
      <c r="E3959" s="52">
        <v>703</v>
      </c>
      <c r="F3959" s="13">
        <v>60</v>
      </c>
      <c r="G3959" s="13"/>
    </row>
    <row r="3960" spans="1:7" hidden="1" x14ac:dyDescent="0.75">
      <c r="A3960" s="51">
        <v>44952</v>
      </c>
      <c r="B3960" s="52">
        <v>55</v>
      </c>
      <c r="C3960" s="8" t="s">
        <v>4392</v>
      </c>
      <c r="D3960" s="8" t="s">
        <v>177</v>
      </c>
      <c r="E3960" s="52">
        <v>1503</v>
      </c>
      <c r="F3960" s="13">
        <v>1700</v>
      </c>
      <c r="G3960" s="13"/>
    </row>
    <row r="3961" spans="1:7" hidden="1" x14ac:dyDescent="0.75">
      <c r="A3961" s="51">
        <v>44952</v>
      </c>
      <c r="B3961" s="52">
        <v>55</v>
      </c>
      <c r="C3961" s="8" t="s">
        <v>4393</v>
      </c>
      <c r="D3961" s="8" t="s">
        <v>177</v>
      </c>
      <c r="E3961" s="52">
        <v>1518</v>
      </c>
      <c r="F3961" s="13">
        <v>45</v>
      </c>
      <c r="G3961" s="13"/>
    </row>
    <row r="3962" spans="1:7" hidden="1" x14ac:dyDescent="0.75">
      <c r="A3962" s="51">
        <v>44952</v>
      </c>
      <c r="B3962" s="52">
        <v>55</v>
      </c>
      <c r="C3962" s="8" t="s">
        <v>4394</v>
      </c>
      <c r="D3962" s="8" t="s">
        <v>177</v>
      </c>
      <c r="E3962" s="52">
        <v>1558</v>
      </c>
      <c r="F3962" s="13">
        <v>279</v>
      </c>
      <c r="G3962" s="13"/>
    </row>
    <row r="3963" spans="1:7" hidden="1" x14ac:dyDescent="0.75">
      <c r="A3963" s="51">
        <v>44952</v>
      </c>
      <c r="B3963" s="52">
        <v>55</v>
      </c>
      <c r="C3963" s="8" t="s">
        <v>4395</v>
      </c>
      <c r="D3963" s="8" t="s">
        <v>177</v>
      </c>
      <c r="E3963" s="52">
        <v>689</v>
      </c>
      <c r="F3963" s="13">
        <v>1763.1</v>
      </c>
      <c r="G3963" s="13"/>
    </row>
    <row r="3964" spans="1:7" hidden="1" x14ac:dyDescent="0.75">
      <c r="A3964" s="51">
        <v>44952</v>
      </c>
      <c r="B3964" s="52">
        <v>55</v>
      </c>
      <c r="C3964" s="8" t="s">
        <v>4396</v>
      </c>
      <c r="D3964" s="8" t="s">
        <v>177</v>
      </c>
      <c r="E3964" s="52">
        <v>1794</v>
      </c>
      <c r="F3964" s="13">
        <v>908</v>
      </c>
      <c r="G3964" s="13"/>
    </row>
    <row r="3965" spans="1:7" hidden="1" x14ac:dyDescent="0.75">
      <c r="A3965" s="51">
        <v>44952</v>
      </c>
      <c r="B3965" s="52">
        <v>55</v>
      </c>
      <c r="C3965" s="8" t="s">
        <v>4397</v>
      </c>
      <c r="D3965" s="8" t="s">
        <v>177</v>
      </c>
      <c r="E3965" s="52">
        <v>748</v>
      </c>
      <c r="F3965" s="13">
        <v>1534</v>
      </c>
      <c r="G3965" s="13"/>
    </row>
    <row r="3966" spans="1:7" hidden="1" x14ac:dyDescent="0.75">
      <c r="A3966" s="51">
        <v>44952</v>
      </c>
      <c r="B3966" s="52">
        <v>55</v>
      </c>
      <c r="C3966" s="8" t="s">
        <v>4398</v>
      </c>
      <c r="D3966" s="8" t="s">
        <v>177</v>
      </c>
      <c r="E3966" s="52">
        <v>1350</v>
      </c>
      <c r="F3966" s="13">
        <v>420</v>
      </c>
      <c r="G3966" s="13"/>
    </row>
    <row r="3967" spans="1:7" hidden="1" x14ac:dyDescent="0.75">
      <c r="A3967" s="51">
        <v>44952</v>
      </c>
      <c r="B3967" s="52">
        <v>55</v>
      </c>
      <c r="C3967" s="8" t="s">
        <v>4399</v>
      </c>
      <c r="D3967" s="8" t="s">
        <v>177</v>
      </c>
      <c r="E3967" s="52">
        <v>754</v>
      </c>
      <c r="F3967" s="13">
        <v>635</v>
      </c>
      <c r="G3967" s="13"/>
    </row>
    <row r="3968" spans="1:7" hidden="1" x14ac:dyDescent="0.75">
      <c r="A3968" s="51">
        <v>44952</v>
      </c>
      <c r="B3968" s="52">
        <v>55</v>
      </c>
      <c r="C3968" s="8" t="s">
        <v>4400</v>
      </c>
      <c r="D3968" s="8" t="s">
        <v>177</v>
      </c>
      <c r="E3968" s="52">
        <v>769</v>
      </c>
      <c r="F3968" s="13">
        <v>3600</v>
      </c>
      <c r="G3968" s="13"/>
    </row>
    <row r="3969" spans="1:7" hidden="1" x14ac:dyDescent="0.75">
      <c r="A3969" s="51">
        <v>44952</v>
      </c>
      <c r="B3969" s="52">
        <v>55</v>
      </c>
      <c r="C3969" s="8" t="s">
        <v>4401</v>
      </c>
      <c r="D3969" s="8" t="s">
        <v>177</v>
      </c>
      <c r="E3969" s="52">
        <v>769</v>
      </c>
      <c r="F3969" s="13">
        <v>1960</v>
      </c>
      <c r="G3969" s="13"/>
    </row>
    <row r="3970" spans="1:7" hidden="1" x14ac:dyDescent="0.75">
      <c r="A3970" s="51">
        <v>44952</v>
      </c>
      <c r="B3970" s="52">
        <v>55</v>
      </c>
      <c r="C3970" s="8" t="s">
        <v>4402</v>
      </c>
      <c r="D3970" s="8" t="s">
        <v>177</v>
      </c>
      <c r="E3970" s="52">
        <v>1365</v>
      </c>
      <c r="F3970" s="13">
        <v>210</v>
      </c>
      <c r="G3970" s="13"/>
    </row>
    <row r="3971" spans="1:7" hidden="1" x14ac:dyDescent="0.75">
      <c r="A3971" s="51">
        <v>44952</v>
      </c>
      <c r="B3971" s="52">
        <v>55</v>
      </c>
      <c r="C3971" s="8" t="s">
        <v>4403</v>
      </c>
      <c r="D3971" s="8" t="s">
        <v>177</v>
      </c>
      <c r="E3971" s="52">
        <v>1684</v>
      </c>
      <c r="F3971" s="13">
        <v>244.5</v>
      </c>
      <c r="G3971" s="13"/>
    </row>
    <row r="3972" spans="1:7" hidden="1" x14ac:dyDescent="0.75">
      <c r="A3972" s="51">
        <v>44952</v>
      </c>
      <c r="B3972" s="52">
        <v>55</v>
      </c>
      <c r="C3972" s="8" t="s">
        <v>4404</v>
      </c>
      <c r="D3972" s="8" t="s">
        <v>177</v>
      </c>
      <c r="E3972" s="52">
        <v>1721</v>
      </c>
      <c r="F3972" s="13">
        <v>470</v>
      </c>
      <c r="G3972" s="13"/>
    </row>
    <row r="3973" spans="1:7" hidden="1" x14ac:dyDescent="0.75">
      <c r="A3973" s="51">
        <v>44952</v>
      </c>
      <c r="B3973" s="52">
        <v>55</v>
      </c>
      <c r="C3973" s="8" t="s">
        <v>4405</v>
      </c>
      <c r="D3973" s="8" t="s">
        <v>177</v>
      </c>
      <c r="E3973" s="52">
        <v>1900</v>
      </c>
      <c r="F3973" s="13">
        <v>280</v>
      </c>
      <c r="G3973" s="13"/>
    </row>
    <row r="3974" spans="1:7" hidden="1" x14ac:dyDescent="0.75">
      <c r="A3974" s="51">
        <v>44952</v>
      </c>
      <c r="B3974" s="52">
        <v>55</v>
      </c>
      <c r="C3974" s="8" t="s">
        <v>4406</v>
      </c>
      <c r="D3974" s="8" t="s">
        <v>177</v>
      </c>
      <c r="E3974" s="52">
        <v>1980</v>
      </c>
      <c r="F3974" s="13">
        <v>960</v>
      </c>
      <c r="G3974" s="13"/>
    </row>
    <row r="3975" spans="1:7" hidden="1" x14ac:dyDescent="0.75">
      <c r="A3975" s="51">
        <v>44952</v>
      </c>
      <c r="B3975" s="52">
        <v>55</v>
      </c>
      <c r="C3975" s="8" t="s">
        <v>4407</v>
      </c>
      <c r="D3975" s="8" t="s">
        <v>177</v>
      </c>
      <c r="E3975" s="52">
        <v>1294</v>
      </c>
      <c r="F3975" s="13">
        <v>144</v>
      </c>
      <c r="G3975" s="13"/>
    </row>
    <row r="3976" spans="1:7" hidden="1" x14ac:dyDescent="0.75">
      <c r="A3976" s="51">
        <v>44952</v>
      </c>
      <c r="B3976" s="52">
        <v>55</v>
      </c>
      <c r="C3976" s="8" t="s">
        <v>4408</v>
      </c>
      <c r="D3976" s="8" t="s">
        <v>177</v>
      </c>
      <c r="E3976" s="52">
        <v>1646</v>
      </c>
      <c r="F3976" s="13"/>
      <c r="G3976" s="13">
        <v>88.5</v>
      </c>
    </row>
    <row r="3977" spans="1:7" hidden="1" x14ac:dyDescent="0.75">
      <c r="A3977" s="51">
        <v>44952</v>
      </c>
      <c r="B3977" s="52">
        <v>55</v>
      </c>
      <c r="C3977" s="8" t="s">
        <v>4409</v>
      </c>
      <c r="D3977" s="8" t="s">
        <v>177</v>
      </c>
      <c r="E3977" s="52">
        <v>1646</v>
      </c>
      <c r="F3977" s="13"/>
      <c r="G3977" s="13">
        <v>135.75</v>
      </c>
    </row>
    <row r="3978" spans="1:7" hidden="1" x14ac:dyDescent="0.75">
      <c r="A3978" s="51">
        <v>44952</v>
      </c>
      <c r="B3978" s="52">
        <v>55</v>
      </c>
      <c r="C3978" s="8" t="s">
        <v>4410</v>
      </c>
      <c r="D3978" s="8" t="s">
        <v>177</v>
      </c>
      <c r="E3978" s="52">
        <v>1646</v>
      </c>
      <c r="F3978" s="13"/>
      <c r="G3978" s="13">
        <v>2.88</v>
      </c>
    </row>
    <row r="3979" spans="1:7" hidden="1" x14ac:dyDescent="0.75">
      <c r="A3979" s="51">
        <v>44952</v>
      </c>
      <c r="B3979" s="52">
        <v>55</v>
      </c>
      <c r="C3979" s="8" t="s">
        <v>4411</v>
      </c>
      <c r="D3979" s="8" t="s">
        <v>177</v>
      </c>
      <c r="E3979" s="52">
        <v>1646</v>
      </c>
      <c r="F3979" s="13"/>
      <c r="G3979" s="13">
        <v>80.5</v>
      </c>
    </row>
    <row r="3980" spans="1:7" hidden="1" x14ac:dyDescent="0.75">
      <c r="A3980" s="51">
        <v>44952</v>
      </c>
      <c r="B3980" s="52">
        <v>55</v>
      </c>
      <c r="C3980" s="8" t="s">
        <v>4412</v>
      </c>
      <c r="D3980" s="8" t="s">
        <v>177</v>
      </c>
      <c r="E3980" s="52">
        <v>1646</v>
      </c>
      <c r="F3980" s="13"/>
      <c r="G3980" s="13">
        <v>263.88</v>
      </c>
    </row>
    <row r="3981" spans="1:7" hidden="1" x14ac:dyDescent="0.75">
      <c r="A3981" s="51">
        <v>44952</v>
      </c>
      <c r="B3981" s="52">
        <v>55</v>
      </c>
      <c r="C3981" s="8" t="s">
        <v>4413</v>
      </c>
      <c r="D3981" s="8" t="s">
        <v>177</v>
      </c>
      <c r="E3981" s="52">
        <v>1646</v>
      </c>
      <c r="F3981" s="13"/>
      <c r="G3981" s="13">
        <v>348</v>
      </c>
    </row>
    <row r="3982" spans="1:7" hidden="1" x14ac:dyDescent="0.75">
      <c r="A3982" s="51">
        <v>44953</v>
      </c>
      <c r="B3982" s="52">
        <v>55</v>
      </c>
      <c r="C3982" s="8" t="s">
        <v>4414</v>
      </c>
      <c r="D3982" s="8" t="s">
        <v>177</v>
      </c>
      <c r="E3982" s="52">
        <v>686</v>
      </c>
      <c r="F3982" s="13">
        <v>81</v>
      </c>
      <c r="G3982" s="13"/>
    </row>
    <row r="3983" spans="1:7" hidden="1" x14ac:dyDescent="0.75">
      <c r="A3983" s="51">
        <v>44953</v>
      </c>
      <c r="B3983" s="52">
        <v>55</v>
      </c>
      <c r="C3983" s="8" t="s">
        <v>4415</v>
      </c>
      <c r="D3983" s="8" t="s">
        <v>177</v>
      </c>
      <c r="E3983" s="52">
        <v>687</v>
      </c>
      <c r="F3983" s="13">
        <v>69.099999999999994</v>
      </c>
      <c r="G3983" s="13"/>
    </row>
    <row r="3984" spans="1:7" hidden="1" x14ac:dyDescent="0.75">
      <c r="A3984" s="51">
        <v>44953</v>
      </c>
      <c r="B3984" s="52">
        <v>55</v>
      </c>
      <c r="C3984" s="8" t="s">
        <v>4416</v>
      </c>
      <c r="D3984" s="8" t="s">
        <v>177</v>
      </c>
      <c r="E3984" s="52">
        <v>688</v>
      </c>
      <c r="F3984" s="13">
        <v>517.25</v>
      </c>
      <c r="G3984" s="13"/>
    </row>
    <row r="3985" spans="1:7" hidden="1" x14ac:dyDescent="0.75">
      <c r="A3985" s="51">
        <v>44953</v>
      </c>
      <c r="B3985" s="52">
        <v>55</v>
      </c>
      <c r="C3985" s="8" t="s">
        <v>4417</v>
      </c>
      <c r="D3985" s="8" t="s">
        <v>177</v>
      </c>
      <c r="E3985" s="52">
        <v>690</v>
      </c>
      <c r="F3985" s="13">
        <v>40</v>
      </c>
      <c r="G3985" s="13"/>
    </row>
    <row r="3986" spans="1:7" hidden="1" x14ac:dyDescent="0.75">
      <c r="A3986" s="51">
        <v>44953</v>
      </c>
      <c r="B3986" s="52">
        <v>55</v>
      </c>
      <c r="C3986" s="8" t="s">
        <v>4418</v>
      </c>
      <c r="D3986" s="8" t="s">
        <v>177</v>
      </c>
      <c r="E3986" s="52">
        <v>696</v>
      </c>
      <c r="F3986" s="13">
        <v>38</v>
      </c>
      <c r="G3986" s="13"/>
    </row>
    <row r="3987" spans="1:7" hidden="1" x14ac:dyDescent="0.75">
      <c r="A3987" s="51">
        <v>44953</v>
      </c>
      <c r="B3987" s="52">
        <v>55</v>
      </c>
      <c r="C3987" s="8" t="s">
        <v>4419</v>
      </c>
      <c r="D3987" s="8" t="s">
        <v>177</v>
      </c>
      <c r="E3987" s="52">
        <v>694</v>
      </c>
      <c r="F3987" s="13">
        <v>166</v>
      </c>
      <c r="G3987" s="13"/>
    </row>
    <row r="3988" spans="1:7" hidden="1" x14ac:dyDescent="0.75">
      <c r="A3988" s="51">
        <v>44953</v>
      </c>
      <c r="B3988" s="52">
        <v>55</v>
      </c>
      <c r="C3988" s="8" t="s">
        <v>4420</v>
      </c>
      <c r="D3988" s="8" t="s">
        <v>177</v>
      </c>
      <c r="E3988" s="52">
        <v>1405</v>
      </c>
      <c r="F3988" s="13">
        <v>4078.3</v>
      </c>
      <c r="G3988" s="13"/>
    </row>
    <row r="3989" spans="1:7" hidden="1" x14ac:dyDescent="0.75">
      <c r="A3989" s="51">
        <v>44953</v>
      </c>
      <c r="B3989" s="52">
        <v>55</v>
      </c>
      <c r="C3989" s="8" t="s">
        <v>4421</v>
      </c>
      <c r="D3989" s="8" t="s">
        <v>177</v>
      </c>
      <c r="E3989" s="52">
        <v>695</v>
      </c>
      <c r="F3989" s="13">
        <v>309</v>
      </c>
      <c r="G3989" s="13"/>
    </row>
    <row r="3990" spans="1:7" hidden="1" x14ac:dyDescent="0.75">
      <c r="A3990" s="51">
        <v>44953</v>
      </c>
      <c r="B3990" s="52">
        <v>55</v>
      </c>
      <c r="C3990" s="8" t="s">
        <v>4422</v>
      </c>
      <c r="D3990" s="8" t="s">
        <v>177</v>
      </c>
      <c r="E3990" s="52">
        <v>1503</v>
      </c>
      <c r="F3990" s="13">
        <v>792.2</v>
      </c>
      <c r="G3990" s="13"/>
    </row>
    <row r="3991" spans="1:7" hidden="1" x14ac:dyDescent="0.75">
      <c r="A3991" s="51">
        <v>44953</v>
      </c>
      <c r="B3991" s="52">
        <v>55</v>
      </c>
      <c r="C3991" s="8" t="s">
        <v>4423</v>
      </c>
      <c r="D3991" s="8" t="s">
        <v>177</v>
      </c>
      <c r="E3991" s="52">
        <v>1518</v>
      </c>
      <c r="F3991" s="13">
        <v>30</v>
      </c>
      <c r="G3991" s="13"/>
    </row>
    <row r="3992" spans="1:7" hidden="1" x14ac:dyDescent="0.75">
      <c r="A3992" s="51">
        <v>44953</v>
      </c>
      <c r="B3992" s="52">
        <v>55</v>
      </c>
      <c r="C3992" s="8" t="s">
        <v>4424</v>
      </c>
      <c r="D3992" s="8" t="s">
        <v>177</v>
      </c>
      <c r="E3992" s="52">
        <v>1558</v>
      </c>
      <c r="F3992" s="13">
        <v>105</v>
      </c>
      <c r="G3992" s="13"/>
    </row>
    <row r="3993" spans="1:7" hidden="1" x14ac:dyDescent="0.75">
      <c r="A3993" s="51">
        <v>44953</v>
      </c>
      <c r="B3993" s="52">
        <v>55</v>
      </c>
      <c r="C3993" s="8" t="s">
        <v>4425</v>
      </c>
      <c r="D3993" s="8" t="s">
        <v>177</v>
      </c>
      <c r="E3993" s="52">
        <v>689</v>
      </c>
      <c r="F3993" s="13">
        <v>994</v>
      </c>
      <c r="G3993" s="13"/>
    </row>
    <row r="3994" spans="1:7" hidden="1" x14ac:dyDescent="0.75">
      <c r="A3994" s="51">
        <v>44953</v>
      </c>
      <c r="B3994" s="52">
        <v>55</v>
      </c>
      <c r="C3994" s="8" t="s">
        <v>4426</v>
      </c>
      <c r="D3994" s="8" t="s">
        <v>177</v>
      </c>
      <c r="E3994" s="52">
        <v>692</v>
      </c>
      <c r="F3994" s="13">
        <v>1615</v>
      </c>
      <c r="G3994" s="13"/>
    </row>
    <row r="3995" spans="1:7" hidden="1" x14ac:dyDescent="0.75">
      <c r="A3995" s="51">
        <v>44953</v>
      </c>
      <c r="B3995" s="52">
        <v>55</v>
      </c>
      <c r="C3995" s="8" t="s">
        <v>4427</v>
      </c>
      <c r="D3995" s="8" t="s">
        <v>177</v>
      </c>
      <c r="E3995" s="52">
        <v>1794</v>
      </c>
      <c r="F3995" s="13">
        <v>1332</v>
      </c>
      <c r="G3995" s="13"/>
    </row>
    <row r="3996" spans="1:7" hidden="1" x14ac:dyDescent="0.75">
      <c r="A3996" s="51">
        <v>44953</v>
      </c>
      <c r="B3996" s="52">
        <v>55</v>
      </c>
      <c r="C3996" s="8" t="s">
        <v>4428</v>
      </c>
      <c r="D3996" s="8" t="s">
        <v>177</v>
      </c>
      <c r="E3996" s="52">
        <v>1406</v>
      </c>
      <c r="F3996" s="13">
        <v>1250.75</v>
      </c>
      <c r="G3996" s="13"/>
    </row>
    <row r="3997" spans="1:7" hidden="1" x14ac:dyDescent="0.75">
      <c r="A3997" s="51">
        <v>44953</v>
      </c>
      <c r="B3997" s="52">
        <v>55</v>
      </c>
      <c r="C3997" s="8" t="s">
        <v>4429</v>
      </c>
      <c r="D3997" s="8" t="s">
        <v>177</v>
      </c>
      <c r="E3997" s="52">
        <v>748</v>
      </c>
      <c r="F3997" s="13">
        <v>1301</v>
      </c>
      <c r="G3997" s="13"/>
    </row>
    <row r="3998" spans="1:7" hidden="1" x14ac:dyDescent="0.75">
      <c r="A3998" s="51">
        <v>44953</v>
      </c>
      <c r="B3998" s="52">
        <v>55</v>
      </c>
      <c r="C3998" s="8" t="s">
        <v>4430</v>
      </c>
      <c r="D3998" s="8" t="s">
        <v>177</v>
      </c>
      <c r="E3998" s="52">
        <v>1399</v>
      </c>
      <c r="F3998" s="13">
        <v>47.6</v>
      </c>
      <c r="G3998" s="13"/>
    </row>
    <row r="3999" spans="1:7" hidden="1" x14ac:dyDescent="0.75">
      <c r="A3999" s="51">
        <v>44953</v>
      </c>
      <c r="B3999" s="52">
        <v>55</v>
      </c>
      <c r="C3999" s="8" t="s">
        <v>4431</v>
      </c>
      <c r="D3999" s="8" t="s">
        <v>177</v>
      </c>
      <c r="E3999" s="52">
        <v>697</v>
      </c>
      <c r="F3999" s="13">
        <v>655</v>
      </c>
      <c r="G3999" s="13"/>
    </row>
    <row r="4000" spans="1:7" hidden="1" x14ac:dyDescent="0.75">
      <c r="A4000" s="51">
        <v>44953</v>
      </c>
      <c r="B4000" s="52">
        <v>55</v>
      </c>
      <c r="C4000" s="8" t="s">
        <v>4432</v>
      </c>
      <c r="D4000" s="8" t="s">
        <v>177</v>
      </c>
      <c r="E4000" s="52">
        <v>1365</v>
      </c>
      <c r="F4000" s="13">
        <v>504</v>
      </c>
      <c r="G4000" s="13"/>
    </row>
    <row r="4001" spans="1:7" hidden="1" x14ac:dyDescent="0.75">
      <c r="A4001" s="51">
        <v>44953</v>
      </c>
      <c r="B4001" s="52">
        <v>55</v>
      </c>
      <c r="C4001" s="8" t="s">
        <v>4433</v>
      </c>
      <c r="D4001" s="8" t="s">
        <v>177</v>
      </c>
      <c r="E4001" s="52">
        <v>1366</v>
      </c>
      <c r="F4001" s="13">
        <v>1160</v>
      </c>
      <c r="G4001" s="13"/>
    </row>
    <row r="4002" spans="1:7" hidden="1" x14ac:dyDescent="0.75">
      <c r="A4002" s="51">
        <v>44953</v>
      </c>
      <c r="B4002" s="52">
        <v>55</v>
      </c>
      <c r="C4002" s="8" t="s">
        <v>4434</v>
      </c>
      <c r="D4002" s="8" t="s">
        <v>177</v>
      </c>
      <c r="E4002" s="52">
        <v>1366</v>
      </c>
      <c r="F4002" s="13">
        <v>375</v>
      </c>
      <c r="G4002" s="13"/>
    </row>
    <row r="4003" spans="1:7" hidden="1" x14ac:dyDescent="0.75">
      <c r="A4003" s="51">
        <v>44953</v>
      </c>
      <c r="B4003" s="52">
        <v>55</v>
      </c>
      <c r="C4003" s="8" t="s">
        <v>4435</v>
      </c>
      <c r="D4003" s="8" t="s">
        <v>177</v>
      </c>
      <c r="E4003" s="52">
        <v>1366</v>
      </c>
      <c r="F4003" s="13">
        <v>1312.5</v>
      </c>
      <c r="G4003" s="13"/>
    </row>
    <row r="4004" spans="1:7" hidden="1" x14ac:dyDescent="0.75">
      <c r="A4004" s="51">
        <v>44953</v>
      </c>
      <c r="B4004" s="52">
        <v>55</v>
      </c>
      <c r="C4004" s="8" t="s">
        <v>4436</v>
      </c>
      <c r="D4004" s="8" t="s">
        <v>177</v>
      </c>
      <c r="E4004" s="52">
        <v>1366</v>
      </c>
      <c r="F4004" s="13">
        <v>635</v>
      </c>
      <c r="G4004" s="13"/>
    </row>
    <row r="4005" spans="1:7" hidden="1" x14ac:dyDescent="0.75">
      <c r="A4005" s="51">
        <v>44953</v>
      </c>
      <c r="B4005" s="52">
        <v>55</v>
      </c>
      <c r="C4005" s="8" t="s">
        <v>4437</v>
      </c>
      <c r="D4005" s="8" t="s">
        <v>177</v>
      </c>
      <c r="E4005" s="52">
        <v>1366</v>
      </c>
      <c r="F4005" s="13">
        <v>450</v>
      </c>
      <c r="G4005" s="13"/>
    </row>
    <row r="4006" spans="1:7" hidden="1" x14ac:dyDescent="0.75">
      <c r="A4006" s="51">
        <v>44953</v>
      </c>
      <c r="B4006" s="52">
        <v>55</v>
      </c>
      <c r="C4006" s="8" t="s">
        <v>4438</v>
      </c>
      <c r="D4006" s="8" t="s">
        <v>177</v>
      </c>
      <c r="E4006" s="52">
        <v>874</v>
      </c>
      <c r="F4006" s="13">
        <v>1088.8</v>
      </c>
      <c r="G4006" s="13"/>
    </row>
    <row r="4007" spans="1:7" hidden="1" x14ac:dyDescent="0.75">
      <c r="A4007" s="51">
        <v>44953</v>
      </c>
      <c r="B4007" s="52">
        <v>55</v>
      </c>
      <c r="C4007" s="8" t="s">
        <v>4439</v>
      </c>
      <c r="D4007" s="8" t="s">
        <v>177</v>
      </c>
      <c r="E4007" s="52">
        <v>874</v>
      </c>
      <c r="F4007" s="13">
        <v>1057.05</v>
      </c>
      <c r="G4007" s="13"/>
    </row>
    <row r="4008" spans="1:7" hidden="1" x14ac:dyDescent="0.75">
      <c r="A4008" s="51">
        <v>44953</v>
      </c>
      <c r="B4008" s="52">
        <v>55</v>
      </c>
      <c r="C4008" s="8" t="s">
        <v>4440</v>
      </c>
      <c r="D4008" s="8" t="s">
        <v>177</v>
      </c>
      <c r="E4008" s="52">
        <v>1684</v>
      </c>
      <c r="F4008" s="13">
        <v>210</v>
      </c>
      <c r="G4008" s="13"/>
    </row>
    <row r="4009" spans="1:7" hidden="1" x14ac:dyDescent="0.75">
      <c r="A4009" s="51">
        <v>44953</v>
      </c>
      <c r="B4009" s="52">
        <v>55</v>
      </c>
      <c r="C4009" s="8" t="s">
        <v>4441</v>
      </c>
      <c r="D4009" s="8" t="s">
        <v>177</v>
      </c>
      <c r="E4009" s="52">
        <v>1979</v>
      </c>
      <c r="F4009" s="13">
        <v>2891</v>
      </c>
      <c r="G4009" s="13"/>
    </row>
    <row r="4010" spans="1:7" hidden="1" x14ac:dyDescent="0.75">
      <c r="A4010" s="51">
        <v>44953</v>
      </c>
      <c r="B4010" s="52">
        <v>55</v>
      </c>
      <c r="C4010" s="8" t="s">
        <v>4442</v>
      </c>
      <c r="D4010" s="8" t="s">
        <v>177</v>
      </c>
      <c r="E4010" s="52">
        <v>1900</v>
      </c>
      <c r="F4010" s="13">
        <v>350</v>
      </c>
      <c r="G4010" s="13"/>
    </row>
    <row r="4011" spans="1:7" hidden="1" x14ac:dyDescent="0.75">
      <c r="A4011" s="51">
        <v>44953</v>
      </c>
      <c r="B4011" s="52">
        <v>55</v>
      </c>
      <c r="C4011" s="8" t="s">
        <v>4443</v>
      </c>
      <c r="D4011" s="8" t="s">
        <v>177</v>
      </c>
      <c r="E4011" s="52">
        <v>1980</v>
      </c>
      <c r="F4011" s="13">
        <v>1640</v>
      </c>
      <c r="G4011" s="13"/>
    </row>
    <row r="4012" spans="1:7" hidden="1" x14ac:dyDescent="0.75">
      <c r="A4012" s="51">
        <v>44953</v>
      </c>
      <c r="B4012" s="52">
        <v>55</v>
      </c>
      <c r="C4012" s="8" t="s">
        <v>4444</v>
      </c>
      <c r="D4012" s="8" t="s">
        <v>177</v>
      </c>
      <c r="E4012" s="52">
        <v>1980</v>
      </c>
      <c r="F4012" s="13">
        <v>500</v>
      </c>
      <c r="G4012" s="13"/>
    </row>
    <row r="4013" spans="1:7" hidden="1" x14ac:dyDescent="0.75">
      <c r="A4013" s="51">
        <v>44953</v>
      </c>
      <c r="B4013" s="52">
        <v>55</v>
      </c>
      <c r="C4013" s="8" t="s">
        <v>4445</v>
      </c>
      <c r="D4013" s="8" t="s">
        <v>177</v>
      </c>
      <c r="E4013" s="52">
        <v>769</v>
      </c>
      <c r="F4013" s="13">
        <v>4774</v>
      </c>
      <c r="G4013" s="13"/>
    </row>
    <row r="4014" spans="1:7" hidden="1" x14ac:dyDescent="0.75">
      <c r="A4014" s="51">
        <v>44953</v>
      </c>
      <c r="B4014" s="52">
        <v>55</v>
      </c>
      <c r="C4014" s="8" t="s">
        <v>4446</v>
      </c>
      <c r="D4014" s="8" t="s">
        <v>177</v>
      </c>
      <c r="E4014" s="52">
        <v>769</v>
      </c>
      <c r="F4014" s="13">
        <v>5418</v>
      </c>
      <c r="G4014" s="13"/>
    </row>
    <row r="4015" spans="1:7" hidden="1" x14ac:dyDescent="0.75">
      <c r="A4015" s="51">
        <v>44953</v>
      </c>
      <c r="B4015" s="52">
        <v>55</v>
      </c>
      <c r="C4015" s="8" t="s">
        <v>4447</v>
      </c>
      <c r="D4015" s="8" t="s">
        <v>177</v>
      </c>
      <c r="E4015" s="52">
        <v>769</v>
      </c>
      <c r="F4015" s="13">
        <v>434</v>
      </c>
      <c r="G4015" s="13"/>
    </row>
    <row r="4016" spans="1:7" hidden="1" x14ac:dyDescent="0.75">
      <c r="A4016" s="51">
        <v>44953</v>
      </c>
      <c r="B4016" s="52">
        <v>55</v>
      </c>
      <c r="C4016" s="8" t="s">
        <v>4448</v>
      </c>
      <c r="D4016" s="8" t="s">
        <v>177</v>
      </c>
      <c r="E4016" s="52">
        <v>769</v>
      </c>
      <c r="F4016" s="13">
        <v>250</v>
      </c>
      <c r="G4016" s="13"/>
    </row>
    <row r="4017" spans="1:7" hidden="1" x14ac:dyDescent="0.75">
      <c r="A4017" s="51">
        <v>44953</v>
      </c>
      <c r="B4017" s="52">
        <v>55</v>
      </c>
      <c r="C4017" s="8" t="s">
        <v>1816</v>
      </c>
      <c r="D4017" s="8" t="s">
        <v>177</v>
      </c>
      <c r="E4017" s="52">
        <v>8</v>
      </c>
      <c r="F4017" s="13">
        <v>16216.04</v>
      </c>
      <c r="G4017" s="13"/>
    </row>
    <row r="4018" spans="1:7" hidden="1" x14ac:dyDescent="0.75">
      <c r="A4018" s="51">
        <v>44953</v>
      </c>
      <c r="B4018" s="52">
        <v>55</v>
      </c>
      <c r="C4018" s="8" t="s">
        <v>4449</v>
      </c>
      <c r="D4018" s="8" t="s">
        <v>177</v>
      </c>
      <c r="E4018" s="52">
        <v>1646</v>
      </c>
      <c r="F4018" s="13"/>
      <c r="G4018" s="13">
        <v>590.20000000000005</v>
      </c>
    </row>
    <row r="4019" spans="1:7" hidden="1" x14ac:dyDescent="0.75">
      <c r="A4019" s="51">
        <v>44954</v>
      </c>
      <c r="B4019" s="52">
        <v>55</v>
      </c>
      <c r="C4019" s="8" t="s">
        <v>4450</v>
      </c>
      <c r="D4019" s="8" t="s">
        <v>177</v>
      </c>
      <c r="E4019" s="52">
        <v>686</v>
      </c>
      <c r="F4019" s="13">
        <v>425.5</v>
      </c>
      <c r="G4019" s="13"/>
    </row>
    <row r="4020" spans="1:7" hidden="1" x14ac:dyDescent="0.75">
      <c r="A4020" s="51">
        <v>44954</v>
      </c>
      <c r="B4020" s="52">
        <v>55</v>
      </c>
      <c r="C4020" s="8" t="s">
        <v>4451</v>
      </c>
      <c r="D4020" s="8" t="s">
        <v>177</v>
      </c>
      <c r="E4020" s="52">
        <v>687</v>
      </c>
      <c r="F4020" s="13">
        <v>142</v>
      </c>
      <c r="G4020" s="13"/>
    </row>
    <row r="4021" spans="1:7" hidden="1" x14ac:dyDescent="0.75">
      <c r="A4021" s="51">
        <v>44954</v>
      </c>
      <c r="B4021" s="52">
        <v>55</v>
      </c>
      <c r="C4021" s="8" t="s">
        <v>4452</v>
      </c>
      <c r="D4021" s="8" t="s">
        <v>177</v>
      </c>
      <c r="E4021" s="52">
        <v>688</v>
      </c>
      <c r="F4021" s="13">
        <v>923.25</v>
      </c>
      <c r="G4021" s="13"/>
    </row>
    <row r="4022" spans="1:7" hidden="1" x14ac:dyDescent="0.75">
      <c r="A4022" s="51">
        <v>44954</v>
      </c>
      <c r="B4022" s="52">
        <v>55</v>
      </c>
      <c r="C4022" s="8" t="s">
        <v>4453</v>
      </c>
      <c r="D4022" s="8" t="s">
        <v>177</v>
      </c>
      <c r="E4022" s="52">
        <v>690</v>
      </c>
      <c r="F4022" s="13">
        <v>400</v>
      </c>
      <c r="G4022" s="13"/>
    </row>
    <row r="4023" spans="1:7" hidden="1" x14ac:dyDescent="0.75">
      <c r="A4023" s="51">
        <v>44954</v>
      </c>
      <c r="B4023" s="52">
        <v>55</v>
      </c>
      <c r="C4023" s="8" t="s">
        <v>4454</v>
      </c>
      <c r="D4023" s="8" t="s">
        <v>177</v>
      </c>
      <c r="E4023" s="52">
        <v>696</v>
      </c>
      <c r="F4023" s="13">
        <v>53</v>
      </c>
      <c r="G4023" s="13"/>
    </row>
    <row r="4024" spans="1:7" hidden="1" x14ac:dyDescent="0.75">
      <c r="A4024" s="51">
        <v>44954</v>
      </c>
      <c r="B4024" s="52">
        <v>55</v>
      </c>
      <c r="C4024" s="8" t="s">
        <v>4455</v>
      </c>
      <c r="D4024" s="8" t="s">
        <v>177</v>
      </c>
      <c r="E4024" s="52">
        <v>973</v>
      </c>
      <c r="F4024" s="13">
        <v>28.6</v>
      </c>
      <c r="G4024" s="13"/>
    </row>
    <row r="4025" spans="1:7" hidden="1" x14ac:dyDescent="0.75">
      <c r="A4025" s="51">
        <v>44954</v>
      </c>
      <c r="B4025" s="52">
        <v>55</v>
      </c>
      <c r="C4025" s="8" t="s">
        <v>4456</v>
      </c>
      <c r="D4025" s="8" t="s">
        <v>177</v>
      </c>
      <c r="E4025" s="52">
        <v>694</v>
      </c>
      <c r="F4025" s="13">
        <v>180</v>
      </c>
      <c r="G4025" s="13"/>
    </row>
    <row r="4026" spans="1:7" hidden="1" x14ac:dyDescent="0.75">
      <c r="A4026" s="51">
        <v>44954</v>
      </c>
      <c r="B4026" s="52">
        <v>55</v>
      </c>
      <c r="C4026" s="8" t="s">
        <v>4457</v>
      </c>
      <c r="D4026" s="8" t="s">
        <v>177</v>
      </c>
      <c r="E4026" s="52">
        <v>1405</v>
      </c>
      <c r="F4026" s="13">
        <v>615.5</v>
      </c>
      <c r="G4026" s="13"/>
    </row>
    <row r="4027" spans="1:7" hidden="1" x14ac:dyDescent="0.75">
      <c r="A4027" s="51">
        <v>44954</v>
      </c>
      <c r="B4027" s="52">
        <v>55</v>
      </c>
      <c r="C4027" s="8" t="s">
        <v>4458</v>
      </c>
      <c r="D4027" s="8" t="s">
        <v>177</v>
      </c>
      <c r="E4027" s="52">
        <v>1518</v>
      </c>
      <c r="F4027" s="13">
        <v>30</v>
      </c>
      <c r="G4027" s="13"/>
    </row>
    <row r="4028" spans="1:7" hidden="1" x14ac:dyDescent="0.75">
      <c r="A4028" s="51">
        <v>44954</v>
      </c>
      <c r="B4028" s="52">
        <v>55</v>
      </c>
      <c r="C4028" s="8" t="s">
        <v>4459</v>
      </c>
      <c r="D4028" s="8" t="s">
        <v>177</v>
      </c>
      <c r="E4028" s="52">
        <v>1558</v>
      </c>
      <c r="F4028" s="13">
        <v>207.5</v>
      </c>
      <c r="G4028" s="13"/>
    </row>
    <row r="4029" spans="1:7" hidden="1" x14ac:dyDescent="0.75">
      <c r="A4029" s="51">
        <v>44954</v>
      </c>
      <c r="B4029" s="52">
        <v>55</v>
      </c>
      <c r="C4029" s="8" t="s">
        <v>4460</v>
      </c>
      <c r="D4029" s="8" t="s">
        <v>177</v>
      </c>
      <c r="E4029" s="52">
        <v>689</v>
      </c>
      <c r="F4029" s="13">
        <v>1394.1</v>
      </c>
      <c r="G4029" s="13"/>
    </row>
    <row r="4030" spans="1:7" hidden="1" x14ac:dyDescent="0.75">
      <c r="A4030" s="51">
        <v>44954</v>
      </c>
      <c r="B4030" s="52">
        <v>55</v>
      </c>
      <c r="C4030" s="8" t="s">
        <v>4461</v>
      </c>
      <c r="D4030" s="8" t="s">
        <v>177</v>
      </c>
      <c r="E4030" s="52">
        <v>686</v>
      </c>
      <c r="F4030" s="13">
        <v>30</v>
      </c>
      <c r="G4030" s="13"/>
    </row>
    <row r="4031" spans="1:7" hidden="1" x14ac:dyDescent="0.75">
      <c r="A4031" s="51">
        <v>44954</v>
      </c>
      <c r="B4031" s="52">
        <v>55</v>
      </c>
      <c r="C4031" s="8" t="s">
        <v>4462</v>
      </c>
      <c r="D4031" s="8" t="s">
        <v>177</v>
      </c>
      <c r="E4031" s="52">
        <v>687</v>
      </c>
      <c r="F4031" s="13">
        <v>76</v>
      </c>
      <c r="G4031" s="13"/>
    </row>
    <row r="4032" spans="1:7" hidden="1" x14ac:dyDescent="0.75">
      <c r="A4032" s="51">
        <v>44954</v>
      </c>
      <c r="B4032" s="52">
        <v>55</v>
      </c>
      <c r="C4032" s="8" t="s">
        <v>4463</v>
      </c>
      <c r="D4032" s="8" t="s">
        <v>177</v>
      </c>
      <c r="E4032" s="52">
        <v>688</v>
      </c>
      <c r="F4032" s="13">
        <v>237.5</v>
      </c>
      <c r="G4032" s="13"/>
    </row>
    <row r="4033" spans="1:7" hidden="1" x14ac:dyDescent="0.75">
      <c r="A4033" s="51">
        <v>44954</v>
      </c>
      <c r="B4033" s="52">
        <v>55</v>
      </c>
      <c r="C4033" s="8" t="s">
        <v>4464</v>
      </c>
      <c r="D4033" s="8" t="s">
        <v>177</v>
      </c>
      <c r="E4033" s="52">
        <v>690</v>
      </c>
      <c r="F4033" s="13">
        <v>280</v>
      </c>
      <c r="G4033" s="13"/>
    </row>
    <row r="4034" spans="1:7" hidden="1" x14ac:dyDescent="0.75">
      <c r="A4034" s="51">
        <v>44954</v>
      </c>
      <c r="B4034" s="52">
        <v>55</v>
      </c>
      <c r="C4034" s="8" t="s">
        <v>4465</v>
      </c>
      <c r="D4034" s="8" t="s">
        <v>177</v>
      </c>
      <c r="E4034" s="52">
        <v>696</v>
      </c>
      <c r="F4034" s="13">
        <v>32</v>
      </c>
      <c r="G4034" s="13"/>
    </row>
    <row r="4035" spans="1:7" hidden="1" x14ac:dyDescent="0.75">
      <c r="A4035" s="51">
        <v>44954</v>
      </c>
      <c r="B4035" s="52">
        <v>55</v>
      </c>
      <c r="C4035" s="8" t="s">
        <v>4466</v>
      </c>
      <c r="D4035" s="8" t="s">
        <v>177</v>
      </c>
      <c r="E4035" s="52">
        <v>748</v>
      </c>
      <c r="F4035" s="13">
        <v>1684</v>
      </c>
      <c r="G4035" s="13"/>
    </row>
    <row r="4036" spans="1:7" hidden="1" x14ac:dyDescent="0.75">
      <c r="A4036" s="51">
        <v>44954</v>
      </c>
      <c r="B4036" s="52">
        <v>55</v>
      </c>
      <c r="C4036" s="8" t="s">
        <v>4467</v>
      </c>
      <c r="D4036" s="8" t="s">
        <v>177</v>
      </c>
      <c r="E4036" s="52">
        <v>771</v>
      </c>
      <c r="F4036" s="13">
        <v>660</v>
      </c>
      <c r="G4036" s="13"/>
    </row>
    <row r="4037" spans="1:7" hidden="1" x14ac:dyDescent="0.75">
      <c r="A4037" s="51">
        <v>44954</v>
      </c>
      <c r="B4037" s="52">
        <v>55</v>
      </c>
      <c r="C4037" s="8" t="s">
        <v>4468</v>
      </c>
      <c r="D4037" s="8" t="s">
        <v>177</v>
      </c>
      <c r="E4037" s="52">
        <v>754</v>
      </c>
      <c r="F4037" s="13">
        <v>210</v>
      </c>
      <c r="G4037" s="13"/>
    </row>
    <row r="4038" spans="1:7" hidden="1" x14ac:dyDescent="0.75">
      <c r="A4038" s="51">
        <v>44954</v>
      </c>
      <c r="B4038" s="52">
        <v>55</v>
      </c>
      <c r="C4038" s="8" t="s">
        <v>4469</v>
      </c>
      <c r="D4038" s="8" t="s">
        <v>177</v>
      </c>
      <c r="E4038" s="52">
        <v>1348</v>
      </c>
      <c r="F4038" s="13">
        <v>330</v>
      </c>
      <c r="G4038" s="13"/>
    </row>
    <row r="4039" spans="1:7" hidden="1" x14ac:dyDescent="0.75">
      <c r="A4039" s="51">
        <v>44954</v>
      </c>
      <c r="B4039" s="52">
        <v>55</v>
      </c>
      <c r="C4039" s="8" t="s">
        <v>4470</v>
      </c>
      <c r="D4039" s="8" t="s">
        <v>177</v>
      </c>
      <c r="E4039" s="52">
        <v>1365</v>
      </c>
      <c r="F4039" s="13">
        <v>210</v>
      </c>
      <c r="G4039" s="13"/>
    </row>
    <row r="4040" spans="1:7" hidden="1" x14ac:dyDescent="0.75">
      <c r="A4040" s="51">
        <v>44954</v>
      </c>
      <c r="B4040" s="52">
        <v>55</v>
      </c>
      <c r="C4040" s="8" t="s">
        <v>4471</v>
      </c>
      <c r="D4040" s="8" t="s">
        <v>177</v>
      </c>
      <c r="E4040" s="52">
        <v>1306</v>
      </c>
      <c r="F4040" s="13">
        <v>1540</v>
      </c>
      <c r="G4040" s="13"/>
    </row>
    <row r="4041" spans="1:7" hidden="1" x14ac:dyDescent="0.75">
      <c r="A4041" s="51">
        <v>44954</v>
      </c>
      <c r="B4041" s="52">
        <v>55</v>
      </c>
      <c r="C4041" s="8" t="s">
        <v>4472</v>
      </c>
      <c r="D4041" s="8" t="s">
        <v>177</v>
      </c>
      <c r="E4041" s="52">
        <v>1306</v>
      </c>
      <c r="F4041" s="13">
        <v>2800</v>
      </c>
      <c r="G4041" s="13"/>
    </row>
    <row r="4042" spans="1:7" hidden="1" x14ac:dyDescent="0.75">
      <c r="A4042" s="51">
        <v>44954</v>
      </c>
      <c r="B4042" s="52">
        <v>55</v>
      </c>
      <c r="C4042" s="8" t="s">
        <v>4473</v>
      </c>
      <c r="D4042" s="8" t="s">
        <v>177</v>
      </c>
      <c r="E4042" s="52">
        <v>1306</v>
      </c>
      <c r="F4042" s="13">
        <v>290</v>
      </c>
      <c r="G4042" s="13"/>
    </row>
    <row r="4043" spans="1:7" hidden="1" x14ac:dyDescent="0.75">
      <c r="A4043" s="51">
        <v>44954</v>
      </c>
      <c r="B4043" s="52">
        <v>55</v>
      </c>
      <c r="C4043" s="8" t="s">
        <v>4474</v>
      </c>
      <c r="D4043" s="8" t="s">
        <v>177</v>
      </c>
      <c r="E4043" s="52">
        <v>1684</v>
      </c>
      <c r="F4043" s="13">
        <v>228.75</v>
      </c>
      <c r="G4043" s="13"/>
    </row>
    <row r="4044" spans="1:7" hidden="1" x14ac:dyDescent="0.75">
      <c r="A4044" s="51">
        <v>44954</v>
      </c>
      <c r="B4044" s="52">
        <v>55</v>
      </c>
      <c r="C4044" s="8" t="s">
        <v>4475</v>
      </c>
      <c r="D4044" s="8" t="s">
        <v>177</v>
      </c>
      <c r="E4044" s="52">
        <v>1721</v>
      </c>
      <c r="F4044" s="13">
        <v>550</v>
      </c>
      <c r="G4044" s="13"/>
    </row>
    <row r="4045" spans="1:7" hidden="1" x14ac:dyDescent="0.75">
      <c r="A4045" s="51">
        <v>44954</v>
      </c>
      <c r="B4045" s="52">
        <v>55</v>
      </c>
      <c r="C4045" s="8" t="s">
        <v>4476</v>
      </c>
      <c r="D4045" s="8" t="s">
        <v>177</v>
      </c>
      <c r="E4045" s="52">
        <v>769</v>
      </c>
      <c r="F4045" s="13">
        <v>1288</v>
      </c>
      <c r="G4045" s="13"/>
    </row>
    <row r="4046" spans="1:7" hidden="1" x14ac:dyDescent="0.75">
      <c r="A4046" s="51">
        <v>44954</v>
      </c>
      <c r="B4046" s="52">
        <v>55</v>
      </c>
      <c r="C4046" s="8" t="s">
        <v>4477</v>
      </c>
      <c r="D4046" s="8" t="s">
        <v>177</v>
      </c>
      <c r="E4046" s="52">
        <v>1721</v>
      </c>
      <c r="F4046" s="13"/>
      <c r="G4046" s="13">
        <v>41.4</v>
      </c>
    </row>
    <row r="4047" spans="1:7" hidden="1" x14ac:dyDescent="0.75">
      <c r="A4047" s="51">
        <v>44954</v>
      </c>
      <c r="B4047" s="52">
        <v>55</v>
      </c>
      <c r="C4047" s="8" t="s">
        <v>4478</v>
      </c>
      <c r="D4047" s="8" t="s">
        <v>177</v>
      </c>
      <c r="E4047" s="52">
        <v>1646</v>
      </c>
      <c r="F4047" s="13"/>
      <c r="G4047" s="13">
        <v>431.65</v>
      </c>
    </row>
    <row r="4048" spans="1:7" hidden="1" x14ac:dyDescent="0.75">
      <c r="A4048" s="51">
        <v>44954</v>
      </c>
      <c r="B4048" s="52">
        <v>55</v>
      </c>
      <c r="C4048" s="8" t="s">
        <v>4479</v>
      </c>
      <c r="D4048" s="8" t="s">
        <v>177</v>
      </c>
      <c r="E4048" s="52">
        <v>1646</v>
      </c>
      <c r="F4048" s="13"/>
      <c r="G4048" s="13">
        <v>656.85</v>
      </c>
    </row>
    <row r="4049" spans="1:7" hidden="1" x14ac:dyDescent="0.75">
      <c r="A4049" s="51">
        <v>44954</v>
      </c>
      <c r="B4049" s="52">
        <v>55</v>
      </c>
      <c r="C4049" s="8" t="s">
        <v>4480</v>
      </c>
      <c r="D4049" s="8" t="s">
        <v>177</v>
      </c>
      <c r="E4049" s="52">
        <v>1646</v>
      </c>
      <c r="F4049" s="13"/>
      <c r="G4049" s="13">
        <v>706.6</v>
      </c>
    </row>
    <row r="4050" spans="1:7" hidden="1" x14ac:dyDescent="0.75">
      <c r="A4050" s="51">
        <v>44956</v>
      </c>
      <c r="B4050" s="52">
        <v>55</v>
      </c>
      <c r="C4050" s="8" t="s">
        <v>4481</v>
      </c>
      <c r="D4050" s="8" t="s">
        <v>177</v>
      </c>
      <c r="E4050" s="52">
        <v>689</v>
      </c>
      <c r="F4050" s="13">
        <v>880</v>
      </c>
      <c r="G4050" s="13"/>
    </row>
    <row r="4051" spans="1:7" hidden="1" x14ac:dyDescent="0.75">
      <c r="A4051" s="51">
        <v>44956</v>
      </c>
      <c r="B4051" s="52">
        <v>55</v>
      </c>
      <c r="C4051" s="8" t="s">
        <v>4482</v>
      </c>
      <c r="D4051" s="8" t="s">
        <v>177</v>
      </c>
      <c r="E4051" s="52">
        <v>1405</v>
      </c>
      <c r="F4051" s="13">
        <v>587</v>
      </c>
      <c r="G4051" s="13"/>
    </row>
    <row r="4052" spans="1:7" hidden="1" x14ac:dyDescent="0.75">
      <c r="A4052" s="51">
        <v>44956</v>
      </c>
      <c r="B4052" s="52">
        <v>55</v>
      </c>
      <c r="C4052" s="8" t="s">
        <v>4483</v>
      </c>
      <c r="D4052" s="8" t="s">
        <v>177</v>
      </c>
      <c r="E4052" s="52">
        <v>973</v>
      </c>
      <c r="F4052" s="13">
        <v>13.2</v>
      </c>
      <c r="G4052" s="13"/>
    </row>
    <row r="4053" spans="1:7" hidden="1" x14ac:dyDescent="0.75">
      <c r="A4053" s="51">
        <v>44956</v>
      </c>
      <c r="B4053" s="52">
        <v>55</v>
      </c>
      <c r="C4053" s="8" t="s">
        <v>4484</v>
      </c>
      <c r="D4053" s="8" t="s">
        <v>177</v>
      </c>
      <c r="E4053" s="52">
        <v>1503</v>
      </c>
      <c r="F4053" s="13">
        <v>1842.8</v>
      </c>
      <c r="G4053" s="13"/>
    </row>
    <row r="4054" spans="1:7" hidden="1" x14ac:dyDescent="0.75">
      <c r="A4054" s="51">
        <v>44956</v>
      </c>
      <c r="B4054" s="52">
        <v>55</v>
      </c>
      <c r="C4054" s="8" t="s">
        <v>4485</v>
      </c>
      <c r="D4054" s="8" t="s">
        <v>177</v>
      </c>
      <c r="E4054" s="52">
        <v>1518</v>
      </c>
      <c r="F4054" s="13">
        <v>14.4</v>
      </c>
      <c r="G4054" s="13"/>
    </row>
    <row r="4055" spans="1:7" hidden="1" x14ac:dyDescent="0.75">
      <c r="A4055" s="51">
        <v>44956</v>
      </c>
      <c r="B4055" s="52">
        <v>55</v>
      </c>
      <c r="C4055" s="8" t="s">
        <v>4486</v>
      </c>
      <c r="D4055" s="8" t="s">
        <v>177</v>
      </c>
      <c r="E4055" s="52">
        <v>1558</v>
      </c>
      <c r="F4055" s="13">
        <v>236.75</v>
      </c>
      <c r="G4055" s="13"/>
    </row>
    <row r="4056" spans="1:7" hidden="1" x14ac:dyDescent="0.75">
      <c r="A4056" s="51">
        <v>44956</v>
      </c>
      <c r="B4056" s="52">
        <v>55</v>
      </c>
      <c r="C4056" s="8" t="s">
        <v>4487</v>
      </c>
      <c r="D4056" s="8" t="s">
        <v>177</v>
      </c>
      <c r="E4056" s="52">
        <v>1405</v>
      </c>
      <c r="F4056" s="13">
        <v>2554</v>
      </c>
      <c r="G4056" s="13"/>
    </row>
    <row r="4057" spans="1:7" hidden="1" x14ac:dyDescent="0.75">
      <c r="A4057" s="51">
        <v>44956</v>
      </c>
      <c r="B4057" s="52">
        <v>55</v>
      </c>
      <c r="C4057" s="8" t="s">
        <v>4488</v>
      </c>
      <c r="D4057" s="8" t="s">
        <v>177</v>
      </c>
      <c r="E4057" s="52">
        <v>689</v>
      </c>
      <c r="F4057" s="13">
        <v>860</v>
      </c>
      <c r="G4057" s="13"/>
    </row>
    <row r="4058" spans="1:7" hidden="1" x14ac:dyDescent="0.75">
      <c r="A4058" s="51">
        <v>44956</v>
      </c>
      <c r="B4058" s="52">
        <v>55</v>
      </c>
      <c r="C4058" s="8" t="s">
        <v>4489</v>
      </c>
      <c r="D4058" s="8" t="s">
        <v>177</v>
      </c>
      <c r="E4058" s="52">
        <v>694</v>
      </c>
      <c r="F4058" s="13">
        <v>180</v>
      </c>
      <c r="G4058" s="13"/>
    </row>
    <row r="4059" spans="1:7" hidden="1" x14ac:dyDescent="0.75">
      <c r="A4059" s="51">
        <v>44956</v>
      </c>
      <c r="B4059" s="52">
        <v>55</v>
      </c>
      <c r="C4059" s="8" t="s">
        <v>4490</v>
      </c>
      <c r="D4059" s="8" t="s">
        <v>177</v>
      </c>
      <c r="E4059" s="52">
        <v>695</v>
      </c>
      <c r="F4059" s="13">
        <v>300</v>
      </c>
      <c r="G4059" s="13"/>
    </row>
    <row r="4060" spans="1:7" hidden="1" x14ac:dyDescent="0.75">
      <c r="A4060" s="51">
        <v>44956</v>
      </c>
      <c r="B4060" s="52">
        <v>55</v>
      </c>
      <c r="C4060" s="8" t="s">
        <v>4491</v>
      </c>
      <c r="D4060" s="8" t="s">
        <v>177</v>
      </c>
      <c r="E4060" s="52">
        <v>1406</v>
      </c>
      <c r="F4060" s="13">
        <v>1050.5</v>
      </c>
      <c r="G4060" s="13"/>
    </row>
    <row r="4061" spans="1:7" hidden="1" x14ac:dyDescent="0.75">
      <c r="A4061" s="51">
        <v>44956</v>
      </c>
      <c r="B4061" s="52">
        <v>55</v>
      </c>
      <c r="C4061" s="8" t="s">
        <v>4492</v>
      </c>
      <c r="D4061" s="8" t="s">
        <v>177</v>
      </c>
      <c r="E4061" s="52">
        <v>1794</v>
      </c>
      <c r="F4061" s="13">
        <v>1113</v>
      </c>
      <c r="G4061" s="13"/>
    </row>
    <row r="4062" spans="1:7" hidden="1" x14ac:dyDescent="0.75">
      <c r="A4062" s="51">
        <v>44956</v>
      </c>
      <c r="B4062" s="52">
        <v>55</v>
      </c>
      <c r="C4062" s="8" t="s">
        <v>4493</v>
      </c>
      <c r="D4062" s="8" t="s">
        <v>177</v>
      </c>
      <c r="E4062" s="52">
        <v>748</v>
      </c>
      <c r="F4062" s="13">
        <v>1172</v>
      </c>
      <c r="G4062" s="13"/>
    </row>
    <row r="4063" spans="1:7" hidden="1" x14ac:dyDescent="0.75">
      <c r="A4063" s="51">
        <v>44956</v>
      </c>
      <c r="B4063" s="52">
        <v>55</v>
      </c>
      <c r="C4063" s="8" t="s">
        <v>4494</v>
      </c>
      <c r="D4063" s="8" t="s">
        <v>177</v>
      </c>
      <c r="E4063" s="52">
        <v>753</v>
      </c>
      <c r="F4063" s="13">
        <v>5288.5</v>
      </c>
      <c r="G4063" s="13"/>
    </row>
    <row r="4064" spans="1:7" hidden="1" x14ac:dyDescent="0.75">
      <c r="A4064" s="51">
        <v>44956</v>
      </c>
      <c r="B4064" s="52">
        <v>55</v>
      </c>
      <c r="C4064" s="8" t="s">
        <v>4495</v>
      </c>
      <c r="D4064" s="8" t="s">
        <v>177</v>
      </c>
      <c r="E4064" s="52">
        <v>754</v>
      </c>
      <c r="F4064" s="13">
        <v>90</v>
      </c>
      <c r="G4064" s="13"/>
    </row>
    <row r="4065" spans="1:7" hidden="1" x14ac:dyDescent="0.75">
      <c r="A4065" s="51">
        <v>44956</v>
      </c>
      <c r="B4065" s="52">
        <v>55</v>
      </c>
      <c r="C4065" s="8" t="s">
        <v>4496</v>
      </c>
      <c r="D4065" s="8" t="s">
        <v>177</v>
      </c>
      <c r="E4065" s="52">
        <v>697</v>
      </c>
      <c r="F4065" s="13">
        <v>1170</v>
      </c>
      <c r="G4065" s="13"/>
    </row>
    <row r="4066" spans="1:7" hidden="1" x14ac:dyDescent="0.75">
      <c r="A4066" s="51">
        <v>44956</v>
      </c>
      <c r="B4066" s="52">
        <v>55</v>
      </c>
      <c r="C4066" s="8" t="s">
        <v>4497</v>
      </c>
      <c r="D4066" s="8" t="s">
        <v>177</v>
      </c>
      <c r="E4066" s="52">
        <v>697</v>
      </c>
      <c r="F4066" s="13">
        <v>1170</v>
      </c>
      <c r="G4066" s="13"/>
    </row>
    <row r="4067" spans="1:7" hidden="1" x14ac:dyDescent="0.75">
      <c r="A4067" s="51">
        <v>44956</v>
      </c>
      <c r="B4067" s="52">
        <v>55</v>
      </c>
      <c r="C4067" s="8" t="s">
        <v>4498</v>
      </c>
      <c r="D4067" s="8" t="s">
        <v>177</v>
      </c>
      <c r="E4067" s="52">
        <v>1366</v>
      </c>
      <c r="F4067" s="13">
        <v>300</v>
      </c>
      <c r="G4067" s="13"/>
    </row>
    <row r="4068" spans="1:7" hidden="1" x14ac:dyDescent="0.75">
      <c r="A4068" s="51">
        <v>44956</v>
      </c>
      <c r="B4068" s="52">
        <v>55</v>
      </c>
      <c r="C4068" s="8" t="s">
        <v>4499</v>
      </c>
      <c r="D4068" s="8" t="s">
        <v>177</v>
      </c>
      <c r="E4068" s="52">
        <v>874</v>
      </c>
      <c r="F4068" s="13">
        <v>1013.75</v>
      </c>
      <c r="G4068" s="13"/>
    </row>
    <row r="4069" spans="1:7" hidden="1" x14ac:dyDescent="0.75">
      <c r="A4069" s="51">
        <v>44956</v>
      </c>
      <c r="B4069" s="52">
        <v>55</v>
      </c>
      <c r="C4069" s="8" t="s">
        <v>4500</v>
      </c>
      <c r="D4069" s="8" t="s">
        <v>177</v>
      </c>
      <c r="E4069" s="52">
        <v>874</v>
      </c>
      <c r="F4069" s="13">
        <v>936.95</v>
      </c>
      <c r="G4069" s="13"/>
    </row>
    <row r="4070" spans="1:7" hidden="1" x14ac:dyDescent="0.75">
      <c r="A4070" s="51">
        <v>44956</v>
      </c>
      <c r="B4070" s="52">
        <v>55</v>
      </c>
      <c r="C4070" s="8" t="s">
        <v>4501</v>
      </c>
      <c r="D4070" s="8" t="s">
        <v>177</v>
      </c>
      <c r="E4070" s="52">
        <v>1684</v>
      </c>
      <c r="F4070" s="13">
        <v>361.7</v>
      </c>
      <c r="G4070" s="13"/>
    </row>
    <row r="4071" spans="1:7" hidden="1" x14ac:dyDescent="0.75">
      <c r="A4071" s="51">
        <v>44956</v>
      </c>
      <c r="B4071" s="52">
        <v>55</v>
      </c>
      <c r="C4071" s="8" t="s">
        <v>4502</v>
      </c>
      <c r="D4071" s="8" t="s">
        <v>177</v>
      </c>
      <c r="E4071" s="52">
        <v>1721</v>
      </c>
      <c r="F4071" s="13">
        <v>1675</v>
      </c>
      <c r="G4071" s="13"/>
    </row>
    <row r="4072" spans="1:7" hidden="1" x14ac:dyDescent="0.75">
      <c r="A4072" s="51">
        <v>44956</v>
      </c>
      <c r="B4072" s="52">
        <v>55</v>
      </c>
      <c r="C4072" s="8" t="s">
        <v>4503</v>
      </c>
      <c r="D4072" s="8" t="s">
        <v>177</v>
      </c>
      <c r="E4072" s="52">
        <v>1980</v>
      </c>
      <c r="F4072" s="13">
        <v>1880</v>
      </c>
      <c r="G4072" s="13"/>
    </row>
    <row r="4073" spans="1:7" hidden="1" x14ac:dyDescent="0.75">
      <c r="A4073" s="51">
        <v>44956</v>
      </c>
      <c r="B4073" s="52">
        <v>55</v>
      </c>
      <c r="C4073" s="8" t="s">
        <v>4504</v>
      </c>
      <c r="D4073" s="8" t="s">
        <v>177</v>
      </c>
      <c r="E4073" s="52">
        <v>697</v>
      </c>
      <c r="F4073" s="13"/>
      <c r="G4073" s="13">
        <v>1170</v>
      </c>
    </row>
    <row r="4074" spans="1:7" hidden="1" x14ac:dyDescent="0.75">
      <c r="A4074" s="51">
        <v>44956</v>
      </c>
      <c r="B4074" s="52">
        <v>55</v>
      </c>
      <c r="C4074" s="8" t="s">
        <v>4505</v>
      </c>
      <c r="D4074" s="8" t="s">
        <v>177</v>
      </c>
      <c r="E4074" s="52">
        <v>1646</v>
      </c>
      <c r="F4074" s="13"/>
      <c r="G4074" s="13">
        <v>475.58</v>
      </c>
    </row>
    <row r="4075" spans="1:7" hidden="1" x14ac:dyDescent="0.75">
      <c r="A4075" s="51">
        <v>44956</v>
      </c>
      <c r="B4075" s="52">
        <v>55</v>
      </c>
      <c r="C4075" s="8" t="s">
        <v>4506</v>
      </c>
      <c r="D4075" s="8" t="s">
        <v>177</v>
      </c>
      <c r="E4075" s="52">
        <v>518</v>
      </c>
      <c r="F4075" s="13"/>
      <c r="G4075" s="13">
        <v>29.6</v>
      </c>
    </row>
    <row r="4076" spans="1:7" hidden="1" x14ac:dyDescent="0.75">
      <c r="A4076" s="51">
        <v>44957</v>
      </c>
      <c r="B4076" s="52">
        <v>55</v>
      </c>
      <c r="C4076" s="8" t="s">
        <v>4507</v>
      </c>
      <c r="D4076" s="8" t="s">
        <v>177</v>
      </c>
      <c r="E4076" s="52">
        <v>686</v>
      </c>
      <c r="F4076" s="13">
        <v>787.8</v>
      </c>
      <c r="G4076" s="13"/>
    </row>
    <row r="4077" spans="1:7" hidden="1" x14ac:dyDescent="0.75">
      <c r="A4077" s="51">
        <v>44957</v>
      </c>
      <c r="B4077" s="52">
        <v>55</v>
      </c>
      <c r="C4077" s="8" t="s">
        <v>4508</v>
      </c>
      <c r="D4077" s="8" t="s">
        <v>177</v>
      </c>
      <c r="E4077" s="52">
        <v>687</v>
      </c>
      <c r="F4077" s="13">
        <v>225.5</v>
      </c>
      <c r="G4077" s="13"/>
    </row>
    <row r="4078" spans="1:7" hidden="1" x14ac:dyDescent="0.75">
      <c r="A4078" s="51">
        <v>44957</v>
      </c>
      <c r="B4078" s="52">
        <v>55</v>
      </c>
      <c r="C4078" s="8" t="s">
        <v>4509</v>
      </c>
      <c r="D4078" s="8" t="s">
        <v>177</v>
      </c>
      <c r="E4078" s="52">
        <v>688</v>
      </c>
      <c r="F4078" s="13">
        <v>523</v>
      </c>
      <c r="G4078" s="13"/>
    </row>
    <row r="4079" spans="1:7" hidden="1" x14ac:dyDescent="0.75">
      <c r="A4079" s="51">
        <v>44957</v>
      </c>
      <c r="B4079" s="52">
        <v>55</v>
      </c>
      <c r="C4079" s="8" t="s">
        <v>4510</v>
      </c>
      <c r="D4079" s="8" t="s">
        <v>177</v>
      </c>
      <c r="E4079" s="52">
        <v>690</v>
      </c>
      <c r="F4079" s="13">
        <v>560</v>
      </c>
      <c r="G4079" s="13"/>
    </row>
    <row r="4080" spans="1:7" hidden="1" x14ac:dyDescent="0.75">
      <c r="A4080" s="51">
        <v>44957</v>
      </c>
      <c r="B4080" s="52">
        <v>55</v>
      </c>
      <c r="C4080" s="8" t="s">
        <v>4511</v>
      </c>
      <c r="D4080" s="8" t="s">
        <v>177</v>
      </c>
      <c r="E4080" s="52">
        <v>696</v>
      </c>
      <c r="F4080" s="13">
        <v>100</v>
      </c>
      <c r="G4080" s="13"/>
    </row>
    <row r="4081" spans="1:7" hidden="1" x14ac:dyDescent="0.75">
      <c r="A4081" s="51">
        <v>44957</v>
      </c>
      <c r="B4081" s="52">
        <v>55</v>
      </c>
      <c r="C4081" s="8" t="s">
        <v>4512</v>
      </c>
      <c r="D4081" s="8" t="s">
        <v>177</v>
      </c>
      <c r="E4081" s="52">
        <v>692</v>
      </c>
      <c r="F4081" s="13">
        <v>695</v>
      </c>
      <c r="G4081" s="13"/>
    </row>
    <row r="4082" spans="1:7" hidden="1" x14ac:dyDescent="0.75">
      <c r="A4082" s="51">
        <v>44957</v>
      </c>
      <c r="B4082" s="52">
        <v>55</v>
      </c>
      <c r="C4082" s="8" t="s">
        <v>4513</v>
      </c>
      <c r="D4082" s="8" t="s">
        <v>177</v>
      </c>
      <c r="E4082" s="52">
        <v>973</v>
      </c>
      <c r="F4082" s="13">
        <v>15.4</v>
      </c>
      <c r="G4082" s="13"/>
    </row>
    <row r="4083" spans="1:7" hidden="1" x14ac:dyDescent="0.75">
      <c r="A4083" s="51">
        <v>44957</v>
      </c>
      <c r="B4083" s="52">
        <v>55</v>
      </c>
      <c r="C4083" s="8" t="s">
        <v>4514</v>
      </c>
      <c r="D4083" s="8" t="s">
        <v>177</v>
      </c>
      <c r="E4083" s="52">
        <v>1518</v>
      </c>
      <c r="F4083" s="13">
        <v>40</v>
      </c>
      <c r="G4083" s="13"/>
    </row>
    <row r="4084" spans="1:7" hidden="1" x14ac:dyDescent="0.75">
      <c r="A4084" s="51">
        <v>44957</v>
      </c>
      <c r="B4084" s="52">
        <v>55</v>
      </c>
      <c r="C4084" s="8" t="s">
        <v>4515</v>
      </c>
      <c r="D4084" s="8" t="s">
        <v>177</v>
      </c>
      <c r="E4084" s="52">
        <v>1405</v>
      </c>
      <c r="F4084" s="13">
        <v>2934.5</v>
      </c>
      <c r="G4084" s="13"/>
    </row>
    <row r="4085" spans="1:7" hidden="1" x14ac:dyDescent="0.75">
      <c r="A4085" s="51">
        <v>44957</v>
      </c>
      <c r="B4085" s="52">
        <v>55</v>
      </c>
      <c r="C4085" s="8" t="s">
        <v>4516</v>
      </c>
      <c r="D4085" s="8" t="s">
        <v>177</v>
      </c>
      <c r="E4085" s="52">
        <v>689</v>
      </c>
      <c r="F4085" s="13">
        <v>1663.8</v>
      </c>
      <c r="G4085" s="13"/>
    </row>
    <row r="4086" spans="1:7" hidden="1" x14ac:dyDescent="0.75">
      <c r="A4086" s="51">
        <v>44957</v>
      </c>
      <c r="B4086" s="52">
        <v>55</v>
      </c>
      <c r="C4086" s="8" t="s">
        <v>4517</v>
      </c>
      <c r="D4086" s="8" t="s">
        <v>177</v>
      </c>
      <c r="E4086" s="52">
        <v>687</v>
      </c>
      <c r="F4086" s="13">
        <v>68</v>
      </c>
      <c r="G4086" s="13"/>
    </row>
    <row r="4087" spans="1:7" hidden="1" x14ac:dyDescent="0.75">
      <c r="A4087" s="51">
        <v>44957</v>
      </c>
      <c r="B4087" s="52">
        <v>55</v>
      </c>
      <c r="C4087" s="8" t="s">
        <v>4518</v>
      </c>
      <c r="D4087" s="8" t="s">
        <v>177</v>
      </c>
      <c r="E4087" s="52">
        <v>696</v>
      </c>
      <c r="F4087" s="13">
        <v>40</v>
      </c>
      <c r="G4087" s="13"/>
    </row>
    <row r="4088" spans="1:7" hidden="1" x14ac:dyDescent="0.75">
      <c r="A4088" s="51">
        <v>44957</v>
      </c>
      <c r="B4088" s="52">
        <v>55</v>
      </c>
      <c r="C4088" s="8" t="s">
        <v>4519</v>
      </c>
      <c r="D4088" s="8" t="s">
        <v>177</v>
      </c>
      <c r="E4088" s="52">
        <v>1794</v>
      </c>
      <c r="F4088" s="13">
        <v>580</v>
      </c>
      <c r="G4088" s="13"/>
    </row>
    <row r="4089" spans="1:7" hidden="1" x14ac:dyDescent="0.75">
      <c r="A4089" s="51">
        <v>44957</v>
      </c>
      <c r="B4089" s="52">
        <v>55</v>
      </c>
      <c r="C4089" s="8" t="s">
        <v>4520</v>
      </c>
      <c r="D4089" s="8" t="s">
        <v>177</v>
      </c>
      <c r="E4089" s="52">
        <v>694</v>
      </c>
      <c r="F4089" s="13">
        <v>360.6</v>
      </c>
      <c r="G4089" s="13"/>
    </row>
    <row r="4090" spans="1:7" hidden="1" x14ac:dyDescent="0.75">
      <c r="A4090" s="51">
        <v>44957</v>
      </c>
      <c r="B4090" s="52">
        <v>55</v>
      </c>
      <c r="C4090" s="8" t="s">
        <v>4521</v>
      </c>
      <c r="D4090" s="8" t="s">
        <v>177</v>
      </c>
      <c r="E4090" s="52">
        <v>686</v>
      </c>
      <c r="F4090" s="13">
        <v>42</v>
      </c>
      <c r="G4090" s="13"/>
    </row>
    <row r="4091" spans="1:7" hidden="1" x14ac:dyDescent="0.75">
      <c r="A4091" s="51">
        <v>44957</v>
      </c>
      <c r="B4091" s="52">
        <v>55</v>
      </c>
      <c r="C4091" s="8" t="s">
        <v>4522</v>
      </c>
      <c r="D4091" s="8" t="s">
        <v>177</v>
      </c>
      <c r="E4091" s="52">
        <v>690</v>
      </c>
      <c r="F4091" s="13">
        <v>200</v>
      </c>
      <c r="G4091" s="13"/>
    </row>
    <row r="4092" spans="1:7" hidden="1" x14ac:dyDescent="0.75">
      <c r="A4092" s="51">
        <v>44957</v>
      </c>
      <c r="B4092" s="52">
        <v>55</v>
      </c>
      <c r="C4092" s="8" t="s">
        <v>4523</v>
      </c>
      <c r="D4092" s="8" t="s">
        <v>177</v>
      </c>
      <c r="E4092" s="52">
        <v>688</v>
      </c>
      <c r="F4092" s="13">
        <v>268</v>
      </c>
      <c r="G4092" s="13"/>
    </row>
    <row r="4093" spans="1:7" hidden="1" x14ac:dyDescent="0.75">
      <c r="A4093" s="51">
        <v>44957</v>
      </c>
      <c r="B4093" s="52">
        <v>55</v>
      </c>
      <c r="C4093" s="8" t="s">
        <v>4524</v>
      </c>
      <c r="D4093" s="8" t="s">
        <v>177</v>
      </c>
      <c r="E4093" s="52">
        <v>1898</v>
      </c>
      <c r="F4093" s="13">
        <v>4566.6000000000004</v>
      </c>
      <c r="G4093" s="13"/>
    </row>
    <row r="4094" spans="1:7" hidden="1" x14ac:dyDescent="0.75">
      <c r="A4094" s="51">
        <v>44957</v>
      </c>
      <c r="B4094" s="52">
        <v>55</v>
      </c>
      <c r="C4094" s="8" t="s">
        <v>4525</v>
      </c>
      <c r="D4094" s="8" t="s">
        <v>177</v>
      </c>
      <c r="E4094" s="52">
        <v>748</v>
      </c>
      <c r="F4094" s="13">
        <v>620</v>
      </c>
      <c r="G4094" s="13"/>
    </row>
    <row r="4095" spans="1:7" hidden="1" x14ac:dyDescent="0.75">
      <c r="A4095" s="51">
        <v>44957</v>
      </c>
      <c r="B4095" s="52">
        <v>55</v>
      </c>
      <c r="C4095" s="8" t="s">
        <v>4526</v>
      </c>
      <c r="D4095" s="8" t="s">
        <v>177</v>
      </c>
      <c r="E4095" s="52">
        <v>1350</v>
      </c>
      <c r="F4095" s="13">
        <v>110</v>
      </c>
      <c r="G4095" s="13"/>
    </row>
    <row r="4096" spans="1:7" hidden="1" x14ac:dyDescent="0.75">
      <c r="A4096" s="51">
        <v>44957</v>
      </c>
      <c r="B4096" s="52">
        <v>55</v>
      </c>
      <c r="C4096" s="8" t="s">
        <v>4527</v>
      </c>
      <c r="D4096" s="8" t="s">
        <v>177</v>
      </c>
      <c r="E4096" s="52">
        <v>1350</v>
      </c>
      <c r="F4096" s="13">
        <v>370</v>
      </c>
      <c r="G4096" s="13"/>
    </row>
    <row r="4097" spans="1:7" hidden="1" x14ac:dyDescent="0.75">
      <c r="A4097" s="51">
        <v>44957</v>
      </c>
      <c r="B4097" s="52">
        <v>55</v>
      </c>
      <c r="C4097" s="8" t="s">
        <v>4528</v>
      </c>
      <c r="D4097" s="8" t="s">
        <v>177</v>
      </c>
      <c r="E4097" s="52">
        <v>771</v>
      </c>
      <c r="F4097" s="13">
        <v>390</v>
      </c>
      <c r="G4097" s="13"/>
    </row>
    <row r="4098" spans="1:7" hidden="1" x14ac:dyDescent="0.75">
      <c r="A4098" s="51">
        <v>44957</v>
      </c>
      <c r="B4098" s="52">
        <v>55</v>
      </c>
      <c r="C4098" s="8" t="s">
        <v>4529</v>
      </c>
      <c r="D4098" s="8" t="s">
        <v>177</v>
      </c>
      <c r="E4098" s="52">
        <v>754</v>
      </c>
      <c r="F4098" s="13">
        <v>450</v>
      </c>
      <c r="G4098" s="13"/>
    </row>
    <row r="4099" spans="1:7" hidden="1" x14ac:dyDescent="0.75">
      <c r="A4099" s="51">
        <v>44957</v>
      </c>
      <c r="B4099" s="52">
        <v>55</v>
      </c>
      <c r="C4099" s="8" t="s">
        <v>4530</v>
      </c>
      <c r="D4099" s="8" t="s">
        <v>177</v>
      </c>
      <c r="E4099" s="52">
        <v>769</v>
      </c>
      <c r="F4099" s="13">
        <v>1735</v>
      </c>
      <c r="G4099" s="13"/>
    </row>
    <row r="4100" spans="1:7" hidden="1" x14ac:dyDescent="0.75">
      <c r="A4100" s="51">
        <v>44957</v>
      </c>
      <c r="B4100" s="52">
        <v>55</v>
      </c>
      <c r="C4100" s="8" t="s">
        <v>4531</v>
      </c>
      <c r="D4100" s="8" t="s">
        <v>177</v>
      </c>
      <c r="E4100" s="52">
        <v>769</v>
      </c>
      <c r="F4100" s="13">
        <v>825</v>
      </c>
      <c r="G4100" s="13"/>
    </row>
    <row r="4101" spans="1:7" hidden="1" x14ac:dyDescent="0.75">
      <c r="A4101" s="51">
        <v>44957</v>
      </c>
      <c r="B4101" s="52">
        <v>55</v>
      </c>
      <c r="C4101" s="8" t="s">
        <v>4532</v>
      </c>
      <c r="D4101" s="8" t="s">
        <v>177</v>
      </c>
      <c r="E4101" s="52">
        <v>1366</v>
      </c>
      <c r="F4101" s="13">
        <v>1585</v>
      </c>
      <c r="G4101" s="13"/>
    </row>
    <row r="4102" spans="1:7" hidden="1" x14ac:dyDescent="0.75">
      <c r="A4102" s="51">
        <v>44957</v>
      </c>
      <c r="B4102" s="52">
        <v>55</v>
      </c>
      <c r="C4102" s="8" t="s">
        <v>4533</v>
      </c>
      <c r="D4102" s="8" t="s">
        <v>177</v>
      </c>
      <c r="E4102" s="52">
        <v>1366</v>
      </c>
      <c r="F4102" s="13">
        <v>350</v>
      </c>
      <c r="G4102" s="13"/>
    </row>
    <row r="4103" spans="1:7" hidden="1" x14ac:dyDescent="0.75">
      <c r="A4103" s="51">
        <v>44957</v>
      </c>
      <c r="B4103" s="52">
        <v>55</v>
      </c>
      <c r="C4103" s="8" t="s">
        <v>4534</v>
      </c>
      <c r="D4103" s="8" t="s">
        <v>177</v>
      </c>
      <c r="E4103" s="52">
        <v>1306</v>
      </c>
      <c r="F4103" s="13">
        <v>3655</v>
      </c>
      <c r="G4103" s="13"/>
    </row>
    <row r="4104" spans="1:7" hidden="1" x14ac:dyDescent="0.75">
      <c r="A4104" s="51">
        <v>44957</v>
      </c>
      <c r="B4104" s="52">
        <v>55</v>
      </c>
      <c r="C4104" s="8" t="s">
        <v>4535</v>
      </c>
      <c r="D4104" s="8" t="s">
        <v>177</v>
      </c>
      <c r="E4104" s="52">
        <v>1306</v>
      </c>
      <c r="F4104" s="13">
        <v>2590</v>
      </c>
      <c r="G4104" s="13"/>
    </row>
    <row r="4105" spans="1:7" hidden="1" x14ac:dyDescent="0.75">
      <c r="A4105" s="51">
        <v>44957</v>
      </c>
      <c r="B4105" s="52">
        <v>55</v>
      </c>
      <c r="C4105" s="8" t="s">
        <v>4536</v>
      </c>
      <c r="D4105" s="8" t="s">
        <v>177</v>
      </c>
      <c r="E4105" s="52">
        <v>1684</v>
      </c>
      <c r="F4105" s="13">
        <v>239.35</v>
      </c>
      <c r="G4105" s="13"/>
    </row>
    <row r="4106" spans="1:7" hidden="1" x14ac:dyDescent="0.75">
      <c r="A4106" s="51">
        <v>44957</v>
      </c>
      <c r="B4106" s="52">
        <v>55</v>
      </c>
      <c r="C4106" s="8" t="s">
        <v>4537</v>
      </c>
      <c r="D4106" s="8" t="s">
        <v>177</v>
      </c>
      <c r="E4106" s="52">
        <v>1721</v>
      </c>
      <c r="F4106" s="13">
        <v>935</v>
      </c>
      <c r="G4106" s="13"/>
    </row>
    <row r="4107" spans="1:7" hidden="1" x14ac:dyDescent="0.75">
      <c r="A4107" s="51">
        <v>44957</v>
      </c>
      <c r="B4107" s="52">
        <v>55</v>
      </c>
      <c r="C4107" s="8" t="s">
        <v>4538</v>
      </c>
      <c r="D4107" s="8" t="s">
        <v>177</v>
      </c>
      <c r="E4107" s="52">
        <v>1979</v>
      </c>
      <c r="F4107" s="13">
        <v>2192.6</v>
      </c>
      <c r="G4107" s="13"/>
    </row>
    <row r="4108" spans="1:7" hidden="1" x14ac:dyDescent="0.75">
      <c r="A4108" s="51">
        <v>44957</v>
      </c>
      <c r="B4108" s="52">
        <v>55</v>
      </c>
      <c r="C4108" s="8" t="s">
        <v>4539</v>
      </c>
      <c r="D4108" s="8" t="s">
        <v>177</v>
      </c>
      <c r="E4108" s="52">
        <v>1900</v>
      </c>
      <c r="F4108" s="13">
        <v>272</v>
      </c>
      <c r="G4108" s="13"/>
    </row>
    <row r="4109" spans="1:7" hidden="1" x14ac:dyDescent="0.75">
      <c r="A4109" s="51">
        <v>44957</v>
      </c>
      <c r="B4109" s="52">
        <v>55</v>
      </c>
      <c r="C4109" s="8" t="s">
        <v>4540</v>
      </c>
      <c r="D4109" s="8" t="s">
        <v>177</v>
      </c>
      <c r="E4109" s="52">
        <v>1980</v>
      </c>
      <c r="F4109" s="13">
        <v>790</v>
      </c>
      <c r="G4109" s="13"/>
    </row>
    <row r="4110" spans="1:7" hidden="1" x14ac:dyDescent="0.75">
      <c r="A4110" s="51">
        <v>44957</v>
      </c>
      <c r="B4110" s="52">
        <v>55</v>
      </c>
      <c r="C4110" s="8" t="s">
        <v>4541</v>
      </c>
      <c r="D4110" s="8" t="s">
        <v>177</v>
      </c>
      <c r="E4110" s="52">
        <v>769</v>
      </c>
      <c r="F4110" s="13">
        <v>930</v>
      </c>
      <c r="G4110" s="13"/>
    </row>
    <row r="4111" spans="1:7" hidden="1" x14ac:dyDescent="0.75">
      <c r="A4111" s="51">
        <v>44957</v>
      </c>
      <c r="B4111" s="52">
        <v>55</v>
      </c>
      <c r="C4111" s="8" t="s">
        <v>4542</v>
      </c>
      <c r="D4111" s="8" t="s">
        <v>177</v>
      </c>
      <c r="E4111" s="52">
        <v>769</v>
      </c>
      <c r="F4111" s="13">
        <v>125</v>
      </c>
      <c r="G4111" s="13"/>
    </row>
    <row r="4112" spans="1:7" hidden="1" x14ac:dyDescent="0.75">
      <c r="A4112" s="51">
        <v>44957</v>
      </c>
      <c r="B4112" s="52">
        <v>55</v>
      </c>
      <c r="C4112" s="8" t="s">
        <v>4543</v>
      </c>
      <c r="D4112" s="8" t="s">
        <v>177</v>
      </c>
      <c r="E4112" s="52">
        <v>769</v>
      </c>
      <c r="F4112" s="13">
        <v>5796</v>
      </c>
      <c r="G4112" s="13"/>
    </row>
    <row r="4113" spans="1:7" hidden="1" x14ac:dyDescent="0.75">
      <c r="A4113" s="51">
        <v>44957</v>
      </c>
      <c r="B4113" s="52">
        <v>55</v>
      </c>
      <c r="C4113" s="8" t="s">
        <v>998</v>
      </c>
      <c r="D4113" s="8" t="s">
        <v>177</v>
      </c>
      <c r="E4113" s="52"/>
      <c r="F4113" s="13">
        <v>115.64</v>
      </c>
      <c r="G4113" s="13"/>
    </row>
    <row r="4114" spans="1:7" hidden="1" x14ac:dyDescent="0.75">
      <c r="A4114" s="51">
        <v>44957</v>
      </c>
      <c r="B4114" s="52">
        <v>55</v>
      </c>
      <c r="C4114" s="8" t="s">
        <v>1057</v>
      </c>
      <c r="D4114" s="8" t="s">
        <v>177</v>
      </c>
      <c r="E4114" s="52">
        <v>40</v>
      </c>
      <c r="F4114" s="13">
        <v>14005.76</v>
      </c>
      <c r="G4114" s="13"/>
    </row>
    <row r="4115" spans="1:7" hidden="1" x14ac:dyDescent="0.75">
      <c r="A4115" s="51">
        <v>44957</v>
      </c>
      <c r="B4115" s="52">
        <v>55</v>
      </c>
      <c r="C4115" s="8" t="s">
        <v>1237</v>
      </c>
      <c r="D4115" s="8" t="s">
        <v>177</v>
      </c>
      <c r="E4115" s="52">
        <v>41</v>
      </c>
      <c r="F4115" s="13">
        <v>3040.72</v>
      </c>
      <c r="G4115" s="13"/>
    </row>
    <row r="4116" spans="1:7" hidden="1" x14ac:dyDescent="0.75">
      <c r="A4116" s="51">
        <v>44957</v>
      </c>
      <c r="B4116" s="52">
        <v>55</v>
      </c>
      <c r="C4116" s="8" t="s">
        <v>4544</v>
      </c>
      <c r="D4116" s="8" t="s">
        <v>177</v>
      </c>
      <c r="E4116" s="52">
        <v>1646</v>
      </c>
      <c r="F4116" s="13"/>
      <c r="G4116" s="13">
        <v>28.5</v>
      </c>
    </row>
    <row r="4117" spans="1:7" hidden="1" x14ac:dyDescent="0.75">
      <c r="A4117" s="51">
        <v>44957</v>
      </c>
      <c r="B4117" s="52">
        <v>55</v>
      </c>
      <c r="C4117" s="8" t="s">
        <v>4545</v>
      </c>
      <c r="D4117" s="8" t="s">
        <v>177</v>
      </c>
      <c r="E4117" s="52">
        <v>1646</v>
      </c>
      <c r="F4117" s="13"/>
      <c r="G4117" s="13">
        <v>218.2</v>
      </c>
    </row>
    <row r="4118" spans="1:7" hidden="1" x14ac:dyDescent="0.75">
      <c r="A4118" s="51">
        <v>44957</v>
      </c>
      <c r="B4118" s="52">
        <v>55</v>
      </c>
      <c r="C4118" s="8" t="s">
        <v>4546</v>
      </c>
      <c r="D4118" s="8" t="s">
        <v>177</v>
      </c>
      <c r="E4118" s="52">
        <v>1646</v>
      </c>
      <c r="F4118" s="13"/>
      <c r="G4118" s="13">
        <v>60</v>
      </c>
    </row>
    <row r="4119" spans="1:7" hidden="1" x14ac:dyDescent="0.75">
      <c r="A4119" s="51">
        <v>44957</v>
      </c>
      <c r="B4119" s="52">
        <v>55</v>
      </c>
      <c r="C4119" s="8" t="s">
        <v>4547</v>
      </c>
      <c r="D4119" s="8" t="s">
        <v>177</v>
      </c>
      <c r="E4119" s="52">
        <v>1646</v>
      </c>
      <c r="F4119" s="13"/>
      <c r="G4119" s="13">
        <v>44.8</v>
      </c>
    </row>
    <row r="4120" spans="1:7" hidden="1" x14ac:dyDescent="0.75">
      <c r="A4120" s="51">
        <v>44957</v>
      </c>
      <c r="B4120" s="52">
        <v>55</v>
      </c>
      <c r="C4120" s="8" t="s">
        <v>4548</v>
      </c>
      <c r="D4120" s="8" t="s">
        <v>177</v>
      </c>
      <c r="E4120" s="52">
        <v>1646</v>
      </c>
      <c r="F4120" s="13"/>
      <c r="G4120" s="13">
        <v>809.48</v>
      </c>
    </row>
    <row r="4121" spans="1:7" hidden="1" x14ac:dyDescent="0.75">
      <c r="A4121" s="51">
        <v>44957</v>
      </c>
      <c r="B4121" s="52">
        <v>55</v>
      </c>
      <c r="C4121" s="8" t="s">
        <v>4549</v>
      </c>
      <c r="D4121" s="8" t="s">
        <v>177</v>
      </c>
      <c r="E4121" s="52">
        <v>518</v>
      </c>
      <c r="F4121" s="13"/>
      <c r="G4121" s="13">
        <v>46.7</v>
      </c>
    </row>
    <row r="4122" spans="1:7" hidden="1" x14ac:dyDescent="0.75">
      <c r="A4122" s="51">
        <v>44957</v>
      </c>
      <c r="B4122" s="52">
        <v>55</v>
      </c>
      <c r="C4122" s="8" t="s">
        <v>4550</v>
      </c>
      <c r="D4122" s="8" t="s">
        <v>177</v>
      </c>
      <c r="E4122" s="52">
        <v>1646</v>
      </c>
      <c r="F4122" s="13"/>
      <c r="G4122" s="13">
        <v>572.28</v>
      </c>
    </row>
    <row r="4123" spans="1:7" hidden="1" x14ac:dyDescent="0.75">
      <c r="A4123" s="51">
        <v>44957</v>
      </c>
      <c r="B4123" s="52">
        <v>55</v>
      </c>
      <c r="C4123" s="8" t="s">
        <v>4551</v>
      </c>
      <c r="D4123" s="8" t="s">
        <v>177</v>
      </c>
      <c r="E4123" s="52">
        <v>1646</v>
      </c>
      <c r="F4123" s="13"/>
      <c r="G4123" s="13">
        <v>85.48</v>
      </c>
    </row>
    <row r="4124" spans="1:7" hidden="1" x14ac:dyDescent="0.75">
      <c r="A4124" s="51">
        <v>44957</v>
      </c>
      <c r="B4124" s="52">
        <v>55</v>
      </c>
      <c r="C4124" s="8" t="s">
        <v>4552</v>
      </c>
      <c r="D4124" s="8" t="s">
        <v>177</v>
      </c>
      <c r="E4124" s="52">
        <v>1646</v>
      </c>
      <c r="F4124" s="13"/>
      <c r="G4124" s="13">
        <v>8993.57</v>
      </c>
    </row>
    <row r="4125" spans="1:7" hidden="1" x14ac:dyDescent="0.75">
      <c r="A4125" s="51">
        <v>44957</v>
      </c>
      <c r="B4125" s="52">
        <v>55</v>
      </c>
      <c r="C4125" s="8" t="s">
        <v>4553</v>
      </c>
      <c r="D4125" s="8" t="s">
        <v>177</v>
      </c>
      <c r="E4125" s="52">
        <v>1646</v>
      </c>
      <c r="F4125" s="13"/>
      <c r="G4125" s="13">
        <v>6285.31</v>
      </c>
    </row>
    <row r="4126" spans="1:7" hidden="1" x14ac:dyDescent="0.75">
      <c r="A4126" s="51">
        <v>44957</v>
      </c>
      <c r="B4126" s="52">
        <v>55</v>
      </c>
      <c r="C4126" s="8" t="s">
        <v>996</v>
      </c>
      <c r="D4126" s="8" t="s">
        <v>177</v>
      </c>
      <c r="E4126" s="52"/>
      <c r="F4126" s="13"/>
      <c r="G4126" s="13">
        <v>38912.410000000003</v>
      </c>
    </row>
    <row r="4127" spans="1:7" hidden="1" x14ac:dyDescent="0.75">
      <c r="A4127" s="51">
        <v>44957</v>
      </c>
      <c r="B4127" s="52">
        <v>55</v>
      </c>
      <c r="C4127" s="8" t="s">
        <v>4554</v>
      </c>
      <c r="D4127" s="8" t="s">
        <v>177</v>
      </c>
      <c r="E4127" s="52">
        <v>470</v>
      </c>
      <c r="F4127" s="13"/>
      <c r="G4127" s="13">
        <v>638894.31999999995</v>
      </c>
    </row>
    <row r="4128" spans="1:7" hidden="1" x14ac:dyDescent="0.75">
      <c r="A4128" s="51">
        <v>44928</v>
      </c>
      <c r="B4128" s="52">
        <v>58</v>
      </c>
      <c r="C4128" s="8" t="s">
        <v>4555</v>
      </c>
      <c r="D4128" s="8" t="s">
        <v>179</v>
      </c>
      <c r="E4128" s="52">
        <v>1449</v>
      </c>
      <c r="F4128" s="13">
        <v>275</v>
      </c>
      <c r="G4128" s="13"/>
    </row>
    <row r="4129" spans="1:7" hidden="1" x14ac:dyDescent="0.75">
      <c r="A4129" s="51">
        <v>44928</v>
      </c>
      <c r="B4129" s="52">
        <v>58</v>
      </c>
      <c r="C4129" s="8" t="s">
        <v>4556</v>
      </c>
      <c r="D4129" s="8" t="s">
        <v>179</v>
      </c>
      <c r="E4129" s="52">
        <v>757</v>
      </c>
      <c r="F4129" s="13">
        <v>385.32</v>
      </c>
      <c r="G4129" s="13"/>
    </row>
    <row r="4130" spans="1:7" hidden="1" x14ac:dyDescent="0.75">
      <c r="A4130" s="51">
        <v>44931</v>
      </c>
      <c r="B4130" s="52">
        <v>58</v>
      </c>
      <c r="C4130" s="8" t="s">
        <v>4557</v>
      </c>
      <c r="D4130" s="8" t="s">
        <v>179</v>
      </c>
      <c r="E4130" s="52">
        <v>1672</v>
      </c>
      <c r="F4130" s="13">
        <v>60</v>
      </c>
      <c r="G4130" s="13"/>
    </row>
    <row r="4131" spans="1:7" hidden="1" x14ac:dyDescent="0.75">
      <c r="A4131" s="51">
        <v>44932</v>
      </c>
      <c r="B4131" s="52">
        <v>58</v>
      </c>
      <c r="C4131" s="8" t="s">
        <v>4558</v>
      </c>
      <c r="D4131" s="8" t="s">
        <v>179</v>
      </c>
      <c r="E4131" s="52">
        <v>1394</v>
      </c>
      <c r="F4131" s="13">
        <v>662</v>
      </c>
      <c r="G4131" s="13"/>
    </row>
    <row r="4132" spans="1:7" hidden="1" x14ac:dyDescent="0.75">
      <c r="A4132" s="51">
        <v>44935</v>
      </c>
      <c r="B4132" s="52">
        <v>58</v>
      </c>
      <c r="C4132" s="8" t="s">
        <v>4559</v>
      </c>
      <c r="D4132" s="8" t="s">
        <v>179</v>
      </c>
      <c r="E4132" s="52">
        <v>968</v>
      </c>
      <c r="F4132" s="13">
        <v>19.260000000000002</v>
      </c>
      <c r="G4132" s="13"/>
    </row>
    <row r="4133" spans="1:7" hidden="1" x14ac:dyDescent="0.75">
      <c r="A4133" s="51">
        <v>44938</v>
      </c>
      <c r="B4133" s="52">
        <v>58</v>
      </c>
      <c r="C4133" s="8" t="s">
        <v>4560</v>
      </c>
      <c r="D4133" s="8" t="s">
        <v>179</v>
      </c>
      <c r="E4133" s="52">
        <v>1655</v>
      </c>
      <c r="F4133" s="13">
        <v>995</v>
      </c>
      <c r="G4133" s="13"/>
    </row>
    <row r="4134" spans="1:7" hidden="1" x14ac:dyDescent="0.75">
      <c r="A4134" s="51">
        <v>44938</v>
      </c>
      <c r="B4134" s="52">
        <v>58</v>
      </c>
      <c r="C4134" s="8" t="s">
        <v>4561</v>
      </c>
      <c r="D4134" s="8" t="s">
        <v>179</v>
      </c>
      <c r="E4134" s="52">
        <v>1961</v>
      </c>
      <c r="F4134" s="13">
        <v>1084.6099999999999</v>
      </c>
      <c r="G4134" s="13"/>
    </row>
    <row r="4135" spans="1:7" hidden="1" x14ac:dyDescent="0.75">
      <c r="A4135" s="51">
        <v>44938</v>
      </c>
      <c r="B4135" s="52">
        <v>58</v>
      </c>
      <c r="C4135" s="8" t="s">
        <v>4562</v>
      </c>
      <c r="D4135" s="8" t="s">
        <v>179</v>
      </c>
      <c r="E4135" s="52">
        <v>1672</v>
      </c>
      <c r="F4135" s="13">
        <v>60</v>
      </c>
      <c r="G4135" s="13"/>
    </row>
    <row r="4136" spans="1:7" hidden="1" x14ac:dyDescent="0.75">
      <c r="A4136" s="51">
        <v>44944</v>
      </c>
      <c r="B4136" s="52">
        <v>58</v>
      </c>
      <c r="C4136" s="8" t="s">
        <v>4563</v>
      </c>
      <c r="D4136" s="8" t="s">
        <v>179</v>
      </c>
      <c r="E4136" s="52">
        <v>759</v>
      </c>
      <c r="F4136" s="13">
        <v>11757.1</v>
      </c>
      <c r="G4136" s="13"/>
    </row>
    <row r="4137" spans="1:7" hidden="1" x14ac:dyDescent="0.75">
      <c r="A4137" s="51">
        <v>44944</v>
      </c>
      <c r="B4137" s="52">
        <v>58</v>
      </c>
      <c r="C4137" s="8" t="s">
        <v>4564</v>
      </c>
      <c r="D4137" s="8" t="s">
        <v>179</v>
      </c>
      <c r="E4137" s="52">
        <v>759</v>
      </c>
      <c r="F4137" s="13">
        <v>4475.9399999999996</v>
      </c>
      <c r="G4137" s="13"/>
    </row>
    <row r="4138" spans="1:7" hidden="1" x14ac:dyDescent="0.75">
      <c r="A4138" s="51">
        <v>44944</v>
      </c>
      <c r="B4138" s="52">
        <v>58</v>
      </c>
      <c r="C4138" s="8" t="s">
        <v>4565</v>
      </c>
      <c r="D4138" s="8" t="s">
        <v>179</v>
      </c>
      <c r="E4138" s="52">
        <v>1010</v>
      </c>
      <c r="F4138" s="13">
        <v>686.11</v>
      </c>
      <c r="G4138" s="13"/>
    </row>
    <row r="4139" spans="1:7" hidden="1" x14ac:dyDescent="0.75">
      <c r="A4139" s="51">
        <v>44946</v>
      </c>
      <c r="B4139" s="52">
        <v>58</v>
      </c>
      <c r="C4139" s="8" t="s">
        <v>4566</v>
      </c>
      <c r="D4139" s="8" t="s">
        <v>179</v>
      </c>
      <c r="E4139" s="52">
        <v>757</v>
      </c>
      <c r="F4139" s="13">
        <v>776.27</v>
      </c>
      <c r="G4139" s="13"/>
    </row>
    <row r="4140" spans="1:7" hidden="1" x14ac:dyDescent="0.75">
      <c r="A4140" s="51">
        <v>44946</v>
      </c>
      <c r="B4140" s="52">
        <v>58</v>
      </c>
      <c r="C4140" s="8" t="s">
        <v>4567</v>
      </c>
      <c r="D4140" s="8" t="s">
        <v>179</v>
      </c>
      <c r="E4140" s="52">
        <v>757</v>
      </c>
      <c r="F4140" s="13">
        <v>866.69</v>
      </c>
      <c r="G4140" s="13"/>
    </row>
    <row r="4141" spans="1:7" hidden="1" x14ac:dyDescent="0.75">
      <c r="A4141" s="51">
        <v>44946</v>
      </c>
      <c r="B4141" s="52">
        <v>58</v>
      </c>
      <c r="C4141" s="8" t="s">
        <v>4568</v>
      </c>
      <c r="D4141" s="8" t="s">
        <v>179</v>
      </c>
      <c r="E4141" s="52">
        <v>1978</v>
      </c>
      <c r="F4141" s="13">
        <v>127.65</v>
      </c>
      <c r="G4141" s="13"/>
    </row>
    <row r="4142" spans="1:7" hidden="1" x14ac:dyDescent="0.75">
      <c r="A4142" s="51">
        <v>44949</v>
      </c>
      <c r="B4142" s="52">
        <v>58</v>
      </c>
      <c r="C4142" s="8" t="s">
        <v>4569</v>
      </c>
      <c r="D4142" s="8" t="s">
        <v>179</v>
      </c>
      <c r="E4142" s="52">
        <v>1961</v>
      </c>
      <c r="F4142" s="13">
        <v>674.52</v>
      </c>
      <c r="G4142" s="13"/>
    </row>
    <row r="4143" spans="1:7" hidden="1" x14ac:dyDescent="0.75">
      <c r="A4143" s="51">
        <v>44957</v>
      </c>
      <c r="B4143" s="52">
        <v>58</v>
      </c>
      <c r="C4143" s="8" t="s">
        <v>4570</v>
      </c>
      <c r="D4143" s="8" t="s">
        <v>179</v>
      </c>
      <c r="E4143" s="52">
        <v>470</v>
      </c>
      <c r="F4143" s="13"/>
      <c r="G4143" s="13">
        <v>17122.95</v>
      </c>
    </row>
    <row r="4144" spans="1:7" hidden="1" x14ac:dyDescent="0.75">
      <c r="A4144" s="51">
        <v>44949</v>
      </c>
      <c r="B4144" s="52">
        <v>67</v>
      </c>
      <c r="C4144" s="8" t="s">
        <v>1778</v>
      </c>
      <c r="D4144" s="8" t="s">
        <v>187</v>
      </c>
      <c r="E4144" s="52">
        <v>8</v>
      </c>
      <c r="F4144" s="13">
        <v>173.15</v>
      </c>
      <c r="G4144" s="13"/>
    </row>
    <row r="4145" spans="1:7" hidden="1" x14ac:dyDescent="0.75">
      <c r="A4145" s="51">
        <v>44957</v>
      </c>
      <c r="B4145" s="52">
        <v>67</v>
      </c>
      <c r="C4145" s="8" t="s">
        <v>999</v>
      </c>
      <c r="D4145" s="8" t="s">
        <v>187</v>
      </c>
      <c r="E4145" s="52">
        <v>1596</v>
      </c>
      <c r="F4145" s="13"/>
      <c r="G4145" s="13">
        <v>209.14</v>
      </c>
    </row>
    <row r="4146" spans="1:7" hidden="1" x14ac:dyDescent="0.75">
      <c r="A4146" s="51">
        <v>44957</v>
      </c>
      <c r="B4146" s="52">
        <v>67</v>
      </c>
      <c r="C4146" s="8" t="s">
        <v>1000</v>
      </c>
      <c r="D4146" s="8" t="s">
        <v>187</v>
      </c>
      <c r="E4146" s="52">
        <v>1596</v>
      </c>
      <c r="F4146" s="13"/>
      <c r="G4146" s="13">
        <v>209.93</v>
      </c>
    </row>
    <row r="4147" spans="1:7" hidden="1" x14ac:dyDescent="0.75">
      <c r="A4147" s="51">
        <v>44927</v>
      </c>
      <c r="B4147" s="52">
        <v>679</v>
      </c>
      <c r="C4147" s="8" t="s">
        <v>4571</v>
      </c>
      <c r="D4147" s="8" t="s">
        <v>189</v>
      </c>
      <c r="E4147" s="52">
        <v>1389</v>
      </c>
      <c r="F4147" s="13">
        <v>875.2</v>
      </c>
      <c r="G4147" s="13"/>
    </row>
    <row r="4148" spans="1:7" hidden="1" x14ac:dyDescent="0.75">
      <c r="A4148" s="51">
        <v>44957</v>
      </c>
      <c r="B4148" s="52">
        <v>679</v>
      </c>
      <c r="C4148" s="8" t="s">
        <v>1001</v>
      </c>
      <c r="D4148" s="8" t="s">
        <v>189</v>
      </c>
      <c r="E4148" s="52">
        <v>678</v>
      </c>
      <c r="F4148" s="13"/>
      <c r="G4148" s="13">
        <v>145.86000000000001</v>
      </c>
    </row>
    <row r="4149" spans="1:7" hidden="1" x14ac:dyDescent="0.75">
      <c r="A4149" s="51">
        <v>44927</v>
      </c>
      <c r="B4149" s="52">
        <v>680</v>
      </c>
      <c r="C4149" s="8" t="s">
        <v>4572</v>
      </c>
      <c r="D4149" s="8" t="s">
        <v>191</v>
      </c>
      <c r="E4149" s="52">
        <v>984</v>
      </c>
      <c r="F4149" s="13">
        <v>1877.4</v>
      </c>
      <c r="G4149" s="13"/>
    </row>
    <row r="4150" spans="1:7" hidden="1" x14ac:dyDescent="0.75">
      <c r="A4150" s="51">
        <v>44927</v>
      </c>
      <c r="B4150" s="52">
        <v>680</v>
      </c>
      <c r="C4150" s="8" t="s">
        <v>4573</v>
      </c>
      <c r="D4150" s="8" t="s">
        <v>191</v>
      </c>
      <c r="E4150" s="52">
        <v>349</v>
      </c>
      <c r="F4150" s="13"/>
      <c r="G4150" s="13">
        <v>156.44999999999999</v>
      </c>
    </row>
    <row r="4151" spans="1:7" hidden="1" x14ac:dyDescent="0.75">
      <c r="A4151" s="51">
        <v>44929</v>
      </c>
      <c r="B4151" s="52">
        <v>681</v>
      </c>
      <c r="C4151" s="8" t="s">
        <v>1533</v>
      </c>
      <c r="D4151" s="8" t="s">
        <v>193</v>
      </c>
      <c r="E4151" s="52">
        <v>8</v>
      </c>
      <c r="F4151" s="13">
        <v>250.76</v>
      </c>
      <c r="G4151" s="13"/>
    </row>
    <row r="4152" spans="1:7" hidden="1" x14ac:dyDescent="0.75">
      <c r="A4152" s="51">
        <v>44952</v>
      </c>
      <c r="B4152" s="52">
        <v>681</v>
      </c>
      <c r="C4152" s="8" t="s">
        <v>1800</v>
      </c>
      <c r="D4152" s="8" t="s">
        <v>193</v>
      </c>
      <c r="E4152" s="52">
        <v>8</v>
      </c>
      <c r="F4152" s="13">
        <v>5331.28</v>
      </c>
      <c r="G4152" s="13"/>
    </row>
    <row r="4153" spans="1:7" hidden="1" x14ac:dyDescent="0.75">
      <c r="A4153" s="51">
        <v>44957</v>
      </c>
      <c r="B4153" s="52">
        <v>681</v>
      </c>
      <c r="C4153" s="8" t="s">
        <v>1002</v>
      </c>
      <c r="D4153" s="8" t="s">
        <v>193</v>
      </c>
      <c r="E4153" s="52"/>
      <c r="F4153" s="13"/>
      <c r="G4153" s="13">
        <v>6176.13</v>
      </c>
    </row>
    <row r="4154" spans="1:7" hidden="1" x14ac:dyDescent="0.75">
      <c r="A4154" s="51">
        <v>44953</v>
      </c>
      <c r="B4154" s="52">
        <v>1648</v>
      </c>
      <c r="C4154" s="8" t="s">
        <v>1819</v>
      </c>
      <c r="D4154" s="8" t="s">
        <v>195</v>
      </c>
      <c r="E4154" s="52">
        <v>8</v>
      </c>
      <c r="F4154" s="13">
        <v>10169</v>
      </c>
      <c r="G4154" s="13"/>
    </row>
    <row r="4155" spans="1:7" hidden="1" x14ac:dyDescent="0.75">
      <c r="A4155" s="51">
        <v>44953</v>
      </c>
      <c r="B4155" s="52">
        <v>1648</v>
      </c>
      <c r="C4155" s="8" t="s">
        <v>1820</v>
      </c>
      <c r="D4155" s="8" t="s">
        <v>195</v>
      </c>
      <c r="E4155" s="52">
        <v>8</v>
      </c>
      <c r="F4155" s="13">
        <v>3064</v>
      </c>
      <c r="G4155" s="13"/>
    </row>
    <row r="4156" spans="1:7" hidden="1" x14ac:dyDescent="0.75">
      <c r="A4156" s="51">
        <v>44957</v>
      </c>
      <c r="B4156" s="52">
        <v>1648</v>
      </c>
      <c r="C4156" s="8" t="s">
        <v>4574</v>
      </c>
      <c r="D4156" s="8" t="s">
        <v>195</v>
      </c>
      <c r="E4156" s="52"/>
      <c r="F4156" s="13"/>
      <c r="G4156" s="13">
        <v>33.840000000000003</v>
      </c>
    </row>
    <row r="4157" spans="1:7" hidden="1" x14ac:dyDescent="0.75">
      <c r="A4157" s="51">
        <v>44957</v>
      </c>
      <c r="B4157" s="52">
        <v>1648</v>
      </c>
      <c r="C4157" s="8" t="s">
        <v>1003</v>
      </c>
      <c r="D4157" s="8" t="s">
        <v>195</v>
      </c>
      <c r="E4157" s="52">
        <v>647</v>
      </c>
      <c r="F4157" s="13"/>
      <c r="G4157" s="13">
        <v>13987.74</v>
      </c>
    </row>
    <row r="4158" spans="1:7" hidden="1" x14ac:dyDescent="0.75">
      <c r="A4158" s="51">
        <v>44957</v>
      </c>
      <c r="B4158" s="52">
        <v>126</v>
      </c>
      <c r="C4158" s="8" t="s">
        <v>1004</v>
      </c>
      <c r="D4158" s="8" t="s">
        <v>222</v>
      </c>
      <c r="E4158" s="52">
        <v>363</v>
      </c>
      <c r="F4158" s="13"/>
      <c r="G4158" s="13">
        <v>76.95</v>
      </c>
    </row>
    <row r="4159" spans="1:7" hidden="1" x14ac:dyDescent="0.75">
      <c r="A4159" s="51">
        <v>44957</v>
      </c>
      <c r="B4159" s="52">
        <v>127</v>
      </c>
      <c r="C4159" s="8" t="s">
        <v>1004</v>
      </c>
      <c r="D4159" s="8" t="s">
        <v>224</v>
      </c>
      <c r="E4159" s="52">
        <v>363</v>
      </c>
      <c r="F4159" s="13"/>
      <c r="G4159" s="13">
        <v>888.03</v>
      </c>
    </row>
    <row r="4160" spans="1:7" hidden="1" x14ac:dyDescent="0.75">
      <c r="A4160" s="51">
        <v>44957</v>
      </c>
      <c r="B4160" s="52">
        <v>128</v>
      </c>
      <c r="C4160" s="8" t="s">
        <v>1004</v>
      </c>
      <c r="D4160" s="8" t="s">
        <v>226</v>
      </c>
      <c r="E4160" s="52">
        <v>363</v>
      </c>
      <c r="F4160" s="13"/>
      <c r="G4160" s="13">
        <v>2002.09</v>
      </c>
    </row>
    <row r="4161" spans="1:7" hidden="1" x14ac:dyDescent="0.75">
      <c r="A4161" s="51">
        <v>44957</v>
      </c>
      <c r="B4161" s="52">
        <v>729</v>
      </c>
      <c r="C4161" s="8" t="s">
        <v>1004</v>
      </c>
      <c r="D4161" s="8" t="s">
        <v>1238</v>
      </c>
      <c r="E4161" s="52">
        <v>363</v>
      </c>
      <c r="F4161" s="13"/>
      <c r="G4161" s="13">
        <v>42.5</v>
      </c>
    </row>
    <row r="4162" spans="1:7" hidden="1" x14ac:dyDescent="0.75">
      <c r="A4162" s="51">
        <v>44927</v>
      </c>
      <c r="B4162" s="52">
        <v>155</v>
      </c>
      <c r="C4162" s="8" t="s">
        <v>4575</v>
      </c>
      <c r="D4162" s="8" t="s">
        <v>1341</v>
      </c>
      <c r="E4162" s="52">
        <v>1984</v>
      </c>
      <c r="F4162" s="13">
        <v>42857.14</v>
      </c>
      <c r="G4162" s="13"/>
    </row>
    <row r="4163" spans="1:7" hidden="1" x14ac:dyDescent="0.75">
      <c r="A4163" s="51">
        <v>44935</v>
      </c>
      <c r="B4163" s="52">
        <v>155</v>
      </c>
      <c r="C4163" s="8" t="s">
        <v>1599</v>
      </c>
      <c r="D4163" s="8" t="s">
        <v>1341</v>
      </c>
      <c r="E4163" s="52">
        <v>8</v>
      </c>
      <c r="F4163" s="13">
        <v>21428.57</v>
      </c>
      <c r="G4163" s="13"/>
    </row>
    <row r="4164" spans="1:7" hidden="1" x14ac:dyDescent="0.75">
      <c r="A4164" s="51">
        <v>44927</v>
      </c>
      <c r="B4164" s="52">
        <v>1457</v>
      </c>
      <c r="C4164" s="8" t="s">
        <v>4575</v>
      </c>
      <c r="D4164" s="8" t="s">
        <v>1342</v>
      </c>
      <c r="E4164" s="52">
        <v>1985</v>
      </c>
      <c r="F4164" s="13"/>
      <c r="G4164" s="13">
        <v>1686.14</v>
      </c>
    </row>
    <row r="4165" spans="1:7" hidden="1" x14ac:dyDescent="0.75">
      <c r="A4165" s="51">
        <v>44935</v>
      </c>
      <c r="B4165" s="52">
        <v>1457</v>
      </c>
      <c r="C4165" s="8" t="s">
        <v>1598</v>
      </c>
      <c r="D4165" s="8" t="s">
        <v>1342</v>
      </c>
      <c r="E4165" s="52">
        <v>8</v>
      </c>
      <c r="F4165" s="13">
        <v>7939.36</v>
      </c>
      <c r="G4165" s="13"/>
    </row>
    <row r="4166" spans="1:7" hidden="1" x14ac:dyDescent="0.75">
      <c r="A4166" s="51">
        <v>44957</v>
      </c>
      <c r="B4166" s="52">
        <v>1457</v>
      </c>
      <c r="C4166" s="8" t="s">
        <v>4576</v>
      </c>
      <c r="D4166" s="8" t="s">
        <v>1342</v>
      </c>
      <c r="E4166" s="52">
        <v>375</v>
      </c>
      <c r="F4166" s="13"/>
      <c r="G4166" s="13">
        <v>843.07</v>
      </c>
    </row>
    <row r="4167" spans="1:7" hidden="1" x14ac:dyDescent="0.75">
      <c r="A4167" s="51">
        <v>44927</v>
      </c>
      <c r="B4167" s="52">
        <v>1488</v>
      </c>
      <c r="C4167" s="8" t="s">
        <v>4577</v>
      </c>
      <c r="D4167" s="8" t="s">
        <v>242</v>
      </c>
      <c r="E4167" s="52">
        <v>368</v>
      </c>
      <c r="F4167" s="13"/>
      <c r="G4167" s="13">
        <v>0.05</v>
      </c>
    </row>
    <row r="4168" spans="1:7" hidden="1" x14ac:dyDescent="0.75">
      <c r="A4168" s="51">
        <v>44942</v>
      </c>
      <c r="B4168" s="52">
        <v>1488</v>
      </c>
      <c r="C4168" s="8" t="s">
        <v>988</v>
      </c>
      <c r="D4168" s="8" t="s">
        <v>242</v>
      </c>
      <c r="E4168" s="52">
        <v>1461</v>
      </c>
      <c r="F4168" s="13">
        <v>18533.96</v>
      </c>
      <c r="G4168" s="13"/>
    </row>
    <row r="4169" spans="1:7" hidden="1" x14ac:dyDescent="0.75">
      <c r="A4169" s="51">
        <v>44942</v>
      </c>
      <c r="B4169" s="52">
        <v>1606</v>
      </c>
      <c r="C4169" s="8" t="s">
        <v>989</v>
      </c>
      <c r="D4169" s="8" t="s">
        <v>244</v>
      </c>
      <c r="E4169" s="52">
        <v>1598</v>
      </c>
      <c r="F4169" s="13">
        <v>2659.09</v>
      </c>
      <c r="G4169" s="13"/>
    </row>
    <row r="4170" spans="1:7" hidden="1" x14ac:dyDescent="0.75">
      <c r="A4170" s="51">
        <v>44927</v>
      </c>
      <c r="B4170" s="52">
        <v>1838</v>
      </c>
      <c r="C4170" s="8" t="s">
        <v>4577</v>
      </c>
      <c r="D4170" s="8" t="s">
        <v>246</v>
      </c>
      <c r="E4170" s="52">
        <v>368</v>
      </c>
      <c r="F4170" s="13"/>
      <c r="G4170" s="13">
        <v>0.01</v>
      </c>
    </row>
    <row r="4171" spans="1:7" hidden="1" x14ac:dyDescent="0.75">
      <c r="A4171" s="51">
        <v>44957</v>
      </c>
      <c r="B4171" s="52">
        <v>1838</v>
      </c>
      <c r="C4171" s="8" t="s">
        <v>1239</v>
      </c>
      <c r="D4171" s="8" t="s">
        <v>246</v>
      </c>
      <c r="E4171" s="52">
        <v>375</v>
      </c>
      <c r="F4171" s="13"/>
      <c r="G4171" s="13">
        <v>379.15</v>
      </c>
    </row>
    <row r="4172" spans="1:7" hidden="1" x14ac:dyDescent="0.75">
      <c r="A4172" s="51">
        <v>44957</v>
      </c>
      <c r="B4172" s="52">
        <v>1839</v>
      </c>
      <c r="C4172" s="8" t="s">
        <v>1240</v>
      </c>
      <c r="D4172" s="8" t="s">
        <v>248</v>
      </c>
      <c r="E4172" s="52">
        <v>375</v>
      </c>
      <c r="F4172" s="13"/>
      <c r="G4172" s="13">
        <v>112.81</v>
      </c>
    </row>
    <row r="4173" spans="1:7" hidden="1" x14ac:dyDescent="0.75">
      <c r="A4173" s="51">
        <v>44932</v>
      </c>
      <c r="B4173" s="52">
        <v>756</v>
      </c>
      <c r="C4173" s="8" t="s">
        <v>3858</v>
      </c>
      <c r="D4173" s="8" t="s">
        <v>1343</v>
      </c>
      <c r="E4173" s="52">
        <v>55</v>
      </c>
      <c r="F4173" s="13"/>
      <c r="G4173" s="13">
        <v>1260</v>
      </c>
    </row>
    <row r="4174" spans="1:7" hidden="1" x14ac:dyDescent="0.75">
      <c r="A4174" s="51">
        <v>44937</v>
      </c>
      <c r="B4174" s="52">
        <v>756</v>
      </c>
      <c r="C4174" s="8" t="s">
        <v>1639</v>
      </c>
      <c r="D4174" s="8" t="s">
        <v>1343</v>
      </c>
      <c r="E4174" s="52">
        <v>8</v>
      </c>
      <c r="F4174" s="13">
        <v>1260</v>
      </c>
      <c r="G4174" s="13"/>
    </row>
    <row r="4175" spans="1:7" hidden="1" x14ac:dyDescent="0.75">
      <c r="A4175" s="51">
        <v>44935</v>
      </c>
      <c r="B4175" s="52">
        <v>968</v>
      </c>
      <c r="C4175" s="8" t="s">
        <v>4559</v>
      </c>
      <c r="D4175" s="8" t="s">
        <v>258</v>
      </c>
      <c r="E4175" s="52">
        <v>58</v>
      </c>
      <c r="F4175" s="13"/>
      <c r="G4175" s="13">
        <v>19.260000000000002</v>
      </c>
    </row>
    <row r="4176" spans="1:7" hidden="1" x14ac:dyDescent="0.75">
      <c r="A4176" s="51">
        <v>44935</v>
      </c>
      <c r="B4176" s="52">
        <v>968</v>
      </c>
      <c r="C4176" s="8" t="s">
        <v>4578</v>
      </c>
      <c r="D4176" s="8" t="s">
        <v>258</v>
      </c>
      <c r="E4176" s="52">
        <v>1316</v>
      </c>
      <c r="F4176" s="13"/>
      <c r="G4176" s="13">
        <v>110.74</v>
      </c>
    </row>
    <row r="4177" spans="1:7" hidden="1" x14ac:dyDescent="0.75">
      <c r="A4177" s="51">
        <v>44935</v>
      </c>
      <c r="B4177" s="52">
        <v>968</v>
      </c>
      <c r="C4177" s="8" t="s">
        <v>1390</v>
      </c>
      <c r="D4177" s="8" t="s">
        <v>258</v>
      </c>
      <c r="E4177" s="52">
        <v>5</v>
      </c>
      <c r="F4177" s="13">
        <v>130</v>
      </c>
      <c r="G4177" s="13"/>
    </row>
    <row r="4178" spans="1:7" hidden="1" x14ac:dyDescent="0.75">
      <c r="A4178" s="51">
        <v>44928</v>
      </c>
      <c r="B4178" s="52">
        <v>948</v>
      </c>
      <c r="C4178" s="8" t="s">
        <v>1519</v>
      </c>
      <c r="D4178" s="8" t="s">
        <v>259</v>
      </c>
      <c r="E4178" s="52">
        <v>8</v>
      </c>
      <c r="F4178" s="13">
        <v>3465.53</v>
      </c>
      <c r="G4178" s="13"/>
    </row>
    <row r="4179" spans="1:7" hidden="1" x14ac:dyDescent="0.75">
      <c r="A4179" s="51">
        <v>44930</v>
      </c>
      <c r="B4179" s="52">
        <v>948</v>
      </c>
      <c r="C4179" s="8" t="s">
        <v>4579</v>
      </c>
      <c r="D4179" s="8" t="s">
        <v>259</v>
      </c>
      <c r="E4179" s="52">
        <v>312</v>
      </c>
      <c r="F4179" s="13"/>
      <c r="G4179" s="13">
        <v>1622.1</v>
      </c>
    </row>
    <row r="4180" spans="1:7" hidden="1" x14ac:dyDescent="0.75">
      <c r="A4180" s="51">
        <v>44932</v>
      </c>
      <c r="B4180" s="52">
        <v>948</v>
      </c>
      <c r="C4180" s="8" t="s">
        <v>1568</v>
      </c>
      <c r="D4180" s="8" t="s">
        <v>259</v>
      </c>
      <c r="E4180" s="52">
        <v>8</v>
      </c>
      <c r="F4180" s="13">
        <v>1622.1</v>
      </c>
      <c r="G4180" s="13"/>
    </row>
    <row r="4181" spans="1:7" hidden="1" x14ac:dyDescent="0.75">
      <c r="A4181" s="51">
        <v>44936</v>
      </c>
      <c r="B4181" s="52">
        <v>948</v>
      </c>
      <c r="C4181" s="8" t="s">
        <v>4580</v>
      </c>
      <c r="D4181" s="8" t="s">
        <v>259</v>
      </c>
      <c r="E4181" s="52">
        <v>312</v>
      </c>
      <c r="F4181" s="13"/>
      <c r="G4181" s="13">
        <v>1504.82</v>
      </c>
    </row>
    <row r="4182" spans="1:7" hidden="1" x14ac:dyDescent="0.75">
      <c r="A4182" s="51">
        <v>44939</v>
      </c>
      <c r="B4182" s="52">
        <v>948</v>
      </c>
      <c r="C4182" s="8" t="s">
        <v>1673</v>
      </c>
      <c r="D4182" s="8" t="s">
        <v>259</v>
      </c>
      <c r="E4182" s="52">
        <v>8</v>
      </c>
      <c r="F4182" s="13">
        <v>1504.82</v>
      </c>
      <c r="G4182" s="13"/>
    </row>
    <row r="4183" spans="1:7" hidden="1" x14ac:dyDescent="0.75">
      <c r="A4183" s="51">
        <v>44943</v>
      </c>
      <c r="B4183" s="52">
        <v>948</v>
      </c>
      <c r="C4183" s="8" t="s">
        <v>4581</v>
      </c>
      <c r="D4183" s="8" t="s">
        <v>259</v>
      </c>
      <c r="E4183" s="52">
        <v>312</v>
      </c>
      <c r="F4183" s="13"/>
      <c r="G4183" s="13">
        <v>1323.72</v>
      </c>
    </row>
    <row r="4184" spans="1:7" hidden="1" x14ac:dyDescent="0.75">
      <c r="A4184" s="51">
        <v>44943</v>
      </c>
      <c r="B4184" s="52">
        <v>948</v>
      </c>
      <c r="C4184" s="8" t="s">
        <v>4582</v>
      </c>
      <c r="D4184" s="8" t="s">
        <v>259</v>
      </c>
      <c r="E4184" s="52">
        <v>312</v>
      </c>
      <c r="F4184" s="13"/>
      <c r="G4184" s="13">
        <v>1663.27</v>
      </c>
    </row>
    <row r="4185" spans="1:7" hidden="1" x14ac:dyDescent="0.75">
      <c r="A4185" s="51">
        <v>44946</v>
      </c>
      <c r="B4185" s="52">
        <v>948</v>
      </c>
      <c r="C4185" s="8" t="s">
        <v>1726</v>
      </c>
      <c r="D4185" s="8" t="s">
        <v>259</v>
      </c>
      <c r="E4185" s="52">
        <v>8</v>
      </c>
      <c r="F4185" s="13">
        <v>1323.72</v>
      </c>
      <c r="G4185" s="13"/>
    </row>
    <row r="4186" spans="1:7" hidden="1" x14ac:dyDescent="0.75">
      <c r="A4186" s="51">
        <v>44946</v>
      </c>
      <c r="B4186" s="52">
        <v>948</v>
      </c>
      <c r="C4186" s="8" t="s">
        <v>1727</v>
      </c>
      <c r="D4186" s="8" t="s">
        <v>259</v>
      </c>
      <c r="E4186" s="52">
        <v>8</v>
      </c>
      <c r="F4186" s="13">
        <v>1663.27</v>
      </c>
      <c r="G4186" s="13"/>
    </row>
    <row r="4187" spans="1:7" hidden="1" x14ac:dyDescent="0.75">
      <c r="A4187" s="51">
        <v>44951</v>
      </c>
      <c r="B4187" s="52">
        <v>948</v>
      </c>
      <c r="C4187" s="8" t="s">
        <v>4583</v>
      </c>
      <c r="D4187" s="8" t="s">
        <v>259</v>
      </c>
      <c r="E4187" s="52">
        <v>312</v>
      </c>
      <c r="F4187" s="13"/>
      <c r="G4187" s="13">
        <v>1491.49</v>
      </c>
    </row>
    <row r="4188" spans="1:7" hidden="1" x14ac:dyDescent="0.75">
      <c r="A4188" s="51">
        <v>44953</v>
      </c>
      <c r="B4188" s="52">
        <v>948</v>
      </c>
      <c r="C4188" s="8" t="s">
        <v>1815</v>
      </c>
      <c r="D4188" s="8" t="s">
        <v>259</v>
      </c>
      <c r="E4188" s="52">
        <v>8</v>
      </c>
      <c r="F4188" s="13">
        <v>1491.49</v>
      </c>
      <c r="G4188" s="13"/>
    </row>
    <row r="4189" spans="1:7" hidden="1" x14ac:dyDescent="0.75">
      <c r="A4189" s="51">
        <v>44957</v>
      </c>
      <c r="B4189" s="52">
        <v>948</v>
      </c>
      <c r="C4189" s="8" t="s">
        <v>4584</v>
      </c>
      <c r="D4189" s="8" t="s">
        <v>259</v>
      </c>
      <c r="E4189" s="52">
        <v>312</v>
      </c>
      <c r="F4189" s="13"/>
      <c r="G4189" s="13">
        <v>2198.25</v>
      </c>
    </row>
    <row r="4190" spans="1:7" hidden="1" x14ac:dyDescent="0.75">
      <c r="A4190" s="51">
        <v>44928</v>
      </c>
      <c r="B4190" s="52">
        <v>1029</v>
      </c>
      <c r="C4190" s="8" t="s">
        <v>1512</v>
      </c>
      <c r="D4190" s="8" t="s">
        <v>834</v>
      </c>
      <c r="E4190" s="52">
        <v>8</v>
      </c>
      <c r="F4190" s="13">
        <v>1868.86</v>
      </c>
      <c r="G4190" s="13"/>
    </row>
    <row r="4191" spans="1:7" hidden="1" x14ac:dyDescent="0.75">
      <c r="A4191" s="51">
        <v>44929</v>
      </c>
      <c r="B4191" s="52">
        <v>694</v>
      </c>
      <c r="C4191" s="8" t="s">
        <v>3762</v>
      </c>
      <c r="D4191" s="8" t="s">
        <v>261</v>
      </c>
      <c r="E4191" s="52">
        <v>55</v>
      </c>
      <c r="F4191" s="13"/>
      <c r="G4191" s="13">
        <v>543.4</v>
      </c>
    </row>
    <row r="4192" spans="1:7" hidden="1" x14ac:dyDescent="0.75">
      <c r="A4192" s="51">
        <v>44930</v>
      </c>
      <c r="B4192" s="52">
        <v>694</v>
      </c>
      <c r="C4192" s="8" t="s">
        <v>3784</v>
      </c>
      <c r="D4192" s="8" t="s">
        <v>261</v>
      </c>
      <c r="E4192" s="52">
        <v>55</v>
      </c>
      <c r="F4192" s="13"/>
      <c r="G4192" s="13">
        <v>240</v>
      </c>
    </row>
    <row r="4193" spans="1:7" hidden="1" x14ac:dyDescent="0.75">
      <c r="A4193" s="51">
        <v>44931</v>
      </c>
      <c r="B4193" s="52">
        <v>694</v>
      </c>
      <c r="C4193" s="8" t="s">
        <v>3819</v>
      </c>
      <c r="D4193" s="8" t="s">
        <v>261</v>
      </c>
      <c r="E4193" s="52">
        <v>55</v>
      </c>
      <c r="F4193" s="13"/>
      <c r="G4193" s="13">
        <v>579.6</v>
      </c>
    </row>
    <row r="4194" spans="1:7" hidden="1" x14ac:dyDescent="0.75">
      <c r="A4194" s="51">
        <v>44932</v>
      </c>
      <c r="B4194" s="52">
        <v>694</v>
      </c>
      <c r="C4194" s="8" t="s">
        <v>3847</v>
      </c>
      <c r="D4194" s="8" t="s">
        <v>261</v>
      </c>
      <c r="E4194" s="52">
        <v>55</v>
      </c>
      <c r="F4194" s="13"/>
      <c r="G4194" s="13">
        <v>904.6</v>
      </c>
    </row>
    <row r="4195" spans="1:7" hidden="1" x14ac:dyDescent="0.75">
      <c r="A4195" s="51">
        <v>44933</v>
      </c>
      <c r="B4195" s="52">
        <v>694</v>
      </c>
      <c r="C4195" s="8" t="s">
        <v>3878</v>
      </c>
      <c r="D4195" s="8" t="s">
        <v>261</v>
      </c>
      <c r="E4195" s="52">
        <v>55</v>
      </c>
      <c r="F4195" s="13"/>
      <c r="G4195" s="13">
        <v>180.8</v>
      </c>
    </row>
    <row r="4196" spans="1:7" hidden="1" x14ac:dyDescent="0.75">
      <c r="A4196" s="51">
        <v>44936</v>
      </c>
      <c r="B4196" s="52">
        <v>694</v>
      </c>
      <c r="C4196" s="8" t="s">
        <v>3963</v>
      </c>
      <c r="D4196" s="8" t="s">
        <v>261</v>
      </c>
      <c r="E4196" s="52">
        <v>55</v>
      </c>
      <c r="F4196" s="13"/>
      <c r="G4196" s="13">
        <v>409.5</v>
      </c>
    </row>
    <row r="4197" spans="1:7" hidden="1" x14ac:dyDescent="0.75">
      <c r="A4197" s="51">
        <v>44936</v>
      </c>
      <c r="B4197" s="52">
        <v>694</v>
      </c>
      <c r="C4197" s="8" t="s">
        <v>1632</v>
      </c>
      <c r="D4197" s="8" t="s">
        <v>261</v>
      </c>
      <c r="E4197" s="52">
        <v>8</v>
      </c>
      <c r="F4197" s="13">
        <v>1432.2</v>
      </c>
      <c r="G4197" s="13"/>
    </row>
    <row r="4198" spans="1:7" hidden="1" x14ac:dyDescent="0.75">
      <c r="A4198" s="51">
        <v>44936</v>
      </c>
      <c r="B4198" s="52">
        <v>694</v>
      </c>
      <c r="C4198" s="8" t="s">
        <v>1632</v>
      </c>
      <c r="D4198" s="8" t="s">
        <v>261</v>
      </c>
      <c r="E4198" s="52">
        <v>8</v>
      </c>
      <c r="F4198" s="13">
        <v>1533.6</v>
      </c>
      <c r="G4198" s="13"/>
    </row>
    <row r="4199" spans="1:7" hidden="1" x14ac:dyDescent="0.75">
      <c r="A4199" s="51">
        <v>44938</v>
      </c>
      <c r="B4199" s="52">
        <v>694</v>
      </c>
      <c r="C4199" s="8" t="s">
        <v>4020</v>
      </c>
      <c r="D4199" s="8" t="s">
        <v>261</v>
      </c>
      <c r="E4199" s="52">
        <v>55</v>
      </c>
      <c r="F4199" s="13"/>
      <c r="G4199" s="13">
        <v>390</v>
      </c>
    </row>
    <row r="4200" spans="1:7" hidden="1" x14ac:dyDescent="0.75">
      <c r="A4200" s="51">
        <v>44939</v>
      </c>
      <c r="B4200" s="52">
        <v>694</v>
      </c>
      <c r="C4200" s="8" t="s">
        <v>4049</v>
      </c>
      <c r="D4200" s="8" t="s">
        <v>261</v>
      </c>
      <c r="E4200" s="52">
        <v>55</v>
      </c>
      <c r="F4200" s="13"/>
      <c r="G4200" s="13">
        <v>100.9</v>
      </c>
    </row>
    <row r="4201" spans="1:7" hidden="1" x14ac:dyDescent="0.75">
      <c r="A4201" s="51">
        <v>44939</v>
      </c>
      <c r="B4201" s="52">
        <v>694</v>
      </c>
      <c r="C4201" s="8" t="s">
        <v>4052</v>
      </c>
      <c r="D4201" s="8" t="s">
        <v>261</v>
      </c>
      <c r="E4201" s="52">
        <v>55</v>
      </c>
      <c r="F4201" s="13"/>
      <c r="G4201" s="13">
        <v>210</v>
      </c>
    </row>
    <row r="4202" spans="1:7" hidden="1" x14ac:dyDescent="0.75">
      <c r="A4202" s="51">
        <v>44940</v>
      </c>
      <c r="B4202" s="52">
        <v>694</v>
      </c>
      <c r="C4202" s="8" t="s">
        <v>4082</v>
      </c>
      <c r="D4202" s="8" t="s">
        <v>261</v>
      </c>
      <c r="E4202" s="52">
        <v>55</v>
      </c>
      <c r="F4202" s="13"/>
      <c r="G4202" s="13">
        <v>117</v>
      </c>
    </row>
    <row r="4203" spans="1:7" hidden="1" x14ac:dyDescent="0.75">
      <c r="A4203" s="51">
        <v>44943</v>
      </c>
      <c r="B4203" s="52">
        <v>694</v>
      </c>
      <c r="C4203" s="8" t="s">
        <v>4144</v>
      </c>
      <c r="D4203" s="8" t="s">
        <v>261</v>
      </c>
      <c r="E4203" s="52">
        <v>55</v>
      </c>
      <c r="F4203" s="13"/>
      <c r="G4203" s="13">
        <v>307.39999999999998</v>
      </c>
    </row>
    <row r="4204" spans="1:7" hidden="1" x14ac:dyDescent="0.75">
      <c r="A4204" s="51">
        <v>44944</v>
      </c>
      <c r="B4204" s="52">
        <v>694</v>
      </c>
      <c r="C4204" s="8" t="s">
        <v>4169</v>
      </c>
      <c r="D4204" s="8" t="s">
        <v>261</v>
      </c>
      <c r="E4204" s="52">
        <v>55</v>
      </c>
      <c r="F4204" s="13"/>
      <c r="G4204" s="13">
        <v>75.599999999999994</v>
      </c>
    </row>
    <row r="4205" spans="1:7" hidden="1" x14ac:dyDescent="0.75">
      <c r="A4205" s="51">
        <v>44945</v>
      </c>
      <c r="B4205" s="52">
        <v>694</v>
      </c>
      <c r="C4205" s="8" t="s">
        <v>4196</v>
      </c>
      <c r="D4205" s="8" t="s">
        <v>261</v>
      </c>
      <c r="E4205" s="52">
        <v>55</v>
      </c>
      <c r="F4205" s="13"/>
      <c r="G4205" s="13">
        <v>357.8</v>
      </c>
    </row>
    <row r="4206" spans="1:7" hidden="1" x14ac:dyDescent="0.75">
      <c r="A4206" s="51">
        <v>44946</v>
      </c>
      <c r="B4206" s="52">
        <v>694</v>
      </c>
      <c r="C4206" s="8" t="s">
        <v>4233</v>
      </c>
      <c r="D4206" s="8" t="s">
        <v>261</v>
      </c>
      <c r="E4206" s="52">
        <v>55</v>
      </c>
      <c r="F4206" s="13"/>
      <c r="G4206" s="13">
        <v>599.6</v>
      </c>
    </row>
    <row r="4207" spans="1:7" hidden="1" x14ac:dyDescent="0.75">
      <c r="A4207" s="51">
        <v>44946</v>
      </c>
      <c r="B4207" s="52">
        <v>694</v>
      </c>
      <c r="C4207" s="8" t="s">
        <v>1632</v>
      </c>
      <c r="D4207" s="8" t="s">
        <v>261</v>
      </c>
      <c r="E4207" s="52">
        <v>8</v>
      </c>
      <c r="F4207" s="13">
        <v>1151.4000000000001</v>
      </c>
      <c r="G4207" s="13"/>
    </row>
    <row r="4208" spans="1:7" hidden="1" x14ac:dyDescent="0.75">
      <c r="A4208" s="51">
        <v>44947</v>
      </c>
      <c r="B4208" s="52">
        <v>694</v>
      </c>
      <c r="C4208" s="8" t="s">
        <v>4259</v>
      </c>
      <c r="D4208" s="8" t="s">
        <v>261</v>
      </c>
      <c r="E4208" s="52">
        <v>55</v>
      </c>
      <c r="F4208" s="13"/>
      <c r="G4208" s="13">
        <v>252</v>
      </c>
    </row>
    <row r="4209" spans="1:7" hidden="1" x14ac:dyDescent="0.75">
      <c r="A4209" s="51">
        <v>44949</v>
      </c>
      <c r="B4209" s="52">
        <v>694</v>
      </c>
      <c r="C4209" s="8" t="s">
        <v>4290</v>
      </c>
      <c r="D4209" s="8" t="s">
        <v>261</v>
      </c>
      <c r="E4209" s="52">
        <v>55</v>
      </c>
      <c r="F4209" s="13"/>
      <c r="G4209" s="13">
        <v>60</v>
      </c>
    </row>
    <row r="4210" spans="1:7" hidden="1" x14ac:dyDescent="0.75">
      <c r="A4210" s="51">
        <v>44950</v>
      </c>
      <c r="B4210" s="52">
        <v>694</v>
      </c>
      <c r="C4210" s="8" t="s">
        <v>4325</v>
      </c>
      <c r="D4210" s="8" t="s">
        <v>261</v>
      </c>
      <c r="E4210" s="52">
        <v>55</v>
      </c>
      <c r="F4210" s="13"/>
      <c r="G4210" s="13">
        <v>486.4</v>
      </c>
    </row>
    <row r="4211" spans="1:7" hidden="1" x14ac:dyDescent="0.75">
      <c r="A4211" s="51">
        <v>44951</v>
      </c>
      <c r="B4211" s="52">
        <v>694</v>
      </c>
      <c r="C4211" s="8" t="s">
        <v>4357</v>
      </c>
      <c r="D4211" s="8" t="s">
        <v>261</v>
      </c>
      <c r="E4211" s="52">
        <v>55</v>
      </c>
      <c r="F4211" s="13"/>
      <c r="G4211" s="13">
        <v>89.6</v>
      </c>
    </row>
    <row r="4212" spans="1:7" hidden="1" x14ac:dyDescent="0.75">
      <c r="A4212" s="51">
        <v>44952</v>
      </c>
      <c r="B4212" s="52">
        <v>694</v>
      </c>
      <c r="C4212" s="8" t="s">
        <v>4389</v>
      </c>
      <c r="D4212" s="8" t="s">
        <v>261</v>
      </c>
      <c r="E4212" s="52">
        <v>55</v>
      </c>
      <c r="F4212" s="13"/>
      <c r="G4212" s="13">
        <v>439.4</v>
      </c>
    </row>
    <row r="4213" spans="1:7" hidden="1" x14ac:dyDescent="0.75">
      <c r="A4213" s="51">
        <v>44953</v>
      </c>
      <c r="B4213" s="52">
        <v>694</v>
      </c>
      <c r="C4213" s="8" t="s">
        <v>4419</v>
      </c>
      <c r="D4213" s="8" t="s">
        <v>261</v>
      </c>
      <c r="E4213" s="52">
        <v>55</v>
      </c>
      <c r="F4213" s="13"/>
      <c r="G4213" s="13">
        <v>166</v>
      </c>
    </row>
    <row r="4214" spans="1:7" hidden="1" x14ac:dyDescent="0.75">
      <c r="A4214" s="51">
        <v>44954</v>
      </c>
      <c r="B4214" s="52">
        <v>694</v>
      </c>
      <c r="C4214" s="8" t="s">
        <v>4456</v>
      </c>
      <c r="D4214" s="8" t="s">
        <v>261</v>
      </c>
      <c r="E4214" s="52">
        <v>55</v>
      </c>
      <c r="F4214" s="13"/>
      <c r="G4214" s="13">
        <v>180</v>
      </c>
    </row>
    <row r="4215" spans="1:7" hidden="1" x14ac:dyDescent="0.75">
      <c r="A4215" s="51">
        <v>44956</v>
      </c>
      <c r="B4215" s="52">
        <v>694</v>
      </c>
      <c r="C4215" s="8" t="s">
        <v>4489</v>
      </c>
      <c r="D4215" s="8" t="s">
        <v>261</v>
      </c>
      <c r="E4215" s="52">
        <v>55</v>
      </c>
      <c r="F4215" s="13"/>
      <c r="G4215" s="13">
        <v>180</v>
      </c>
    </row>
    <row r="4216" spans="1:7" hidden="1" x14ac:dyDescent="0.75">
      <c r="A4216" s="51">
        <v>44956</v>
      </c>
      <c r="B4216" s="52">
        <v>694</v>
      </c>
      <c r="C4216" s="8" t="s">
        <v>1632</v>
      </c>
      <c r="D4216" s="8" t="s">
        <v>261</v>
      </c>
      <c r="E4216" s="52">
        <v>8</v>
      </c>
      <c r="F4216" s="13">
        <v>1805.6</v>
      </c>
      <c r="G4216" s="13"/>
    </row>
    <row r="4217" spans="1:7" hidden="1" x14ac:dyDescent="0.75">
      <c r="A4217" s="51">
        <v>44956</v>
      </c>
      <c r="B4217" s="52">
        <v>694</v>
      </c>
      <c r="C4217" s="8" t="s">
        <v>1632</v>
      </c>
      <c r="D4217" s="8" t="s">
        <v>261</v>
      </c>
      <c r="E4217" s="52">
        <v>8</v>
      </c>
      <c r="F4217" s="13">
        <v>1308.8</v>
      </c>
      <c r="G4217" s="13"/>
    </row>
    <row r="4218" spans="1:7" hidden="1" x14ac:dyDescent="0.75">
      <c r="A4218" s="51">
        <v>44957</v>
      </c>
      <c r="B4218" s="52">
        <v>694</v>
      </c>
      <c r="C4218" s="8" t="s">
        <v>4520</v>
      </c>
      <c r="D4218" s="8" t="s">
        <v>261</v>
      </c>
      <c r="E4218" s="52">
        <v>55</v>
      </c>
      <c r="F4218" s="13"/>
      <c r="G4218" s="13">
        <v>360.6</v>
      </c>
    </row>
    <row r="4219" spans="1:7" hidden="1" x14ac:dyDescent="0.75">
      <c r="A4219" s="51">
        <v>44928</v>
      </c>
      <c r="B4219" s="52">
        <v>753</v>
      </c>
      <c r="C4219" s="8" t="s">
        <v>3734</v>
      </c>
      <c r="D4219" s="8" t="s">
        <v>262</v>
      </c>
      <c r="E4219" s="52">
        <v>55</v>
      </c>
      <c r="F4219" s="13"/>
      <c r="G4219" s="13">
        <v>5171.25</v>
      </c>
    </row>
    <row r="4220" spans="1:7" hidden="1" x14ac:dyDescent="0.75">
      <c r="A4220" s="51">
        <v>44928</v>
      </c>
      <c r="B4220" s="52">
        <v>753</v>
      </c>
      <c r="C4220" s="8" t="s">
        <v>1511</v>
      </c>
      <c r="D4220" s="8" t="s">
        <v>262</v>
      </c>
      <c r="E4220" s="52">
        <v>8</v>
      </c>
      <c r="F4220" s="13">
        <v>2219.29</v>
      </c>
      <c r="G4220" s="13"/>
    </row>
    <row r="4221" spans="1:7" hidden="1" x14ac:dyDescent="0.75">
      <c r="A4221" s="51">
        <v>44935</v>
      </c>
      <c r="B4221" s="52">
        <v>753</v>
      </c>
      <c r="C4221" s="8" t="s">
        <v>1511</v>
      </c>
      <c r="D4221" s="8" t="s">
        <v>262</v>
      </c>
      <c r="E4221" s="52">
        <v>8</v>
      </c>
      <c r="F4221" s="13">
        <v>2219.29</v>
      </c>
      <c r="G4221" s="13"/>
    </row>
    <row r="4222" spans="1:7" hidden="1" x14ac:dyDescent="0.75">
      <c r="A4222" s="51">
        <v>44956</v>
      </c>
      <c r="B4222" s="52">
        <v>753</v>
      </c>
      <c r="C4222" s="8" t="s">
        <v>4494</v>
      </c>
      <c r="D4222" s="8" t="s">
        <v>262</v>
      </c>
      <c r="E4222" s="52">
        <v>55</v>
      </c>
      <c r="F4222" s="13"/>
      <c r="G4222" s="13">
        <v>5288.5</v>
      </c>
    </row>
    <row r="4223" spans="1:7" hidden="1" x14ac:dyDescent="0.75">
      <c r="A4223" s="51">
        <v>44956</v>
      </c>
      <c r="B4223" s="52">
        <v>753</v>
      </c>
      <c r="C4223" s="8" t="s">
        <v>1838</v>
      </c>
      <c r="D4223" s="8" t="s">
        <v>262</v>
      </c>
      <c r="E4223" s="52">
        <v>8</v>
      </c>
      <c r="F4223" s="13">
        <v>1723.75</v>
      </c>
      <c r="G4223" s="13"/>
    </row>
    <row r="4224" spans="1:7" hidden="1" x14ac:dyDescent="0.75">
      <c r="A4224" s="51">
        <v>44928</v>
      </c>
      <c r="B4224" s="52">
        <v>811</v>
      </c>
      <c r="C4224" s="8" t="s">
        <v>4585</v>
      </c>
      <c r="D4224" s="8" t="s">
        <v>264</v>
      </c>
      <c r="E4224" s="52">
        <v>1474</v>
      </c>
      <c r="F4224" s="13">
        <v>159.31</v>
      </c>
      <c r="G4224" s="13"/>
    </row>
    <row r="4225" spans="1:7" hidden="1" x14ac:dyDescent="0.75">
      <c r="A4225" s="51">
        <v>44928</v>
      </c>
      <c r="B4225" s="52">
        <v>811</v>
      </c>
      <c r="C4225" s="8" t="s">
        <v>4586</v>
      </c>
      <c r="D4225" s="8" t="s">
        <v>264</v>
      </c>
      <c r="E4225" s="52">
        <v>1474</v>
      </c>
      <c r="F4225" s="13">
        <v>209.65</v>
      </c>
      <c r="G4225" s="13"/>
    </row>
    <row r="4226" spans="1:7" hidden="1" x14ac:dyDescent="0.75">
      <c r="A4226" s="51">
        <v>44931</v>
      </c>
      <c r="B4226" s="52">
        <v>787</v>
      </c>
      <c r="C4226" s="8" t="s">
        <v>1559</v>
      </c>
      <c r="D4226" s="8" t="s">
        <v>265</v>
      </c>
      <c r="E4226" s="52">
        <v>8</v>
      </c>
      <c r="F4226" s="13">
        <v>9568.3700000000008</v>
      </c>
      <c r="G4226" s="13"/>
    </row>
    <row r="4227" spans="1:7" hidden="1" x14ac:dyDescent="0.75">
      <c r="A4227" s="51">
        <v>44932</v>
      </c>
      <c r="B4227" s="52">
        <v>787</v>
      </c>
      <c r="C4227" s="8" t="s">
        <v>4587</v>
      </c>
      <c r="D4227" s="8" t="s">
        <v>265</v>
      </c>
      <c r="E4227" s="52"/>
      <c r="F4227" s="13"/>
      <c r="G4227" s="13">
        <v>501.84</v>
      </c>
    </row>
    <row r="4228" spans="1:7" hidden="1" x14ac:dyDescent="0.75">
      <c r="A4228" s="51">
        <v>44943</v>
      </c>
      <c r="B4228" s="52">
        <v>787</v>
      </c>
      <c r="C4228" s="8" t="s">
        <v>4588</v>
      </c>
      <c r="D4228" s="8" t="s">
        <v>265</v>
      </c>
      <c r="E4228" s="52"/>
      <c r="F4228" s="13"/>
      <c r="G4228" s="13">
        <v>11125.15</v>
      </c>
    </row>
    <row r="4229" spans="1:7" hidden="1" x14ac:dyDescent="0.75">
      <c r="A4229" s="51">
        <v>44951</v>
      </c>
      <c r="B4229" s="52">
        <v>787</v>
      </c>
      <c r="C4229" s="8" t="s">
        <v>1793</v>
      </c>
      <c r="D4229" s="8" t="s">
        <v>265</v>
      </c>
      <c r="E4229" s="52">
        <v>8</v>
      </c>
      <c r="F4229" s="13">
        <v>501.84</v>
      </c>
      <c r="G4229" s="13"/>
    </row>
    <row r="4230" spans="1:7" hidden="1" x14ac:dyDescent="0.75">
      <c r="A4230" s="51">
        <v>44935</v>
      </c>
      <c r="B4230" s="52">
        <v>744</v>
      </c>
      <c r="C4230" s="8" t="s">
        <v>4589</v>
      </c>
      <c r="D4230" s="8" t="s">
        <v>836</v>
      </c>
      <c r="E4230" s="52">
        <v>1316</v>
      </c>
      <c r="F4230" s="13"/>
      <c r="G4230" s="13">
        <v>2620</v>
      </c>
    </row>
    <row r="4231" spans="1:7" hidden="1" x14ac:dyDescent="0.75">
      <c r="A4231" s="51">
        <v>44951</v>
      </c>
      <c r="B4231" s="52">
        <v>744</v>
      </c>
      <c r="C4231" s="8" t="s">
        <v>1791</v>
      </c>
      <c r="D4231" s="8" t="s">
        <v>836</v>
      </c>
      <c r="E4231" s="52">
        <v>8</v>
      </c>
      <c r="F4231" s="13">
        <v>2620</v>
      </c>
      <c r="G4231" s="13"/>
    </row>
    <row r="4232" spans="1:7" hidden="1" x14ac:dyDescent="0.75">
      <c r="A4232" s="51">
        <v>44928</v>
      </c>
      <c r="B4232" s="52">
        <v>697</v>
      </c>
      <c r="C4232" s="8" t="s">
        <v>3723</v>
      </c>
      <c r="D4232" s="8" t="s">
        <v>266</v>
      </c>
      <c r="E4232" s="52">
        <v>55</v>
      </c>
      <c r="F4232" s="13"/>
      <c r="G4232" s="13">
        <v>795</v>
      </c>
    </row>
    <row r="4233" spans="1:7" hidden="1" x14ac:dyDescent="0.75">
      <c r="A4233" s="51">
        <v>44930</v>
      </c>
      <c r="B4233" s="52">
        <v>697</v>
      </c>
      <c r="C4233" s="8" t="s">
        <v>3799</v>
      </c>
      <c r="D4233" s="8" t="s">
        <v>266</v>
      </c>
      <c r="E4233" s="52">
        <v>55</v>
      </c>
      <c r="F4233" s="13"/>
      <c r="G4233" s="13">
        <v>1400</v>
      </c>
    </row>
    <row r="4234" spans="1:7" hidden="1" x14ac:dyDescent="0.75">
      <c r="A4234" s="51">
        <v>44930</v>
      </c>
      <c r="B4234" s="52">
        <v>697</v>
      </c>
      <c r="C4234" s="8" t="s">
        <v>3807</v>
      </c>
      <c r="D4234" s="8" t="s">
        <v>266</v>
      </c>
      <c r="E4234" s="52">
        <v>55</v>
      </c>
      <c r="F4234" s="13">
        <v>16</v>
      </c>
      <c r="G4234" s="13"/>
    </row>
    <row r="4235" spans="1:7" hidden="1" x14ac:dyDescent="0.75">
      <c r="A4235" s="51">
        <v>44932</v>
      </c>
      <c r="B4235" s="52">
        <v>697</v>
      </c>
      <c r="C4235" s="8" t="s">
        <v>3857</v>
      </c>
      <c r="D4235" s="8" t="s">
        <v>266</v>
      </c>
      <c r="E4235" s="52">
        <v>55</v>
      </c>
      <c r="F4235" s="13"/>
      <c r="G4235" s="13">
        <v>725</v>
      </c>
    </row>
    <row r="4236" spans="1:7" hidden="1" x14ac:dyDescent="0.75">
      <c r="A4236" s="51">
        <v>44935</v>
      </c>
      <c r="B4236" s="52">
        <v>697</v>
      </c>
      <c r="C4236" s="8" t="s">
        <v>3934</v>
      </c>
      <c r="D4236" s="8" t="s">
        <v>266</v>
      </c>
      <c r="E4236" s="52">
        <v>55</v>
      </c>
      <c r="F4236" s="13"/>
      <c r="G4236" s="13">
        <v>1362.5</v>
      </c>
    </row>
    <row r="4237" spans="1:7" hidden="1" x14ac:dyDescent="0.75">
      <c r="A4237" s="51">
        <v>44936</v>
      </c>
      <c r="B4237" s="52">
        <v>697</v>
      </c>
      <c r="C4237" s="8" t="s">
        <v>1626</v>
      </c>
      <c r="D4237" s="8" t="s">
        <v>266</v>
      </c>
      <c r="E4237" s="52">
        <v>8</v>
      </c>
      <c r="F4237" s="13">
        <v>17185</v>
      </c>
      <c r="G4237" s="13"/>
    </row>
    <row r="4238" spans="1:7" hidden="1" x14ac:dyDescent="0.75">
      <c r="A4238" s="51">
        <v>44937</v>
      </c>
      <c r="B4238" s="52">
        <v>697</v>
      </c>
      <c r="C4238" s="8" t="s">
        <v>4001</v>
      </c>
      <c r="D4238" s="8" t="s">
        <v>266</v>
      </c>
      <c r="E4238" s="52">
        <v>55</v>
      </c>
      <c r="F4238" s="13"/>
      <c r="G4238" s="13">
        <v>367.5</v>
      </c>
    </row>
    <row r="4239" spans="1:7" hidden="1" x14ac:dyDescent="0.75">
      <c r="A4239" s="51">
        <v>44937</v>
      </c>
      <c r="B4239" s="52">
        <v>697</v>
      </c>
      <c r="C4239" s="8" t="s">
        <v>4002</v>
      </c>
      <c r="D4239" s="8" t="s">
        <v>266</v>
      </c>
      <c r="E4239" s="52">
        <v>55</v>
      </c>
      <c r="F4239" s="13"/>
      <c r="G4239" s="13">
        <v>1110</v>
      </c>
    </row>
    <row r="4240" spans="1:7" hidden="1" x14ac:dyDescent="0.75">
      <c r="A4240" s="51">
        <v>44937</v>
      </c>
      <c r="B4240" s="52">
        <v>697</v>
      </c>
      <c r="C4240" s="8" t="s">
        <v>4010</v>
      </c>
      <c r="D4240" s="8" t="s">
        <v>266</v>
      </c>
      <c r="E4240" s="52">
        <v>55</v>
      </c>
      <c r="F4240" s="13">
        <v>367.5</v>
      </c>
      <c r="G4240" s="13"/>
    </row>
    <row r="4241" spans="1:7" hidden="1" x14ac:dyDescent="0.75">
      <c r="A4241" s="51">
        <v>44939</v>
      </c>
      <c r="B4241" s="52">
        <v>697</v>
      </c>
      <c r="C4241" s="8" t="s">
        <v>4056</v>
      </c>
      <c r="D4241" s="8" t="s">
        <v>266</v>
      </c>
      <c r="E4241" s="52">
        <v>55</v>
      </c>
      <c r="F4241" s="13"/>
      <c r="G4241" s="13">
        <v>1250</v>
      </c>
    </row>
    <row r="4242" spans="1:7" hidden="1" x14ac:dyDescent="0.75">
      <c r="A4242" s="51">
        <v>44942</v>
      </c>
      <c r="B4242" s="52">
        <v>697</v>
      </c>
      <c r="C4242" s="8" t="s">
        <v>4123</v>
      </c>
      <c r="D4242" s="8" t="s">
        <v>266</v>
      </c>
      <c r="E4242" s="52">
        <v>55</v>
      </c>
      <c r="F4242" s="13"/>
      <c r="G4242" s="13">
        <v>1450</v>
      </c>
    </row>
    <row r="4243" spans="1:7" hidden="1" x14ac:dyDescent="0.75">
      <c r="A4243" s="51">
        <v>44944</v>
      </c>
      <c r="B4243" s="52">
        <v>697</v>
      </c>
      <c r="C4243" s="8" t="s">
        <v>4171</v>
      </c>
      <c r="D4243" s="8" t="s">
        <v>266</v>
      </c>
      <c r="E4243" s="52">
        <v>55</v>
      </c>
      <c r="F4243" s="13"/>
      <c r="G4243" s="13">
        <v>1200</v>
      </c>
    </row>
    <row r="4244" spans="1:7" hidden="1" x14ac:dyDescent="0.75">
      <c r="A4244" s="51">
        <v>44946</v>
      </c>
      <c r="B4244" s="52">
        <v>697</v>
      </c>
      <c r="C4244" s="8" t="s">
        <v>4237</v>
      </c>
      <c r="D4244" s="8" t="s">
        <v>266</v>
      </c>
      <c r="E4244" s="52">
        <v>55</v>
      </c>
      <c r="F4244" s="13"/>
      <c r="G4244" s="13">
        <v>850</v>
      </c>
    </row>
    <row r="4245" spans="1:7" hidden="1" x14ac:dyDescent="0.75">
      <c r="A4245" s="51">
        <v>44949</v>
      </c>
      <c r="B4245" s="52">
        <v>697</v>
      </c>
      <c r="C4245" s="8" t="s">
        <v>4301</v>
      </c>
      <c r="D4245" s="8" t="s">
        <v>266</v>
      </c>
      <c r="E4245" s="52">
        <v>55</v>
      </c>
      <c r="F4245" s="13"/>
      <c r="G4245" s="13">
        <v>795</v>
      </c>
    </row>
    <row r="4246" spans="1:7" hidden="1" x14ac:dyDescent="0.75">
      <c r="A4246" s="51">
        <v>44951</v>
      </c>
      <c r="B4246" s="52">
        <v>697</v>
      </c>
      <c r="C4246" s="8" t="s">
        <v>4368</v>
      </c>
      <c r="D4246" s="8" t="s">
        <v>266</v>
      </c>
      <c r="E4246" s="52">
        <v>55</v>
      </c>
      <c r="F4246" s="13"/>
      <c r="G4246" s="13">
        <v>860</v>
      </c>
    </row>
    <row r="4247" spans="1:7" hidden="1" x14ac:dyDescent="0.75">
      <c r="A4247" s="51">
        <v>44953</v>
      </c>
      <c r="B4247" s="52">
        <v>697</v>
      </c>
      <c r="C4247" s="8" t="s">
        <v>4431</v>
      </c>
      <c r="D4247" s="8" t="s">
        <v>266</v>
      </c>
      <c r="E4247" s="52">
        <v>55</v>
      </c>
      <c r="F4247" s="13"/>
      <c r="G4247" s="13">
        <v>655</v>
      </c>
    </row>
    <row r="4248" spans="1:7" hidden="1" x14ac:dyDescent="0.75">
      <c r="A4248" s="51">
        <v>44956</v>
      </c>
      <c r="B4248" s="52">
        <v>697</v>
      </c>
      <c r="C4248" s="8" t="s">
        <v>4496</v>
      </c>
      <c r="D4248" s="8" t="s">
        <v>266</v>
      </c>
      <c r="E4248" s="52">
        <v>55</v>
      </c>
      <c r="F4248" s="13"/>
      <c r="G4248" s="13">
        <v>1170</v>
      </c>
    </row>
    <row r="4249" spans="1:7" hidden="1" x14ac:dyDescent="0.75">
      <c r="A4249" s="51">
        <v>44956</v>
      </c>
      <c r="B4249" s="52">
        <v>697</v>
      </c>
      <c r="C4249" s="8" t="s">
        <v>4497</v>
      </c>
      <c r="D4249" s="8" t="s">
        <v>266</v>
      </c>
      <c r="E4249" s="52">
        <v>55</v>
      </c>
      <c r="F4249" s="13"/>
      <c r="G4249" s="13">
        <v>1170</v>
      </c>
    </row>
    <row r="4250" spans="1:7" hidden="1" x14ac:dyDescent="0.75">
      <c r="A4250" s="51">
        <v>44956</v>
      </c>
      <c r="B4250" s="52">
        <v>697</v>
      </c>
      <c r="C4250" s="8" t="s">
        <v>4504</v>
      </c>
      <c r="D4250" s="8" t="s">
        <v>266</v>
      </c>
      <c r="E4250" s="52">
        <v>55</v>
      </c>
      <c r="F4250" s="13">
        <v>1170</v>
      </c>
      <c r="G4250" s="13"/>
    </row>
    <row r="4251" spans="1:7" hidden="1" x14ac:dyDescent="0.75">
      <c r="A4251" s="51">
        <v>44935</v>
      </c>
      <c r="B4251" s="52">
        <v>908</v>
      </c>
      <c r="C4251" s="8" t="s">
        <v>1589</v>
      </c>
      <c r="D4251" s="8" t="s">
        <v>267</v>
      </c>
      <c r="E4251" s="52">
        <v>8</v>
      </c>
      <c r="F4251" s="13">
        <v>1274.6099999999999</v>
      </c>
      <c r="G4251" s="13"/>
    </row>
    <row r="4252" spans="1:7" hidden="1" x14ac:dyDescent="0.75">
      <c r="A4252" s="51">
        <v>44938</v>
      </c>
      <c r="B4252" s="52">
        <v>908</v>
      </c>
      <c r="C4252" s="8" t="s">
        <v>1654</v>
      </c>
      <c r="D4252" s="8" t="s">
        <v>267</v>
      </c>
      <c r="E4252" s="52">
        <v>8</v>
      </c>
      <c r="F4252" s="13">
        <v>833.7</v>
      </c>
      <c r="G4252" s="13"/>
    </row>
    <row r="4253" spans="1:7" hidden="1" x14ac:dyDescent="0.75">
      <c r="A4253" s="51">
        <v>44942</v>
      </c>
      <c r="B4253" s="52">
        <v>908</v>
      </c>
      <c r="C4253" s="8" t="s">
        <v>1691</v>
      </c>
      <c r="D4253" s="8" t="s">
        <v>267</v>
      </c>
      <c r="E4253" s="52">
        <v>8</v>
      </c>
      <c r="F4253" s="13">
        <v>1923.94</v>
      </c>
      <c r="G4253" s="13"/>
    </row>
    <row r="4254" spans="1:7" hidden="1" x14ac:dyDescent="0.75">
      <c r="A4254" s="51">
        <v>44949</v>
      </c>
      <c r="B4254" s="52">
        <v>908</v>
      </c>
      <c r="C4254" s="8" t="s">
        <v>1761</v>
      </c>
      <c r="D4254" s="8" t="s">
        <v>267</v>
      </c>
      <c r="E4254" s="52">
        <v>8</v>
      </c>
      <c r="F4254" s="13">
        <v>1541.82</v>
      </c>
      <c r="G4254" s="13"/>
    </row>
    <row r="4255" spans="1:7" hidden="1" x14ac:dyDescent="0.75">
      <c r="A4255" s="51">
        <v>44956</v>
      </c>
      <c r="B4255" s="52">
        <v>908</v>
      </c>
      <c r="C4255" s="8" t="s">
        <v>1837</v>
      </c>
      <c r="D4255" s="8" t="s">
        <v>267</v>
      </c>
      <c r="E4255" s="52">
        <v>8</v>
      </c>
      <c r="F4255" s="13">
        <v>1312.02</v>
      </c>
      <c r="G4255" s="13"/>
    </row>
    <row r="4256" spans="1:7" hidden="1" x14ac:dyDescent="0.75">
      <c r="A4256" s="51">
        <v>44957</v>
      </c>
      <c r="B4256" s="52">
        <v>908</v>
      </c>
      <c r="C4256" s="8" t="s">
        <v>4590</v>
      </c>
      <c r="D4256" s="8" t="s">
        <v>267</v>
      </c>
      <c r="E4256" s="52"/>
      <c r="F4256" s="13"/>
      <c r="G4256" s="13">
        <v>1356.42</v>
      </c>
    </row>
    <row r="4257" spans="1:7" hidden="1" x14ac:dyDescent="0.75">
      <c r="A4257" s="51">
        <v>44957</v>
      </c>
      <c r="B4257" s="52">
        <v>908</v>
      </c>
      <c r="C4257" s="8" t="s">
        <v>4591</v>
      </c>
      <c r="D4257" s="8" t="s">
        <v>267</v>
      </c>
      <c r="E4257" s="52"/>
      <c r="F4257" s="13"/>
      <c r="G4257" s="13">
        <v>1207.79</v>
      </c>
    </row>
    <row r="4258" spans="1:7" hidden="1" x14ac:dyDescent="0.75">
      <c r="A4258" s="51">
        <v>44957</v>
      </c>
      <c r="B4258" s="52">
        <v>908</v>
      </c>
      <c r="C4258" s="8" t="s">
        <v>4592</v>
      </c>
      <c r="D4258" s="8" t="s">
        <v>267</v>
      </c>
      <c r="E4258" s="52"/>
      <c r="F4258" s="13"/>
      <c r="G4258" s="13">
        <v>1198.57</v>
      </c>
    </row>
    <row r="4259" spans="1:7" hidden="1" x14ac:dyDescent="0.75">
      <c r="A4259" s="51">
        <v>44957</v>
      </c>
      <c r="B4259" s="52">
        <v>908</v>
      </c>
      <c r="C4259" s="8" t="s">
        <v>4593</v>
      </c>
      <c r="D4259" s="8" t="s">
        <v>267</v>
      </c>
      <c r="E4259" s="52"/>
      <c r="F4259" s="13"/>
      <c r="G4259" s="13">
        <v>2286.0300000000002</v>
      </c>
    </row>
    <row r="4260" spans="1:7" hidden="1" x14ac:dyDescent="0.75">
      <c r="A4260" s="51">
        <v>44957</v>
      </c>
      <c r="B4260" s="52">
        <v>908</v>
      </c>
      <c r="C4260" s="8" t="s">
        <v>4594</v>
      </c>
      <c r="D4260" s="8" t="s">
        <v>267</v>
      </c>
      <c r="E4260" s="52"/>
      <c r="F4260" s="13"/>
      <c r="G4260" s="13">
        <v>1777.38</v>
      </c>
    </row>
    <row r="4261" spans="1:7" hidden="1" x14ac:dyDescent="0.75">
      <c r="A4261" s="51">
        <v>44931</v>
      </c>
      <c r="B4261" s="52">
        <v>985</v>
      </c>
      <c r="C4261" s="8" t="s">
        <v>4595</v>
      </c>
      <c r="D4261" s="8" t="s">
        <v>269</v>
      </c>
      <c r="E4261" s="52">
        <v>312</v>
      </c>
      <c r="F4261" s="13"/>
      <c r="G4261" s="13">
        <v>11550</v>
      </c>
    </row>
    <row r="4262" spans="1:7" hidden="1" x14ac:dyDescent="0.75">
      <c r="A4262" s="51">
        <v>44936</v>
      </c>
      <c r="B4262" s="52">
        <v>985</v>
      </c>
      <c r="C4262" s="8" t="s">
        <v>1619</v>
      </c>
      <c r="D4262" s="8" t="s">
        <v>269</v>
      </c>
      <c r="E4262" s="52">
        <v>8</v>
      </c>
      <c r="F4262" s="13">
        <v>11350</v>
      </c>
      <c r="G4262" s="13"/>
    </row>
    <row r="4263" spans="1:7" hidden="1" x14ac:dyDescent="0.75">
      <c r="A4263" s="51">
        <v>44929</v>
      </c>
      <c r="B4263" s="52">
        <v>690</v>
      </c>
      <c r="C4263" s="8" t="s">
        <v>3759</v>
      </c>
      <c r="D4263" s="8" t="s">
        <v>270</v>
      </c>
      <c r="E4263" s="52">
        <v>55</v>
      </c>
      <c r="F4263" s="13"/>
      <c r="G4263" s="13">
        <v>1345</v>
      </c>
    </row>
    <row r="4264" spans="1:7" hidden="1" x14ac:dyDescent="0.75">
      <c r="A4264" s="51">
        <v>44929</v>
      </c>
      <c r="B4264" s="52">
        <v>690</v>
      </c>
      <c r="C4264" s="8" t="s">
        <v>1536</v>
      </c>
      <c r="D4264" s="8" t="s">
        <v>270</v>
      </c>
      <c r="E4264" s="52">
        <v>8</v>
      </c>
      <c r="F4264" s="13">
        <v>7639.75</v>
      </c>
      <c r="G4264" s="13"/>
    </row>
    <row r="4265" spans="1:7" hidden="1" x14ac:dyDescent="0.75">
      <c r="A4265" s="51">
        <v>44930</v>
      </c>
      <c r="B4265" s="52">
        <v>690</v>
      </c>
      <c r="C4265" s="8" t="s">
        <v>3794</v>
      </c>
      <c r="D4265" s="8" t="s">
        <v>270</v>
      </c>
      <c r="E4265" s="52">
        <v>55</v>
      </c>
      <c r="F4265" s="13"/>
      <c r="G4265" s="13">
        <v>889</v>
      </c>
    </row>
    <row r="4266" spans="1:7" hidden="1" x14ac:dyDescent="0.75">
      <c r="A4266" s="51">
        <v>44931</v>
      </c>
      <c r="B4266" s="52">
        <v>690</v>
      </c>
      <c r="C4266" s="8" t="s">
        <v>3815</v>
      </c>
      <c r="D4266" s="8" t="s">
        <v>270</v>
      </c>
      <c r="E4266" s="52">
        <v>55</v>
      </c>
      <c r="F4266" s="13"/>
      <c r="G4266" s="13">
        <v>1158.0999999999999</v>
      </c>
    </row>
    <row r="4267" spans="1:7" hidden="1" x14ac:dyDescent="0.75">
      <c r="A4267" s="51">
        <v>44932</v>
      </c>
      <c r="B4267" s="52">
        <v>690</v>
      </c>
      <c r="C4267" s="8" t="s">
        <v>3840</v>
      </c>
      <c r="D4267" s="8" t="s">
        <v>270</v>
      </c>
      <c r="E4267" s="52">
        <v>55</v>
      </c>
      <c r="F4267" s="13"/>
      <c r="G4267" s="13">
        <v>402.2</v>
      </c>
    </row>
    <row r="4268" spans="1:7" hidden="1" x14ac:dyDescent="0.75">
      <c r="A4268" s="51">
        <v>44933</v>
      </c>
      <c r="B4268" s="52">
        <v>690</v>
      </c>
      <c r="C4268" s="8" t="s">
        <v>3885</v>
      </c>
      <c r="D4268" s="8" t="s">
        <v>270</v>
      </c>
      <c r="E4268" s="52">
        <v>55</v>
      </c>
      <c r="F4268" s="13"/>
      <c r="G4268" s="13">
        <v>1762.7</v>
      </c>
    </row>
    <row r="4269" spans="1:7" hidden="1" x14ac:dyDescent="0.75">
      <c r="A4269" s="51">
        <v>44933</v>
      </c>
      <c r="B4269" s="52">
        <v>690</v>
      </c>
      <c r="C4269" s="8" t="s">
        <v>3892</v>
      </c>
      <c r="D4269" s="8" t="s">
        <v>270</v>
      </c>
      <c r="E4269" s="52">
        <v>55</v>
      </c>
      <c r="F4269" s="13"/>
      <c r="G4269" s="13">
        <v>345.5</v>
      </c>
    </row>
    <row r="4270" spans="1:7" hidden="1" x14ac:dyDescent="0.75">
      <c r="A4270" s="51">
        <v>44936</v>
      </c>
      <c r="B4270" s="52">
        <v>690</v>
      </c>
      <c r="C4270" s="8" t="s">
        <v>3952</v>
      </c>
      <c r="D4270" s="8" t="s">
        <v>270</v>
      </c>
      <c r="E4270" s="52">
        <v>55</v>
      </c>
      <c r="F4270" s="13"/>
      <c r="G4270" s="13">
        <v>979.1</v>
      </c>
    </row>
    <row r="4271" spans="1:7" hidden="1" x14ac:dyDescent="0.75">
      <c r="A4271" s="51">
        <v>44936</v>
      </c>
      <c r="B4271" s="52">
        <v>690</v>
      </c>
      <c r="C4271" s="8" t="s">
        <v>1536</v>
      </c>
      <c r="D4271" s="8" t="s">
        <v>270</v>
      </c>
      <c r="E4271" s="52">
        <v>8</v>
      </c>
      <c r="F4271" s="13">
        <v>7631</v>
      </c>
      <c r="G4271" s="13"/>
    </row>
    <row r="4272" spans="1:7" hidden="1" x14ac:dyDescent="0.75">
      <c r="A4272" s="51">
        <v>44936</v>
      </c>
      <c r="B4272" s="52">
        <v>690</v>
      </c>
      <c r="C4272" s="8" t="s">
        <v>1536</v>
      </c>
      <c r="D4272" s="8" t="s">
        <v>270</v>
      </c>
      <c r="E4272" s="52">
        <v>8</v>
      </c>
      <c r="F4272" s="13">
        <v>6949.5</v>
      </c>
      <c r="G4272" s="13"/>
    </row>
    <row r="4273" spans="1:7" hidden="1" x14ac:dyDescent="0.75">
      <c r="A4273" s="51">
        <v>44937</v>
      </c>
      <c r="B4273" s="52">
        <v>690</v>
      </c>
      <c r="C4273" s="8" t="s">
        <v>3992</v>
      </c>
      <c r="D4273" s="8" t="s">
        <v>270</v>
      </c>
      <c r="E4273" s="52">
        <v>55</v>
      </c>
      <c r="F4273" s="13"/>
      <c r="G4273" s="13">
        <v>541.5</v>
      </c>
    </row>
    <row r="4274" spans="1:7" hidden="1" x14ac:dyDescent="0.75">
      <c r="A4274" s="51">
        <v>44938</v>
      </c>
      <c r="B4274" s="52">
        <v>690</v>
      </c>
      <c r="C4274" s="8" t="s">
        <v>4017</v>
      </c>
      <c r="D4274" s="8" t="s">
        <v>270</v>
      </c>
      <c r="E4274" s="52">
        <v>55</v>
      </c>
      <c r="F4274" s="13"/>
      <c r="G4274" s="13">
        <v>1041</v>
      </c>
    </row>
    <row r="4275" spans="1:7" hidden="1" x14ac:dyDescent="0.75">
      <c r="A4275" s="51">
        <v>44939</v>
      </c>
      <c r="B4275" s="52">
        <v>690</v>
      </c>
      <c r="C4275" s="8" t="s">
        <v>4042</v>
      </c>
      <c r="D4275" s="8" t="s">
        <v>270</v>
      </c>
      <c r="E4275" s="52">
        <v>55</v>
      </c>
      <c r="F4275" s="13"/>
      <c r="G4275" s="13">
        <v>958.9</v>
      </c>
    </row>
    <row r="4276" spans="1:7" hidden="1" x14ac:dyDescent="0.75">
      <c r="A4276" s="51">
        <v>44940</v>
      </c>
      <c r="B4276" s="52">
        <v>690</v>
      </c>
      <c r="C4276" s="8" t="s">
        <v>4078</v>
      </c>
      <c r="D4276" s="8" t="s">
        <v>270</v>
      </c>
      <c r="E4276" s="52">
        <v>55</v>
      </c>
      <c r="F4276" s="13"/>
      <c r="G4276" s="13">
        <v>915.1</v>
      </c>
    </row>
    <row r="4277" spans="1:7" hidden="1" x14ac:dyDescent="0.75">
      <c r="A4277" s="51">
        <v>44940</v>
      </c>
      <c r="B4277" s="52">
        <v>690</v>
      </c>
      <c r="C4277" s="8" t="s">
        <v>4090</v>
      </c>
      <c r="D4277" s="8" t="s">
        <v>270</v>
      </c>
      <c r="E4277" s="52">
        <v>55</v>
      </c>
      <c r="F4277" s="13"/>
      <c r="G4277" s="13">
        <v>822.5</v>
      </c>
    </row>
    <row r="4278" spans="1:7" hidden="1" x14ac:dyDescent="0.75">
      <c r="A4278" s="51">
        <v>44943</v>
      </c>
      <c r="B4278" s="52">
        <v>690</v>
      </c>
      <c r="C4278" s="8" t="s">
        <v>4141</v>
      </c>
      <c r="D4278" s="8" t="s">
        <v>270</v>
      </c>
      <c r="E4278" s="52">
        <v>55</v>
      </c>
      <c r="F4278" s="13"/>
      <c r="G4278" s="13">
        <v>1416.5</v>
      </c>
    </row>
    <row r="4279" spans="1:7" hidden="1" x14ac:dyDescent="0.75">
      <c r="A4279" s="51">
        <v>44944</v>
      </c>
      <c r="B4279" s="52">
        <v>690</v>
      </c>
      <c r="C4279" s="8" t="s">
        <v>4168</v>
      </c>
      <c r="D4279" s="8" t="s">
        <v>270</v>
      </c>
      <c r="E4279" s="52">
        <v>55</v>
      </c>
      <c r="F4279" s="13"/>
      <c r="G4279" s="13">
        <v>842.5</v>
      </c>
    </row>
    <row r="4280" spans="1:7" hidden="1" x14ac:dyDescent="0.75">
      <c r="A4280" s="51">
        <v>44945</v>
      </c>
      <c r="B4280" s="52">
        <v>690</v>
      </c>
      <c r="C4280" s="8" t="s">
        <v>4204</v>
      </c>
      <c r="D4280" s="8" t="s">
        <v>270</v>
      </c>
      <c r="E4280" s="52">
        <v>55</v>
      </c>
      <c r="F4280" s="13"/>
      <c r="G4280" s="13">
        <v>937.4</v>
      </c>
    </row>
    <row r="4281" spans="1:7" hidden="1" x14ac:dyDescent="0.75">
      <c r="A4281" s="51">
        <v>44946</v>
      </c>
      <c r="B4281" s="52">
        <v>690</v>
      </c>
      <c r="C4281" s="8" t="s">
        <v>4226</v>
      </c>
      <c r="D4281" s="8" t="s">
        <v>270</v>
      </c>
      <c r="E4281" s="52">
        <v>55</v>
      </c>
      <c r="F4281" s="13"/>
      <c r="G4281" s="13">
        <v>1042.2</v>
      </c>
    </row>
    <row r="4282" spans="1:7" hidden="1" x14ac:dyDescent="0.75">
      <c r="A4282" s="51">
        <v>44946</v>
      </c>
      <c r="B4282" s="52">
        <v>690</v>
      </c>
      <c r="C4282" s="8" t="s">
        <v>1536</v>
      </c>
      <c r="D4282" s="8" t="s">
        <v>270</v>
      </c>
      <c r="E4282" s="52">
        <v>8</v>
      </c>
      <c r="F4282" s="13">
        <v>6025.5</v>
      </c>
      <c r="G4282" s="13"/>
    </row>
    <row r="4283" spans="1:7" hidden="1" x14ac:dyDescent="0.75">
      <c r="A4283" s="51">
        <v>44947</v>
      </c>
      <c r="B4283" s="52">
        <v>690</v>
      </c>
      <c r="C4283" s="8" t="s">
        <v>4256</v>
      </c>
      <c r="D4283" s="8" t="s">
        <v>270</v>
      </c>
      <c r="E4283" s="52">
        <v>55</v>
      </c>
      <c r="F4283" s="13"/>
      <c r="G4283" s="13">
        <v>1166.0999999999999</v>
      </c>
    </row>
    <row r="4284" spans="1:7" hidden="1" x14ac:dyDescent="0.75">
      <c r="A4284" s="51">
        <v>44947</v>
      </c>
      <c r="B4284" s="52">
        <v>690</v>
      </c>
      <c r="C4284" s="8" t="s">
        <v>4268</v>
      </c>
      <c r="D4284" s="8" t="s">
        <v>270</v>
      </c>
      <c r="E4284" s="52">
        <v>55</v>
      </c>
      <c r="F4284" s="13"/>
      <c r="G4284" s="13">
        <v>280</v>
      </c>
    </row>
    <row r="4285" spans="1:7" hidden="1" x14ac:dyDescent="0.75">
      <c r="A4285" s="51">
        <v>44950</v>
      </c>
      <c r="B4285" s="52">
        <v>690</v>
      </c>
      <c r="C4285" s="8" t="s">
        <v>4321</v>
      </c>
      <c r="D4285" s="8" t="s">
        <v>270</v>
      </c>
      <c r="E4285" s="52">
        <v>55</v>
      </c>
      <c r="F4285" s="13"/>
      <c r="G4285" s="13">
        <v>576</v>
      </c>
    </row>
    <row r="4286" spans="1:7" hidden="1" x14ac:dyDescent="0.75">
      <c r="A4286" s="51">
        <v>44951</v>
      </c>
      <c r="B4286" s="52">
        <v>690</v>
      </c>
      <c r="C4286" s="8" t="s">
        <v>4355</v>
      </c>
      <c r="D4286" s="8" t="s">
        <v>270</v>
      </c>
      <c r="E4286" s="52">
        <v>55</v>
      </c>
      <c r="F4286" s="13"/>
      <c r="G4286" s="13">
        <v>520</v>
      </c>
    </row>
    <row r="4287" spans="1:7" hidden="1" x14ac:dyDescent="0.75">
      <c r="A4287" s="51">
        <v>44952</v>
      </c>
      <c r="B4287" s="52">
        <v>690</v>
      </c>
      <c r="C4287" s="8" t="s">
        <v>4386</v>
      </c>
      <c r="D4287" s="8" t="s">
        <v>270</v>
      </c>
      <c r="E4287" s="52">
        <v>55</v>
      </c>
      <c r="F4287" s="13"/>
      <c r="G4287" s="13">
        <v>480</v>
      </c>
    </row>
    <row r="4288" spans="1:7" hidden="1" x14ac:dyDescent="0.75">
      <c r="A4288" s="51">
        <v>44953</v>
      </c>
      <c r="B4288" s="52">
        <v>690</v>
      </c>
      <c r="C4288" s="8" t="s">
        <v>4417</v>
      </c>
      <c r="D4288" s="8" t="s">
        <v>270</v>
      </c>
      <c r="E4288" s="52">
        <v>55</v>
      </c>
      <c r="F4288" s="13"/>
      <c r="G4288" s="13">
        <v>40</v>
      </c>
    </row>
    <row r="4289" spans="1:7" hidden="1" x14ac:dyDescent="0.75">
      <c r="A4289" s="51">
        <v>44954</v>
      </c>
      <c r="B4289" s="52">
        <v>690</v>
      </c>
      <c r="C4289" s="8" t="s">
        <v>4453</v>
      </c>
      <c r="D4289" s="8" t="s">
        <v>270</v>
      </c>
      <c r="E4289" s="52">
        <v>55</v>
      </c>
      <c r="F4289" s="13"/>
      <c r="G4289" s="13">
        <v>400</v>
      </c>
    </row>
    <row r="4290" spans="1:7" hidden="1" x14ac:dyDescent="0.75">
      <c r="A4290" s="51">
        <v>44954</v>
      </c>
      <c r="B4290" s="52">
        <v>690</v>
      </c>
      <c r="C4290" s="8" t="s">
        <v>4464</v>
      </c>
      <c r="D4290" s="8" t="s">
        <v>270</v>
      </c>
      <c r="E4290" s="52">
        <v>55</v>
      </c>
      <c r="F4290" s="13"/>
      <c r="G4290" s="13">
        <v>280</v>
      </c>
    </row>
    <row r="4291" spans="1:7" hidden="1" x14ac:dyDescent="0.75">
      <c r="A4291" s="51">
        <v>44957</v>
      </c>
      <c r="B4291" s="52">
        <v>690</v>
      </c>
      <c r="C4291" s="8" t="s">
        <v>4510</v>
      </c>
      <c r="D4291" s="8" t="s">
        <v>270</v>
      </c>
      <c r="E4291" s="52">
        <v>55</v>
      </c>
      <c r="F4291" s="13"/>
      <c r="G4291" s="13">
        <v>560</v>
      </c>
    </row>
    <row r="4292" spans="1:7" hidden="1" x14ac:dyDescent="0.75">
      <c r="A4292" s="51">
        <v>44957</v>
      </c>
      <c r="B4292" s="52">
        <v>690</v>
      </c>
      <c r="C4292" s="8" t="s">
        <v>4522</v>
      </c>
      <c r="D4292" s="8" t="s">
        <v>270</v>
      </c>
      <c r="E4292" s="52">
        <v>55</v>
      </c>
      <c r="F4292" s="13"/>
      <c r="G4292" s="13">
        <v>200</v>
      </c>
    </row>
    <row r="4293" spans="1:7" hidden="1" x14ac:dyDescent="0.75">
      <c r="A4293" s="51">
        <v>44957</v>
      </c>
      <c r="B4293" s="52">
        <v>690</v>
      </c>
      <c r="C4293" s="8" t="s">
        <v>1869</v>
      </c>
      <c r="D4293" s="8" t="s">
        <v>270</v>
      </c>
      <c r="E4293" s="52">
        <v>8</v>
      </c>
      <c r="F4293" s="13">
        <v>5791.5</v>
      </c>
      <c r="G4293" s="13"/>
    </row>
    <row r="4294" spans="1:7" hidden="1" x14ac:dyDescent="0.75">
      <c r="A4294" s="51">
        <v>44957</v>
      </c>
      <c r="B4294" s="52">
        <v>690</v>
      </c>
      <c r="C4294" s="8" t="s">
        <v>1869</v>
      </c>
      <c r="D4294" s="8" t="s">
        <v>270</v>
      </c>
      <c r="E4294" s="52">
        <v>8</v>
      </c>
      <c r="F4294" s="13">
        <v>5910</v>
      </c>
      <c r="G4294" s="13"/>
    </row>
    <row r="4295" spans="1:7" hidden="1" x14ac:dyDescent="0.75">
      <c r="A4295" s="51">
        <v>44928</v>
      </c>
      <c r="B4295" s="52">
        <v>689</v>
      </c>
      <c r="C4295" s="8" t="s">
        <v>3724</v>
      </c>
      <c r="D4295" s="8" t="s">
        <v>271</v>
      </c>
      <c r="E4295" s="52">
        <v>55</v>
      </c>
      <c r="F4295" s="13"/>
      <c r="G4295" s="13">
        <v>1296.8</v>
      </c>
    </row>
    <row r="4296" spans="1:7" hidden="1" x14ac:dyDescent="0.75">
      <c r="A4296" s="51">
        <v>44928</v>
      </c>
      <c r="B4296" s="52">
        <v>689</v>
      </c>
      <c r="C4296" s="8" t="s">
        <v>1526</v>
      </c>
      <c r="D4296" s="8" t="s">
        <v>271</v>
      </c>
      <c r="E4296" s="52">
        <v>8</v>
      </c>
      <c r="F4296" s="13">
        <v>6778</v>
      </c>
      <c r="G4296" s="13"/>
    </row>
    <row r="4297" spans="1:7" hidden="1" x14ac:dyDescent="0.75">
      <c r="A4297" s="51">
        <v>44928</v>
      </c>
      <c r="B4297" s="52">
        <v>689</v>
      </c>
      <c r="C4297" s="8" t="s">
        <v>1526</v>
      </c>
      <c r="D4297" s="8" t="s">
        <v>271</v>
      </c>
      <c r="E4297" s="52">
        <v>8</v>
      </c>
      <c r="F4297" s="13">
        <v>7762.4</v>
      </c>
      <c r="G4297" s="13"/>
    </row>
    <row r="4298" spans="1:7" hidden="1" x14ac:dyDescent="0.75">
      <c r="A4298" s="51">
        <v>44929</v>
      </c>
      <c r="B4298" s="52">
        <v>689</v>
      </c>
      <c r="C4298" s="8" t="s">
        <v>3761</v>
      </c>
      <c r="D4298" s="8" t="s">
        <v>271</v>
      </c>
      <c r="E4298" s="52">
        <v>55</v>
      </c>
      <c r="F4298" s="13"/>
      <c r="G4298" s="13">
        <v>1990</v>
      </c>
    </row>
    <row r="4299" spans="1:7" hidden="1" x14ac:dyDescent="0.75">
      <c r="A4299" s="51">
        <v>44931</v>
      </c>
      <c r="B4299" s="52">
        <v>689</v>
      </c>
      <c r="C4299" s="8" t="s">
        <v>3825</v>
      </c>
      <c r="D4299" s="8" t="s">
        <v>271</v>
      </c>
      <c r="E4299" s="52">
        <v>55</v>
      </c>
      <c r="F4299" s="13"/>
      <c r="G4299" s="13">
        <v>1671.2</v>
      </c>
    </row>
    <row r="4300" spans="1:7" hidden="1" x14ac:dyDescent="0.75">
      <c r="A4300" s="51">
        <v>44933</v>
      </c>
      <c r="B4300" s="52">
        <v>689</v>
      </c>
      <c r="C4300" s="8" t="s">
        <v>3888</v>
      </c>
      <c r="D4300" s="8" t="s">
        <v>271</v>
      </c>
      <c r="E4300" s="52">
        <v>55</v>
      </c>
      <c r="F4300" s="13"/>
      <c r="G4300" s="13">
        <v>1245.4000000000001</v>
      </c>
    </row>
    <row r="4301" spans="1:7" hidden="1" x14ac:dyDescent="0.75">
      <c r="A4301" s="51">
        <v>44935</v>
      </c>
      <c r="B4301" s="52">
        <v>689</v>
      </c>
      <c r="C4301" s="8" t="s">
        <v>3919</v>
      </c>
      <c r="D4301" s="8" t="s">
        <v>271</v>
      </c>
      <c r="E4301" s="52">
        <v>55</v>
      </c>
      <c r="F4301" s="13"/>
      <c r="G4301" s="13">
        <v>932</v>
      </c>
    </row>
    <row r="4302" spans="1:7" hidden="1" x14ac:dyDescent="0.75">
      <c r="A4302" s="51">
        <v>44936</v>
      </c>
      <c r="B4302" s="52">
        <v>689</v>
      </c>
      <c r="C4302" s="8" t="s">
        <v>3962</v>
      </c>
      <c r="D4302" s="8" t="s">
        <v>271</v>
      </c>
      <c r="E4302" s="52">
        <v>55</v>
      </c>
      <c r="F4302" s="13"/>
      <c r="G4302" s="13">
        <v>1589</v>
      </c>
    </row>
    <row r="4303" spans="1:7" hidden="1" x14ac:dyDescent="0.75">
      <c r="A4303" s="51">
        <v>44936</v>
      </c>
      <c r="B4303" s="52">
        <v>689</v>
      </c>
      <c r="C4303" s="8" t="s">
        <v>1526</v>
      </c>
      <c r="D4303" s="8" t="s">
        <v>271</v>
      </c>
      <c r="E4303" s="52">
        <v>8</v>
      </c>
      <c r="F4303" s="13">
        <v>7200.6</v>
      </c>
      <c r="G4303" s="13"/>
    </row>
    <row r="4304" spans="1:7" hidden="1" x14ac:dyDescent="0.75">
      <c r="A4304" s="51">
        <v>44938</v>
      </c>
      <c r="B4304" s="52">
        <v>689</v>
      </c>
      <c r="C4304" s="8" t="s">
        <v>4026</v>
      </c>
      <c r="D4304" s="8" t="s">
        <v>271</v>
      </c>
      <c r="E4304" s="52">
        <v>55</v>
      </c>
      <c r="F4304" s="13"/>
      <c r="G4304" s="13">
        <v>1626.6</v>
      </c>
    </row>
    <row r="4305" spans="1:7" hidden="1" x14ac:dyDescent="0.75">
      <c r="A4305" s="51">
        <v>44940</v>
      </c>
      <c r="B4305" s="52">
        <v>689</v>
      </c>
      <c r="C4305" s="8" t="s">
        <v>4080</v>
      </c>
      <c r="D4305" s="8" t="s">
        <v>271</v>
      </c>
      <c r="E4305" s="52">
        <v>55</v>
      </c>
      <c r="F4305" s="13"/>
      <c r="G4305" s="13">
        <v>875</v>
      </c>
    </row>
    <row r="4306" spans="1:7" hidden="1" x14ac:dyDescent="0.75">
      <c r="A4306" s="51">
        <v>44942</v>
      </c>
      <c r="B4306" s="52">
        <v>689</v>
      </c>
      <c r="C4306" s="8" t="s">
        <v>4117</v>
      </c>
      <c r="D4306" s="8" t="s">
        <v>271</v>
      </c>
      <c r="E4306" s="52">
        <v>55</v>
      </c>
      <c r="F4306" s="13"/>
      <c r="G4306" s="13">
        <v>700</v>
      </c>
    </row>
    <row r="4307" spans="1:7" hidden="1" x14ac:dyDescent="0.75">
      <c r="A4307" s="51">
        <v>44943</v>
      </c>
      <c r="B4307" s="52">
        <v>689</v>
      </c>
      <c r="C4307" s="8" t="s">
        <v>4143</v>
      </c>
      <c r="D4307" s="8" t="s">
        <v>271</v>
      </c>
      <c r="E4307" s="52">
        <v>55</v>
      </c>
      <c r="F4307" s="13"/>
      <c r="G4307" s="13">
        <v>1671.6</v>
      </c>
    </row>
    <row r="4308" spans="1:7" hidden="1" x14ac:dyDescent="0.75">
      <c r="A4308" s="51">
        <v>44945</v>
      </c>
      <c r="B4308" s="52">
        <v>689</v>
      </c>
      <c r="C4308" s="8" t="s">
        <v>4205</v>
      </c>
      <c r="D4308" s="8" t="s">
        <v>271</v>
      </c>
      <c r="E4308" s="52">
        <v>55</v>
      </c>
      <c r="F4308" s="13"/>
      <c r="G4308" s="13">
        <v>1496.5</v>
      </c>
    </row>
    <row r="4309" spans="1:7" hidden="1" x14ac:dyDescent="0.75">
      <c r="A4309" s="51">
        <v>44946</v>
      </c>
      <c r="B4309" s="52">
        <v>689</v>
      </c>
      <c r="C4309" s="8" t="s">
        <v>1526</v>
      </c>
      <c r="D4309" s="8" t="s">
        <v>271</v>
      </c>
      <c r="E4309" s="52">
        <v>8</v>
      </c>
      <c r="F4309" s="13">
        <v>6203.4</v>
      </c>
      <c r="G4309" s="13"/>
    </row>
    <row r="4310" spans="1:7" hidden="1" x14ac:dyDescent="0.75">
      <c r="A4310" s="51">
        <v>44946</v>
      </c>
      <c r="B4310" s="52">
        <v>689</v>
      </c>
      <c r="C4310" s="8" t="s">
        <v>1526</v>
      </c>
      <c r="D4310" s="8" t="s">
        <v>271</v>
      </c>
      <c r="E4310" s="52">
        <v>8</v>
      </c>
      <c r="F4310" s="13">
        <v>5022.6000000000004</v>
      </c>
      <c r="G4310" s="13"/>
    </row>
    <row r="4311" spans="1:7" hidden="1" x14ac:dyDescent="0.75">
      <c r="A4311" s="51">
        <v>44947</v>
      </c>
      <c r="B4311" s="52">
        <v>689</v>
      </c>
      <c r="C4311" s="8" t="s">
        <v>4265</v>
      </c>
      <c r="D4311" s="8" t="s">
        <v>271</v>
      </c>
      <c r="E4311" s="52">
        <v>55</v>
      </c>
      <c r="F4311" s="13"/>
      <c r="G4311" s="13">
        <v>1493.2</v>
      </c>
    </row>
    <row r="4312" spans="1:7" hidden="1" x14ac:dyDescent="0.75">
      <c r="A4312" s="51">
        <v>44949</v>
      </c>
      <c r="B4312" s="52">
        <v>689</v>
      </c>
      <c r="C4312" s="8" t="s">
        <v>4286</v>
      </c>
      <c r="D4312" s="8" t="s">
        <v>271</v>
      </c>
      <c r="E4312" s="52">
        <v>55</v>
      </c>
      <c r="F4312" s="13"/>
      <c r="G4312" s="13">
        <v>895</v>
      </c>
    </row>
    <row r="4313" spans="1:7" hidden="1" x14ac:dyDescent="0.75">
      <c r="A4313" s="51">
        <v>44949</v>
      </c>
      <c r="B4313" s="52">
        <v>689</v>
      </c>
      <c r="C4313" s="8" t="s">
        <v>4288</v>
      </c>
      <c r="D4313" s="8" t="s">
        <v>271</v>
      </c>
      <c r="E4313" s="52">
        <v>55</v>
      </c>
      <c r="F4313" s="13"/>
      <c r="G4313" s="13">
        <v>570</v>
      </c>
    </row>
    <row r="4314" spans="1:7" hidden="1" x14ac:dyDescent="0.75">
      <c r="A4314" s="51">
        <v>44950</v>
      </c>
      <c r="B4314" s="52">
        <v>689</v>
      </c>
      <c r="C4314" s="8" t="s">
        <v>4324</v>
      </c>
      <c r="D4314" s="8" t="s">
        <v>271</v>
      </c>
      <c r="E4314" s="52">
        <v>55</v>
      </c>
      <c r="F4314" s="13"/>
      <c r="G4314" s="13">
        <v>1873.2</v>
      </c>
    </row>
    <row r="4315" spans="1:7" hidden="1" x14ac:dyDescent="0.75">
      <c r="A4315" s="51">
        <v>44952</v>
      </c>
      <c r="B4315" s="52">
        <v>689</v>
      </c>
      <c r="C4315" s="8" t="s">
        <v>4395</v>
      </c>
      <c r="D4315" s="8" t="s">
        <v>271</v>
      </c>
      <c r="E4315" s="52">
        <v>55</v>
      </c>
      <c r="F4315" s="13"/>
      <c r="G4315" s="13">
        <v>1763.1</v>
      </c>
    </row>
    <row r="4316" spans="1:7" hidden="1" x14ac:dyDescent="0.75">
      <c r="A4316" s="51">
        <v>44953</v>
      </c>
      <c r="B4316" s="52">
        <v>689</v>
      </c>
      <c r="C4316" s="8" t="s">
        <v>4425</v>
      </c>
      <c r="D4316" s="8" t="s">
        <v>271</v>
      </c>
      <c r="E4316" s="52">
        <v>55</v>
      </c>
      <c r="F4316" s="13"/>
      <c r="G4316" s="13">
        <v>994</v>
      </c>
    </row>
    <row r="4317" spans="1:7" hidden="1" x14ac:dyDescent="0.75">
      <c r="A4317" s="51">
        <v>44954</v>
      </c>
      <c r="B4317" s="52">
        <v>689</v>
      </c>
      <c r="C4317" s="8" t="s">
        <v>4460</v>
      </c>
      <c r="D4317" s="8" t="s">
        <v>271</v>
      </c>
      <c r="E4317" s="52">
        <v>55</v>
      </c>
      <c r="F4317" s="13"/>
      <c r="G4317" s="13">
        <v>1394.1</v>
      </c>
    </row>
    <row r="4318" spans="1:7" hidden="1" x14ac:dyDescent="0.75">
      <c r="A4318" s="51">
        <v>44956</v>
      </c>
      <c r="B4318" s="52">
        <v>689</v>
      </c>
      <c r="C4318" s="8" t="s">
        <v>4481</v>
      </c>
      <c r="D4318" s="8" t="s">
        <v>271</v>
      </c>
      <c r="E4318" s="52">
        <v>55</v>
      </c>
      <c r="F4318" s="13"/>
      <c r="G4318" s="13">
        <v>880</v>
      </c>
    </row>
    <row r="4319" spans="1:7" hidden="1" x14ac:dyDescent="0.75">
      <c r="A4319" s="51">
        <v>44956</v>
      </c>
      <c r="B4319" s="52">
        <v>689</v>
      </c>
      <c r="C4319" s="8" t="s">
        <v>4488</v>
      </c>
      <c r="D4319" s="8" t="s">
        <v>271</v>
      </c>
      <c r="E4319" s="52">
        <v>55</v>
      </c>
      <c r="F4319" s="13"/>
      <c r="G4319" s="13">
        <v>860</v>
      </c>
    </row>
    <row r="4320" spans="1:7" hidden="1" x14ac:dyDescent="0.75">
      <c r="A4320" s="51">
        <v>44957</v>
      </c>
      <c r="B4320" s="52">
        <v>689</v>
      </c>
      <c r="C4320" s="8" t="s">
        <v>4516</v>
      </c>
      <c r="D4320" s="8" t="s">
        <v>271</v>
      </c>
      <c r="E4320" s="52">
        <v>55</v>
      </c>
      <c r="F4320" s="13"/>
      <c r="G4320" s="13">
        <v>1663.8</v>
      </c>
    </row>
    <row r="4321" spans="1:7" hidden="1" x14ac:dyDescent="0.75">
      <c r="A4321" s="51">
        <v>44957</v>
      </c>
      <c r="B4321" s="52">
        <v>689</v>
      </c>
      <c r="C4321" s="8" t="s">
        <v>1526</v>
      </c>
      <c r="D4321" s="8" t="s">
        <v>271</v>
      </c>
      <c r="E4321" s="52">
        <v>8</v>
      </c>
      <c r="F4321" s="13">
        <v>5361.3</v>
      </c>
      <c r="G4321" s="13"/>
    </row>
    <row r="4322" spans="1:7" hidden="1" x14ac:dyDescent="0.75">
      <c r="A4322" s="51">
        <v>44929</v>
      </c>
      <c r="B4322" s="52">
        <v>688</v>
      </c>
      <c r="C4322" s="8" t="s">
        <v>3758</v>
      </c>
      <c r="D4322" s="8" t="s">
        <v>272</v>
      </c>
      <c r="E4322" s="52">
        <v>55</v>
      </c>
      <c r="F4322" s="13"/>
      <c r="G4322" s="13">
        <v>633.75</v>
      </c>
    </row>
    <row r="4323" spans="1:7" hidden="1" x14ac:dyDescent="0.75">
      <c r="A4323" s="51">
        <v>44930</v>
      </c>
      <c r="B4323" s="52">
        <v>688</v>
      </c>
      <c r="C4323" s="8" t="s">
        <v>3792</v>
      </c>
      <c r="D4323" s="8" t="s">
        <v>272</v>
      </c>
      <c r="E4323" s="52">
        <v>55</v>
      </c>
      <c r="F4323" s="13"/>
      <c r="G4323" s="13">
        <v>171.5</v>
      </c>
    </row>
    <row r="4324" spans="1:7" hidden="1" x14ac:dyDescent="0.75">
      <c r="A4324" s="51">
        <v>44931</v>
      </c>
      <c r="B4324" s="52">
        <v>688</v>
      </c>
      <c r="C4324" s="8" t="s">
        <v>3814</v>
      </c>
      <c r="D4324" s="8" t="s">
        <v>272</v>
      </c>
      <c r="E4324" s="52">
        <v>55</v>
      </c>
      <c r="F4324" s="13"/>
      <c r="G4324" s="13">
        <v>1160.75</v>
      </c>
    </row>
    <row r="4325" spans="1:7" hidden="1" x14ac:dyDescent="0.75">
      <c r="A4325" s="51">
        <v>44932</v>
      </c>
      <c r="B4325" s="52">
        <v>688</v>
      </c>
      <c r="C4325" s="8" t="s">
        <v>3839</v>
      </c>
      <c r="D4325" s="8" t="s">
        <v>272</v>
      </c>
      <c r="E4325" s="52">
        <v>55</v>
      </c>
      <c r="F4325" s="13"/>
      <c r="G4325" s="13">
        <v>712.5</v>
      </c>
    </row>
    <row r="4326" spans="1:7" hidden="1" x14ac:dyDescent="0.75">
      <c r="A4326" s="51">
        <v>44933</v>
      </c>
      <c r="B4326" s="52">
        <v>688</v>
      </c>
      <c r="C4326" s="8" t="s">
        <v>3884</v>
      </c>
      <c r="D4326" s="8" t="s">
        <v>272</v>
      </c>
      <c r="E4326" s="52">
        <v>55</v>
      </c>
      <c r="F4326" s="13"/>
      <c r="G4326" s="13">
        <v>2163.25</v>
      </c>
    </row>
    <row r="4327" spans="1:7" hidden="1" x14ac:dyDescent="0.75">
      <c r="A4327" s="51">
        <v>44933</v>
      </c>
      <c r="B4327" s="52">
        <v>688</v>
      </c>
      <c r="C4327" s="8" t="s">
        <v>3891</v>
      </c>
      <c r="D4327" s="8" t="s">
        <v>272</v>
      </c>
      <c r="E4327" s="52">
        <v>55</v>
      </c>
      <c r="F4327" s="13"/>
      <c r="G4327" s="13">
        <v>80</v>
      </c>
    </row>
    <row r="4328" spans="1:7" hidden="1" x14ac:dyDescent="0.75">
      <c r="A4328" s="51">
        <v>44933</v>
      </c>
      <c r="B4328" s="52">
        <v>688</v>
      </c>
      <c r="C4328" s="8" t="s">
        <v>3894</v>
      </c>
      <c r="D4328" s="8" t="s">
        <v>272</v>
      </c>
      <c r="E4328" s="52">
        <v>55</v>
      </c>
      <c r="F4328" s="13"/>
      <c r="G4328" s="13">
        <v>130</v>
      </c>
    </row>
    <row r="4329" spans="1:7" hidden="1" x14ac:dyDescent="0.75">
      <c r="A4329" s="51">
        <v>44936</v>
      </c>
      <c r="B4329" s="52">
        <v>688</v>
      </c>
      <c r="C4329" s="8" t="s">
        <v>3951</v>
      </c>
      <c r="D4329" s="8" t="s">
        <v>272</v>
      </c>
      <c r="E4329" s="52">
        <v>55</v>
      </c>
      <c r="F4329" s="13"/>
      <c r="G4329" s="13">
        <v>472.5</v>
      </c>
    </row>
    <row r="4330" spans="1:7" hidden="1" x14ac:dyDescent="0.75">
      <c r="A4330" s="51">
        <v>44936</v>
      </c>
      <c r="B4330" s="52">
        <v>688</v>
      </c>
      <c r="C4330" s="8" t="s">
        <v>1627</v>
      </c>
      <c r="D4330" s="8" t="s">
        <v>272</v>
      </c>
      <c r="E4330" s="52">
        <v>8</v>
      </c>
      <c r="F4330" s="13">
        <v>3158</v>
      </c>
      <c r="G4330" s="13"/>
    </row>
    <row r="4331" spans="1:7" hidden="1" x14ac:dyDescent="0.75">
      <c r="A4331" s="51">
        <v>44936</v>
      </c>
      <c r="B4331" s="52">
        <v>688</v>
      </c>
      <c r="C4331" s="8" t="s">
        <v>1627</v>
      </c>
      <c r="D4331" s="8" t="s">
        <v>272</v>
      </c>
      <c r="E4331" s="52">
        <v>8</v>
      </c>
      <c r="F4331" s="13">
        <v>3109.8</v>
      </c>
      <c r="G4331" s="13"/>
    </row>
    <row r="4332" spans="1:7" hidden="1" x14ac:dyDescent="0.75">
      <c r="A4332" s="51">
        <v>44937</v>
      </c>
      <c r="B4332" s="52">
        <v>688</v>
      </c>
      <c r="C4332" s="8" t="s">
        <v>3991</v>
      </c>
      <c r="D4332" s="8" t="s">
        <v>272</v>
      </c>
      <c r="E4332" s="52">
        <v>55</v>
      </c>
      <c r="F4332" s="13"/>
      <c r="G4332" s="13">
        <v>201</v>
      </c>
    </row>
    <row r="4333" spans="1:7" hidden="1" x14ac:dyDescent="0.75">
      <c r="A4333" s="51">
        <v>44938</v>
      </c>
      <c r="B4333" s="52">
        <v>688</v>
      </c>
      <c r="C4333" s="8" t="s">
        <v>4015</v>
      </c>
      <c r="D4333" s="8" t="s">
        <v>272</v>
      </c>
      <c r="E4333" s="52">
        <v>55</v>
      </c>
      <c r="F4333" s="13"/>
      <c r="G4333" s="13">
        <v>1610.5</v>
      </c>
    </row>
    <row r="4334" spans="1:7" hidden="1" x14ac:dyDescent="0.75">
      <c r="A4334" s="51">
        <v>44939</v>
      </c>
      <c r="B4334" s="52">
        <v>688</v>
      </c>
      <c r="C4334" s="8" t="s">
        <v>4041</v>
      </c>
      <c r="D4334" s="8" t="s">
        <v>272</v>
      </c>
      <c r="E4334" s="52">
        <v>55</v>
      </c>
      <c r="F4334" s="13"/>
      <c r="G4334" s="13">
        <v>204.75</v>
      </c>
    </row>
    <row r="4335" spans="1:7" hidden="1" x14ac:dyDescent="0.75">
      <c r="A4335" s="51">
        <v>44940</v>
      </c>
      <c r="B4335" s="52">
        <v>688</v>
      </c>
      <c r="C4335" s="8" t="s">
        <v>4077</v>
      </c>
      <c r="D4335" s="8" t="s">
        <v>272</v>
      </c>
      <c r="E4335" s="52">
        <v>55</v>
      </c>
      <c r="F4335" s="13"/>
      <c r="G4335" s="13">
        <v>861.75</v>
      </c>
    </row>
    <row r="4336" spans="1:7" hidden="1" x14ac:dyDescent="0.75">
      <c r="A4336" s="51">
        <v>44940</v>
      </c>
      <c r="B4336" s="52">
        <v>688</v>
      </c>
      <c r="C4336" s="8" t="s">
        <v>4089</v>
      </c>
      <c r="D4336" s="8" t="s">
        <v>272</v>
      </c>
      <c r="E4336" s="52">
        <v>55</v>
      </c>
      <c r="F4336" s="13"/>
      <c r="G4336" s="13">
        <v>559</v>
      </c>
    </row>
    <row r="4337" spans="1:7" hidden="1" x14ac:dyDescent="0.75">
      <c r="A4337" s="51">
        <v>44943</v>
      </c>
      <c r="B4337" s="52">
        <v>688</v>
      </c>
      <c r="C4337" s="8" t="s">
        <v>4140</v>
      </c>
      <c r="D4337" s="8" t="s">
        <v>272</v>
      </c>
      <c r="E4337" s="52">
        <v>55</v>
      </c>
      <c r="F4337" s="13"/>
      <c r="G4337" s="13">
        <v>807</v>
      </c>
    </row>
    <row r="4338" spans="1:7" hidden="1" x14ac:dyDescent="0.75">
      <c r="A4338" s="51">
        <v>44944</v>
      </c>
      <c r="B4338" s="52">
        <v>688</v>
      </c>
      <c r="C4338" s="8" t="s">
        <v>4167</v>
      </c>
      <c r="D4338" s="8" t="s">
        <v>272</v>
      </c>
      <c r="E4338" s="52">
        <v>55</v>
      </c>
      <c r="F4338" s="13"/>
      <c r="G4338" s="13">
        <v>415.25</v>
      </c>
    </row>
    <row r="4339" spans="1:7" hidden="1" x14ac:dyDescent="0.75">
      <c r="A4339" s="51">
        <v>44945</v>
      </c>
      <c r="B4339" s="52">
        <v>688</v>
      </c>
      <c r="C4339" s="8" t="s">
        <v>4203</v>
      </c>
      <c r="D4339" s="8" t="s">
        <v>272</v>
      </c>
      <c r="E4339" s="52">
        <v>55</v>
      </c>
      <c r="F4339" s="13"/>
      <c r="G4339" s="13">
        <v>1294</v>
      </c>
    </row>
    <row r="4340" spans="1:7" hidden="1" x14ac:dyDescent="0.75">
      <c r="A4340" s="51">
        <v>44946</v>
      </c>
      <c r="B4340" s="52">
        <v>688</v>
      </c>
      <c r="C4340" s="8" t="s">
        <v>4224</v>
      </c>
      <c r="D4340" s="8" t="s">
        <v>272</v>
      </c>
      <c r="E4340" s="52">
        <v>55</v>
      </c>
      <c r="F4340" s="13"/>
      <c r="G4340" s="13">
        <v>1084.75</v>
      </c>
    </row>
    <row r="4341" spans="1:7" hidden="1" x14ac:dyDescent="0.75">
      <c r="A4341" s="51">
        <v>44946</v>
      </c>
      <c r="B4341" s="52">
        <v>688</v>
      </c>
      <c r="C4341" s="8" t="s">
        <v>1627</v>
      </c>
      <c r="D4341" s="8" t="s">
        <v>272</v>
      </c>
      <c r="E4341" s="52">
        <v>8</v>
      </c>
      <c r="F4341" s="13">
        <v>2403.75</v>
      </c>
      <c r="G4341" s="13"/>
    </row>
    <row r="4342" spans="1:7" hidden="1" x14ac:dyDescent="0.75">
      <c r="A4342" s="51">
        <v>44947</v>
      </c>
      <c r="B4342" s="52">
        <v>688</v>
      </c>
      <c r="C4342" s="8" t="s">
        <v>4255</v>
      </c>
      <c r="D4342" s="8" t="s">
        <v>272</v>
      </c>
      <c r="E4342" s="52">
        <v>55</v>
      </c>
      <c r="F4342" s="13"/>
      <c r="G4342" s="13">
        <v>2891.25</v>
      </c>
    </row>
    <row r="4343" spans="1:7" hidden="1" x14ac:dyDescent="0.75">
      <c r="A4343" s="51">
        <v>44947</v>
      </c>
      <c r="B4343" s="52">
        <v>688</v>
      </c>
      <c r="C4343" s="8" t="s">
        <v>4258</v>
      </c>
      <c r="D4343" s="8" t="s">
        <v>272</v>
      </c>
      <c r="E4343" s="52">
        <v>55</v>
      </c>
      <c r="F4343" s="13"/>
      <c r="G4343" s="13">
        <v>1729</v>
      </c>
    </row>
    <row r="4344" spans="1:7" hidden="1" x14ac:dyDescent="0.75">
      <c r="A4344" s="51">
        <v>44947</v>
      </c>
      <c r="B4344" s="52">
        <v>688</v>
      </c>
      <c r="C4344" s="8" t="s">
        <v>4267</v>
      </c>
      <c r="D4344" s="8" t="s">
        <v>272</v>
      </c>
      <c r="E4344" s="52">
        <v>55</v>
      </c>
      <c r="F4344" s="13"/>
      <c r="G4344" s="13">
        <v>66.25</v>
      </c>
    </row>
    <row r="4345" spans="1:7" hidden="1" x14ac:dyDescent="0.75">
      <c r="A4345" s="51">
        <v>44947</v>
      </c>
      <c r="B4345" s="52">
        <v>688</v>
      </c>
      <c r="C4345" s="8" t="s">
        <v>4282</v>
      </c>
      <c r="D4345" s="8" t="s">
        <v>272</v>
      </c>
      <c r="E4345" s="52">
        <v>55</v>
      </c>
      <c r="F4345" s="13">
        <v>1294</v>
      </c>
      <c r="G4345" s="13"/>
    </row>
    <row r="4346" spans="1:7" hidden="1" x14ac:dyDescent="0.75">
      <c r="A4346" s="51">
        <v>44950</v>
      </c>
      <c r="B4346" s="52">
        <v>688</v>
      </c>
      <c r="C4346" s="8" t="s">
        <v>4320</v>
      </c>
      <c r="D4346" s="8" t="s">
        <v>272</v>
      </c>
      <c r="E4346" s="52">
        <v>55</v>
      </c>
      <c r="F4346" s="13"/>
      <c r="G4346" s="13">
        <v>1217.5</v>
      </c>
    </row>
    <row r="4347" spans="1:7" hidden="1" x14ac:dyDescent="0.75">
      <c r="A4347" s="51">
        <v>44951</v>
      </c>
      <c r="B4347" s="52">
        <v>688</v>
      </c>
      <c r="C4347" s="8" t="s">
        <v>4354</v>
      </c>
      <c r="D4347" s="8" t="s">
        <v>272</v>
      </c>
      <c r="E4347" s="52">
        <v>55</v>
      </c>
      <c r="F4347" s="13"/>
      <c r="G4347" s="13">
        <v>138.75</v>
      </c>
    </row>
    <row r="4348" spans="1:7" hidden="1" x14ac:dyDescent="0.75">
      <c r="A4348" s="51">
        <v>44952</v>
      </c>
      <c r="B4348" s="52">
        <v>688</v>
      </c>
      <c r="C4348" s="8" t="s">
        <v>4385</v>
      </c>
      <c r="D4348" s="8" t="s">
        <v>272</v>
      </c>
      <c r="E4348" s="52">
        <v>55</v>
      </c>
      <c r="F4348" s="13"/>
      <c r="G4348" s="13">
        <v>883.75</v>
      </c>
    </row>
    <row r="4349" spans="1:7" hidden="1" x14ac:dyDescent="0.75">
      <c r="A4349" s="51">
        <v>44953</v>
      </c>
      <c r="B4349" s="52">
        <v>688</v>
      </c>
      <c r="C4349" s="8" t="s">
        <v>4416</v>
      </c>
      <c r="D4349" s="8" t="s">
        <v>272</v>
      </c>
      <c r="E4349" s="52">
        <v>55</v>
      </c>
      <c r="F4349" s="13"/>
      <c r="G4349" s="13">
        <v>517.25</v>
      </c>
    </row>
    <row r="4350" spans="1:7" hidden="1" x14ac:dyDescent="0.75">
      <c r="A4350" s="51">
        <v>44954</v>
      </c>
      <c r="B4350" s="52">
        <v>688</v>
      </c>
      <c r="C4350" s="8" t="s">
        <v>4452</v>
      </c>
      <c r="D4350" s="8" t="s">
        <v>272</v>
      </c>
      <c r="E4350" s="52">
        <v>55</v>
      </c>
      <c r="F4350" s="13"/>
      <c r="G4350" s="13">
        <v>923.25</v>
      </c>
    </row>
    <row r="4351" spans="1:7" hidden="1" x14ac:dyDescent="0.75">
      <c r="A4351" s="51">
        <v>44954</v>
      </c>
      <c r="B4351" s="52">
        <v>688</v>
      </c>
      <c r="C4351" s="8" t="s">
        <v>4463</v>
      </c>
      <c r="D4351" s="8" t="s">
        <v>272</v>
      </c>
      <c r="E4351" s="52">
        <v>55</v>
      </c>
      <c r="F4351" s="13"/>
      <c r="G4351" s="13">
        <v>237.5</v>
      </c>
    </row>
    <row r="4352" spans="1:7" hidden="1" x14ac:dyDescent="0.75">
      <c r="A4352" s="51">
        <v>44956</v>
      </c>
      <c r="B4352" s="52">
        <v>688</v>
      </c>
      <c r="C4352" s="8" t="s">
        <v>1627</v>
      </c>
      <c r="D4352" s="8" t="s">
        <v>272</v>
      </c>
      <c r="E4352" s="52">
        <v>8</v>
      </c>
      <c r="F4352" s="13">
        <v>2675</v>
      </c>
      <c r="G4352" s="13"/>
    </row>
    <row r="4353" spans="1:7" hidden="1" x14ac:dyDescent="0.75">
      <c r="A4353" s="51">
        <v>44956</v>
      </c>
      <c r="B4353" s="52">
        <v>688</v>
      </c>
      <c r="C4353" s="8" t="s">
        <v>1627</v>
      </c>
      <c r="D4353" s="8" t="s">
        <v>272</v>
      </c>
      <c r="E4353" s="52">
        <v>8</v>
      </c>
      <c r="F4353" s="13">
        <v>2301.75</v>
      </c>
      <c r="G4353" s="13"/>
    </row>
    <row r="4354" spans="1:7" hidden="1" x14ac:dyDescent="0.75">
      <c r="A4354" s="51">
        <v>44957</v>
      </c>
      <c r="B4354" s="52">
        <v>688</v>
      </c>
      <c r="C4354" s="8" t="s">
        <v>4509</v>
      </c>
      <c r="D4354" s="8" t="s">
        <v>272</v>
      </c>
      <c r="E4354" s="52">
        <v>55</v>
      </c>
      <c r="F4354" s="13"/>
      <c r="G4354" s="13">
        <v>523</v>
      </c>
    </row>
    <row r="4355" spans="1:7" hidden="1" x14ac:dyDescent="0.75">
      <c r="A4355" s="51">
        <v>44957</v>
      </c>
      <c r="B4355" s="52">
        <v>688</v>
      </c>
      <c r="C4355" s="8" t="s">
        <v>4523</v>
      </c>
      <c r="D4355" s="8" t="s">
        <v>272</v>
      </c>
      <c r="E4355" s="52">
        <v>55</v>
      </c>
      <c r="F4355" s="13"/>
      <c r="G4355" s="13">
        <v>268</v>
      </c>
    </row>
    <row r="4356" spans="1:7" hidden="1" x14ac:dyDescent="0.75">
      <c r="A4356" s="51">
        <v>44943</v>
      </c>
      <c r="B4356" s="52">
        <v>1010</v>
      </c>
      <c r="C4356" s="8" t="s">
        <v>4596</v>
      </c>
      <c r="D4356" s="8" t="s">
        <v>273</v>
      </c>
      <c r="E4356" s="52">
        <v>792</v>
      </c>
      <c r="F4356" s="13"/>
      <c r="G4356" s="13">
        <v>686.11</v>
      </c>
    </row>
    <row r="4357" spans="1:7" hidden="1" x14ac:dyDescent="0.75">
      <c r="A4357" s="51">
        <v>44943</v>
      </c>
      <c r="B4357" s="52">
        <v>1010</v>
      </c>
      <c r="C4357" s="8" t="s">
        <v>4165</v>
      </c>
      <c r="D4357" s="8" t="s">
        <v>273</v>
      </c>
      <c r="E4357" s="52">
        <v>55</v>
      </c>
      <c r="F4357" s="13">
        <v>686.11</v>
      </c>
      <c r="G4357" s="13"/>
    </row>
    <row r="4358" spans="1:7" hidden="1" x14ac:dyDescent="0.75">
      <c r="A4358" s="51">
        <v>44944</v>
      </c>
      <c r="B4358" s="52">
        <v>1010</v>
      </c>
      <c r="C4358" s="8" t="s">
        <v>4565</v>
      </c>
      <c r="D4358" s="8" t="s">
        <v>273</v>
      </c>
      <c r="E4358" s="52">
        <v>58</v>
      </c>
      <c r="F4358" s="13"/>
      <c r="G4358" s="13">
        <v>686.11</v>
      </c>
    </row>
    <row r="4359" spans="1:7" hidden="1" x14ac:dyDescent="0.75">
      <c r="A4359" s="51">
        <v>44950</v>
      </c>
      <c r="B4359" s="52">
        <v>906</v>
      </c>
      <c r="C4359" s="8" t="s">
        <v>4331</v>
      </c>
      <c r="D4359" s="8" t="s">
        <v>277</v>
      </c>
      <c r="E4359" s="52">
        <v>55</v>
      </c>
      <c r="F4359" s="13"/>
      <c r="G4359" s="13">
        <v>630</v>
      </c>
    </row>
    <row r="4360" spans="1:7" hidden="1" x14ac:dyDescent="0.75">
      <c r="A4360" s="51">
        <v>44928</v>
      </c>
      <c r="B4360" s="52">
        <v>757</v>
      </c>
      <c r="C4360" s="8" t="s">
        <v>4556</v>
      </c>
      <c r="D4360" s="8" t="s">
        <v>278</v>
      </c>
      <c r="E4360" s="52">
        <v>58</v>
      </c>
      <c r="F4360" s="13"/>
      <c r="G4360" s="13">
        <v>385.32</v>
      </c>
    </row>
    <row r="4361" spans="1:7" hidden="1" x14ac:dyDescent="0.75">
      <c r="A4361" s="51">
        <v>44928</v>
      </c>
      <c r="B4361" s="52">
        <v>757</v>
      </c>
      <c r="C4361" s="8" t="s">
        <v>1493</v>
      </c>
      <c r="D4361" s="8" t="s">
        <v>278</v>
      </c>
      <c r="E4361" s="52">
        <v>8</v>
      </c>
      <c r="F4361" s="13">
        <v>1049.74</v>
      </c>
      <c r="G4361" s="13"/>
    </row>
    <row r="4362" spans="1:7" hidden="1" x14ac:dyDescent="0.75">
      <c r="A4362" s="51">
        <v>44930</v>
      </c>
      <c r="B4362" s="52">
        <v>757</v>
      </c>
      <c r="C4362" s="8" t="s">
        <v>1544</v>
      </c>
      <c r="D4362" s="8" t="s">
        <v>278</v>
      </c>
      <c r="E4362" s="52">
        <v>8</v>
      </c>
      <c r="F4362" s="13">
        <v>344.66</v>
      </c>
      <c r="G4362" s="13"/>
    </row>
    <row r="4363" spans="1:7" hidden="1" x14ac:dyDescent="0.75">
      <c r="A4363" s="51">
        <v>44935</v>
      </c>
      <c r="B4363" s="52">
        <v>757</v>
      </c>
      <c r="C4363" s="8" t="s">
        <v>1493</v>
      </c>
      <c r="D4363" s="8" t="s">
        <v>278</v>
      </c>
      <c r="E4363" s="52">
        <v>8</v>
      </c>
      <c r="F4363" s="13">
        <v>1049.73</v>
      </c>
      <c r="G4363" s="13"/>
    </row>
    <row r="4364" spans="1:7" hidden="1" x14ac:dyDescent="0.75">
      <c r="A4364" s="51">
        <v>44942</v>
      </c>
      <c r="B4364" s="52">
        <v>757</v>
      </c>
      <c r="C4364" s="8" t="s">
        <v>1686</v>
      </c>
      <c r="D4364" s="8" t="s">
        <v>278</v>
      </c>
      <c r="E4364" s="52">
        <v>8</v>
      </c>
      <c r="F4364" s="13">
        <v>866.69</v>
      </c>
      <c r="G4364" s="13"/>
    </row>
    <row r="4365" spans="1:7" hidden="1" x14ac:dyDescent="0.75">
      <c r="A4365" s="51">
        <v>44943</v>
      </c>
      <c r="B4365" s="52">
        <v>757</v>
      </c>
      <c r="C4365" s="8" t="s">
        <v>1709</v>
      </c>
      <c r="D4365" s="8" t="s">
        <v>278</v>
      </c>
      <c r="E4365" s="52">
        <v>8</v>
      </c>
      <c r="F4365" s="13">
        <v>385.31</v>
      </c>
      <c r="G4365" s="13"/>
    </row>
    <row r="4366" spans="1:7" hidden="1" x14ac:dyDescent="0.75">
      <c r="A4366" s="51">
        <v>44946</v>
      </c>
      <c r="B4366" s="52">
        <v>757</v>
      </c>
      <c r="C4366" s="8" t="s">
        <v>4566</v>
      </c>
      <c r="D4366" s="8" t="s">
        <v>278</v>
      </c>
      <c r="E4366" s="52">
        <v>58</v>
      </c>
      <c r="F4366" s="13"/>
      <c r="G4366" s="13">
        <v>776.27</v>
      </c>
    </row>
    <row r="4367" spans="1:7" hidden="1" x14ac:dyDescent="0.75">
      <c r="A4367" s="51">
        <v>44946</v>
      </c>
      <c r="B4367" s="52">
        <v>757</v>
      </c>
      <c r="C4367" s="8" t="s">
        <v>4567</v>
      </c>
      <c r="D4367" s="8" t="s">
        <v>278</v>
      </c>
      <c r="E4367" s="52">
        <v>58</v>
      </c>
      <c r="F4367" s="13"/>
      <c r="G4367" s="13">
        <v>866.69</v>
      </c>
    </row>
    <row r="4368" spans="1:7" hidden="1" x14ac:dyDescent="0.75">
      <c r="A4368" s="51">
        <v>44949</v>
      </c>
      <c r="B4368" s="52">
        <v>757</v>
      </c>
      <c r="C4368" s="8" t="s">
        <v>4597</v>
      </c>
      <c r="D4368" s="8" t="s">
        <v>278</v>
      </c>
      <c r="E4368" s="52">
        <v>792</v>
      </c>
      <c r="F4368" s="13"/>
      <c r="G4368" s="13">
        <v>122.85</v>
      </c>
    </row>
    <row r="4369" spans="1:7" hidden="1" x14ac:dyDescent="0.75">
      <c r="A4369" s="51">
        <v>44928</v>
      </c>
      <c r="B4369" s="52">
        <v>874</v>
      </c>
      <c r="C4369" s="8" t="s">
        <v>3738</v>
      </c>
      <c r="D4369" s="8" t="s">
        <v>280</v>
      </c>
      <c r="E4369" s="52">
        <v>55</v>
      </c>
      <c r="F4369" s="13"/>
      <c r="G4369" s="13">
        <v>1046.8499999999999</v>
      </c>
    </row>
    <row r="4370" spans="1:7" hidden="1" x14ac:dyDescent="0.75">
      <c r="A4370" s="51">
        <v>44928</v>
      </c>
      <c r="B4370" s="52">
        <v>874</v>
      </c>
      <c r="C4370" s="8" t="s">
        <v>3739</v>
      </c>
      <c r="D4370" s="8" t="s">
        <v>280</v>
      </c>
      <c r="E4370" s="52">
        <v>55</v>
      </c>
      <c r="F4370" s="13"/>
      <c r="G4370" s="13">
        <v>845.15</v>
      </c>
    </row>
    <row r="4371" spans="1:7" hidden="1" x14ac:dyDescent="0.75">
      <c r="A4371" s="51">
        <v>44930</v>
      </c>
      <c r="B4371" s="52">
        <v>874</v>
      </c>
      <c r="C4371" s="8" t="s">
        <v>3804</v>
      </c>
      <c r="D4371" s="8" t="s">
        <v>280</v>
      </c>
      <c r="E4371" s="52">
        <v>55</v>
      </c>
      <c r="F4371" s="13"/>
      <c r="G4371" s="13">
        <v>1089.0999999999999</v>
      </c>
    </row>
    <row r="4372" spans="1:7" hidden="1" x14ac:dyDescent="0.75">
      <c r="A4372" s="51">
        <v>44930</v>
      </c>
      <c r="B4372" s="52">
        <v>874</v>
      </c>
      <c r="C4372" s="8" t="s">
        <v>3805</v>
      </c>
      <c r="D4372" s="8" t="s">
        <v>280</v>
      </c>
      <c r="E4372" s="52">
        <v>55</v>
      </c>
      <c r="F4372" s="13"/>
      <c r="G4372" s="13">
        <v>847.65</v>
      </c>
    </row>
    <row r="4373" spans="1:7" hidden="1" x14ac:dyDescent="0.75">
      <c r="A4373" s="51">
        <v>44932</v>
      </c>
      <c r="B4373" s="52">
        <v>874</v>
      </c>
      <c r="C4373" s="8" t="s">
        <v>3863</v>
      </c>
      <c r="D4373" s="8" t="s">
        <v>280</v>
      </c>
      <c r="E4373" s="52">
        <v>55</v>
      </c>
      <c r="F4373" s="13"/>
      <c r="G4373" s="13">
        <v>1251.9000000000001</v>
      </c>
    </row>
    <row r="4374" spans="1:7" hidden="1" x14ac:dyDescent="0.75">
      <c r="A4374" s="51">
        <v>44932</v>
      </c>
      <c r="B4374" s="52">
        <v>874</v>
      </c>
      <c r="C4374" s="8" t="s">
        <v>3864</v>
      </c>
      <c r="D4374" s="8" t="s">
        <v>280</v>
      </c>
      <c r="E4374" s="52">
        <v>55</v>
      </c>
      <c r="F4374" s="13"/>
      <c r="G4374" s="13">
        <v>1031.5</v>
      </c>
    </row>
    <row r="4375" spans="1:7" hidden="1" x14ac:dyDescent="0.75">
      <c r="A4375" s="51">
        <v>44933</v>
      </c>
      <c r="B4375" s="52">
        <v>874</v>
      </c>
      <c r="C4375" s="8" t="s">
        <v>3902</v>
      </c>
      <c r="D4375" s="8" t="s">
        <v>280</v>
      </c>
      <c r="E4375" s="52">
        <v>55</v>
      </c>
      <c r="F4375" s="13"/>
      <c r="G4375" s="13">
        <v>60</v>
      </c>
    </row>
    <row r="4376" spans="1:7" hidden="1" x14ac:dyDescent="0.75">
      <c r="A4376" s="51">
        <v>44935</v>
      </c>
      <c r="B4376" s="52">
        <v>874</v>
      </c>
      <c r="C4376" s="8" t="s">
        <v>3937</v>
      </c>
      <c r="D4376" s="8" t="s">
        <v>280</v>
      </c>
      <c r="E4376" s="52">
        <v>55</v>
      </c>
      <c r="F4376" s="13"/>
      <c r="G4376" s="13">
        <v>856.75</v>
      </c>
    </row>
    <row r="4377" spans="1:7" hidden="1" x14ac:dyDescent="0.75">
      <c r="A4377" s="51">
        <v>44935</v>
      </c>
      <c r="B4377" s="52">
        <v>874</v>
      </c>
      <c r="C4377" s="8" t="s">
        <v>3938</v>
      </c>
      <c r="D4377" s="8" t="s">
        <v>280</v>
      </c>
      <c r="E4377" s="52">
        <v>55</v>
      </c>
      <c r="F4377" s="13"/>
      <c r="G4377" s="13">
        <v>845.25</v>
      </c>
    </row>
    <row r="4378" spans="1:7" hidden="1" x14ac:dyDescent="0.75">
      <c r="A4378" s="51">
        <v>44937</v>
      </c>
      <c r="B4378" s="52">
        <v>874</v>
      </c>
      <c r="C4378" s="8" t="s">
        <v>4006</v>
      </c>
      <c r="D4378" s="8" t="s">
        <v>280</v>
      </c>
      <c r="E4378" s="52">
        <v>55</v>
      </c>
      <c r="F4378" s="13"/>
      <c r="G4378" s="13">
        <v>973.15</v>
      </c>
    </row>
    <row r="4379" spans="1:7" hidden="1" x14ac:dyDescent="0.75">
      <c r="A4379" s="51">
        <v>44937</v>
      </c>
      <c r="B4379" s="52">
        <v>874</v>
      </c>
      <c r="C4379" s="8" t="s">
        <v>4007</v>
      </c>
      <c r="D4379" s="8" t="s">
        <v>280</v>
      </c>
      <c r="E4379" s="52">
        <v>55</v>
      </c>
      <c r="F4379" s="13"/>
      <c r="G4379" s="13">
        <v>633.20000000000005</v>
      </c>
    </row>
    <row r="4380" spans="1:7" hidden="1" x14ac:dyDescent="0.75">
      <c r="A4380" s="51">
        <v>44939</v>
      </c>
      <c r="B4380" s="52">
        <v>874</v>
      </c>
      <c r="C4380" s="8" t="s">
        <v>4061</v>
      </c>
      <c r="D4380" s="8" t="s">
        <v>280</v>
      </c>
      <c r="E4380" s="52">
        <v>55</v>
      </c>
      <c r="F4380" s="13"/>
      <c r="G4380" s="13">
        <v>966.5</v>
      </c>
    </row>
    <row r="4381" spans="1:7" hidden="1" x14ac:dyDescent="0.75">
      <c r="A4381" s="51">
        <v>44939</v>
      </c>
      <c r="B4381" s="52">
        <v>874</v>
      </c>
      <c r="C4381" s="8" t="s">
        <v>4062</v>
      </c>
      <c r="D4381" s="8" t="s">
        <v>280</v>
      </c>
      <c r="E4381" s="52">
        <v>55</v>
      </c>
      <c r="F4381" s="13"/>
      <c r="G4381" s="13">
        <v>899.45</v>
      </c>
    </row>
    <row r="4382" spans="1:7" hidden="1" x14ac:dyDescent="0.75">
      <c r="A4382" s="51">
        <v>44942</v>
      </c>
      <c r="B4382" s="52">
        <v>874</v>
      </c>
      <c r="C4382" s="8" t="s">
        <v>4127</v>
      </c>
      <c r="D4382" s="8" t="s">
        <v>280</v>
      </c>
      <c r="E4382" s="52">
        <v>55</v>
      </c>
      <c r="F4382" s="13"/>
      <c r="G4382" s="13">
        <v>909</v>
      </c>
    </row>
    <row r="4383" spans="1:7" hidden="1" x14ac:dyDescent="0.75">
      <c r="A4383" s="51">
        <v>44942</v>
      </c>
      <c r="B4383" s="52">
        <v>874</v>
      </c>
      <c r="C4383" s="8" t="s">
        <v>4128</v>
      </c>
      <c r="D4383" s="8" t="s">
        <v>280</v>
      </c>
      <c r="E4383" s="52">
        <v>55</v>
      </c>
      <c r="F4383" s="13"/>
      <c r="G4383" s="13">
        <v>872.6</v>
      </c>
    </row>
    <row r="4384" spans="1:7" hidden="1" x14ac:dyDescent="0.75">
      <c r="A4384" s="51">
        <v>44944</v>
      </c>
      <c r="B4384" s="52">
        <v>874</v>
      </c>
      <c r="C4384" s="8" t="s">
        <v>4184</v>
      </c>
      <c r="D4384" s="8" t="s">
        <v>280</v>
      </c>
      <c r="E4384" s="52">
        <v>55</v>
      </c>
      <c r="F4384" s="13"/>
      <c r="G4384" s="13">
        <v>971.85</v>
      </c>
    </row>
    <row r="4385" spans="1:7" hidden="1" x14ac:dyDescent="0.75">
      <c r="A4385" s="51">
        <v>44944</v>
      </c>
      <c r="B4385" s="52">
        <v>874</v>
      </c>
      <c r="C4385" s="8" t="s">
        <v>4185</v>
      </c>
      <c r="D4385" s="8" t="s">
        <v>280</v>
      </c>
      <c r="E4385" s="52">
        <v>55</v>
      </c>
      <c r="F4385" s="13"/>
      <c r="G4385" s="13">
        <v>579.75</v>
      </c>
    </row>
    <row r="4386" spans="1:7" hidden="1" x14ac:dyDescent="0.75">
      <c r="A4386" s="51">
        <v>44944</v>
      </c>
      <c r="B4386" s="52">
        <v>874</v>
      </c>
      <c r="C4386" s="8" t="s">
        <v>4186</v>
      </c>
      <c r="D4386" s="8" t="s">
        <v>280</v>
      </c>
      <c r="E4386" s="52">
        <v>55</v>
      </c>
      <c r="F4386" s="13"/>
      <c r="G4386" s="13">
        <v>252</v>
      </c>
    </row>
    <row r="4387" spans="1:7" hidden="1" x14ac:dyDescent="0.75">
      <c r="A4387" s="51">
        <v>44946</v>
      </c>
      <c r="B4387" s="52">
        <v>874</v>
      </c>
      <c r="C4387" s="8" t="s">
        <v>4241</v>
      </c>
      <c r="D4387" s="8" t="s">
        <v>280</v>
      </c>
      <c r="E4387" s="52">
        <v>55</v>
      </c>
      <c r="F4387" s="13"/>
      <c r="G4387" s="13">
        <v>1151.3</v>
      </c>
    </row>
    <row r="4388" spans="1:7" hidden="1" x14ac:dyDescent="0.75">
      <c r="A4388" s="51">
        <v>44946</v>
      </c>
      <c r="B4388" s="52">
        <v>874</v>
      </c>
      <c r="C4388" s="8" t="s">
        <v>4242</v>
      </c>
      <c r="D4388" s="8" t="s">
        <v>280</v>
      </c>
      <c r="E4388" s="52">
        <v>55</v>
      </c>
      <c r="F4388" s="13"/>
      <c r="G4388" s="13">
        <v>891.45</v>
      </c>
    </row>
    <row r="4389" spans="1:7" hidden="1" x14ac:dyDescent="0.75">
      <c r="A4389" s="51">
        <v>44946</v>
      </c>
      <c r="B4389" s="52">
        <v>874</v>
      </c>
      <c r="C4389" s="8" t="s">
        <v>1748</v>
      </c>
      <c r="D4389" s="8" t="s">
        <v>280</v>
      </c>
      <c r="E4389" s="52">
        <v>8</v>
      </c>
      <c r="F4389" s="13">
        <v>8940.15</v>
      </c>
      <c r="G4389" s="13"/>
    </row>
    <row r="4390" spans="1:7" hidden="1" x14ac:dyDescent="0.75">
      <c r="A4390" s="51">
        <v>44949</v>
      </c>
      <c r="B4390" s="52">
        <v>874</v>
      </c>
      <c r="C4390" s="8" t="s">
        <v>4303</v>
      </c>
      <c r="D4390" s="8" t="s">
        <v>280</v>
      </c>
      <c r="E4390" s="52">
        <v>55</v>
      </c>
      <c r="F4390" s="13"/>
      <c r="G4390" s="13">
        <v>1002.7</v>
      </c>
    </row>
    <row r="4391" spans="1:7" hidden="1" x14ac:dyDescent="0.75">
      <c r="A4391" s="51">
        <v>44949</v>
      </c>
      <c r="B4391" s="52">
        <v>874</v>
      </c>
      <c r="C4391" s="8" t="s">
        <v>4304</v>
      </c>
      <c r="D4391" s="8" t="s">
        <v>280</v>
      </c>
      <c r="E4391" s="52">
        <v>55</v>
      </c>
      <c r="F4391" s="13"/>
      <c r="G4391" s="13">
        <v>1054.1500000000001</v>
      </c>
    </row>
    <row r="4392" spans="1:7" hidden="1" x14ac:dyDescent="0.75">
      <c r="A4392" s="51">
        <v>44949</v>
      </c>
      <c r="B4392" s="52">
        <v>874</v>
      </c>
      <c r="C4392" s="8" t="s">
        <v>4305</v>
      </c>
      <c r="D4392" s="8" t="s">
        <v>280</v>
      </c>
      <c r="E4392" s="52">
        <v>55</v>
      </c>
      <c r="F4392" s="13"/>
      <c r="G4392" s="13">
        <v>320.60000000000002</v>
      </c>
    </row>
    <row r="4393" spans="1:7" hidden="1" x14ac:dyDescent="0.75">
      <c r="A4393" s="51">
        <v>44951</v>
      </c>
      <c r="B4393" s="52">
        <v>874</v>
      </c>
      <c r="C4393" s="8" t="s">
        <v>4371</v>
      </c>
      <c r="D4393" s="8" t="s">
        <v>280</v>
      </c>
      <c r="E4393" s="52">
        <v>55</v>
      </c>
      <c r="F4393" s="13"/>
      <c r="G4393" s="13">
        <v>1148.55</v>
      </c>
    </row>
    <row r="4394" spans="1:7" hidden="1" x14ac:dyDescent="0.75">
      <c r="A4394" s="51">
        <v>44951</v>
      </c>
      <c r="B4394" s="52">
        <v>874</v>
      </c>
      <c r="C4394" s="8" t="s">
        <v>4372</v>
      </c>
      <c r="D4394" s="8" t="s">
        <v>280</v>
      </c>
      <c r="E4394" s="52">
        <v>55</v>
      </c>
      <c r="F4394" s="13"/>
      <c r="G4394" s="13">
        <v>1164.95</v>
      </c>
    </row>
    <row r="4395" spans="1:7" hidden="1" x14ac:dyDescent="0.75">
      <c r="A4395" s="51">
        <v>44953</v>
      </c>
      <c r="B4395" s="52">
        <v>874</v>
      </c>
      <c r="C4395" s="8" t="s">
        <v>4438</v>
      </c>
      <c r="D4395" s="8" t="s">
        <v>280</v>
      </c>
      <c r="E4395" s="52">
        <v>55</v>
      </c>
      <c r="F4395" s="13"/>
      <c r="G4395" s="13">
        <v>1088.8</v>
      </c>
    </row>
    <row r="4396" spans="1:7" hidden="1" x14ac:dyDescent="0.75">
      <c r="A4396" s="51">
        <v>44953</v>
      </c>
      <c r="B4396" s="52">
        <v>874</v>
      </c>
      <c r="C4396" s="8" t="s">
        <v>4439</v>
      </c>
      <c r="D4396" s="8" t="s">
        <v>280</v>
      </c>
      <c r="E4396" s="52">
        <v>55</v>
      </c>
      <c r="F4396" s="13"/>
      <c r="G4396" s="13">
        <v>1057.05</v>
      </c>
    </row>
    <row r="4397" spans="1:7" hidden="1" x14ac:dyDescent="0.75">
      <c r="A4397" s="51">
        <v>44956</v>
      </c>
      <c r="B4397" s="52">
        <v>874</v>
      </c>
      <c r="C4397" s="8" t="s">
        <v>4499</v>
      </c>
      <c r="D4397" s="8" t="s">
        <v>280</v>
      </c>
      <c r="E4397" s="52">
        <v>55</v>
      </c>
      <c r="F4397" s="13"/>
      <c r="G4397" s="13">
        <v>1013.75</v>
      </c>
    </row>
    <row r="4398" spans="1:7" hidden="1" x14ac:dyDescent="0.75">
      <c r="A4398" s="51">
        <v>44956</v>
      </c>
      <c r="B4398" s="52">
        <v>874</v>
      </c>
      <c r="C4398" s="8" t="s">
        <v>4500</v>
      </c>
      <c r="D4398" s="8" t="s">
        <v>280</v>
      </c>
      <c r="E4398" s="52">
        <v>55</v>
      </c>
      <c r="F4398" s="13"/>
      <c r="G4398" s="13">
        <v>936.95</v>
      </c>
    </row>
    <row r="4399" spans="1:7" hidden="1" x14ac:dyDescent="0.75">
      <c r="A4399" s="51">
        <v>44956</v>
      </c>
      <c r="B4399" s="52">
        <v>874</v>
      </c>
      <c r="C4399" s="8" t="s">
        <v>1748</v>
      </c>
      <c r="D4399" s="8" t="s">
        <v>280</v>
      </c>
      <c r="E4399" s="52">
        <v>8</v>
      </c>
      <c r="F4399" s="13">
        <v>12057.5</v>
      </c>
      <c r="G4399" s="13"/>
    </row>
    <row r="4400" spans="1:7" hidden="1" x14ac:dyDescent="0.75">
      <c r="A4400" s="51">
        <v>44928</v>
      </c>
      <c r="B4400" s="52">
        <v>703</v>
      </c>
      <c r="C4400" s="8" t="s">
        <v>3726</v>
      </c>
      <c r="D4400" s="8" t="s">
        <v>281</v>
      </c>
      <c r="E4400" s="52">
        <v>55</v>
      </c>
      <c r="F4400" s="13"/>
      <c r="G4400" s="13">
        <v>30</v>
      </c>
    </row>
    <row r="4401" spans="1:7" hidden="1" x14ac:dyDescent="0.75">
      <c r="A4401" s="51">
        <v>44928</v>
      </c>
      <c r="B4401" s="52">
        <v>703</v>
      </c>
      <c r="C4401" s="8" t="s">
        <v>1525</v>
      </c>
      <c r="D4401" s="8" t="s">
        <v>281</v>
      </c>
      <c r="E4401" s="52">
        <v>8</v>
      </c>
      <c r="F4401" s="13">
        <v>480</v>
      </c>
      <c r="G4401" s="13"/>
    </row>
    <row r="4402" spans="1:7" hidden="1" x14ac:dyDescent="0.75">
      <c r="A4402" s="51">
        <v>44928</v>
      </c>
      <c r="B4402" s="52">
        <v>703</v>
      </c>
      <c r="C4402" s="8" t="s">
        <v>1525</v>
      </c>
      <c r="D4402" s="8" t="s">
        <v>281</v>
      </c>
      <c r="E4402" s="52">
        <v>8</v>
      </c>
      <c r="F4402" s="13">
        <v>500</v>
      </c>
      <c r="G4402" s="13"/>
    </row>
    <row r="4403" spans="1:7" hidden="1" x14ac:dyDescent="0.75">
      <c r="A4403" s="51">
        <v>44929</v>
      </c>
      <c r="B4403" s="52">
        <v>703</v>
      </c>
      <c r="C4403" s="8" t="s">
        <v>3755</v>
      </c>
      <c r="D4403" s="8" t="s">
        <v>281</v>
      </c>
      <c r="E4403" s="52">
        <v>55</v>
      </c>
      <c r="F4403" s="13"/>
      <c r="G4403" s="13">
        <v>80</v>
      </c>
    </row>
    <row r="4404" spans="1:7" hidden="1" x14ac:dyDescent="0.75">
      <c r="A4404" s="51">
        <v>44931</v>
      </c>
      <c r="B4404" s="52">
        <v>703</v>
      </c>
      <c r="C4404" s="8" t="s">
        <v>3821</v>
      </c>
      <c r="D4404" s="8" t="s">
        <v>281</v>
      </c>
      <c r="E4404" s="52">
        <v>55</v>
      </c>
      <c r="F4404" s="13"/>
      <c r="G4404" s="13">
        <v>80</v>
      </c>
    </row>
    <row r="4405" spans="1:7" hidden="1" x14ac:dyDescent="0.75">
      <c r="A4405" s="51">
        <v>44932</v>
      </c>
      <c r="B4405" s="52">
        <v>703</v>
      </c>
      <c r="C4405" s="8" t="s">
        <v>3844</v>
      </c>
      <c r="D4405" s="8" t="s">
        <v>281</v>
      </c>
      <c r="E4405" s="52">
        <v>55</v>
      </c>
      <c r="F4405" s="13"/>
      <c r="G4405" s="13">
        <v>40</v>
      </c>
    </row>
    <row r="4406" spans="1:7" hidden="1" x14ac:dyDescent="0.75">
      <c r="A4406" s="51">
        <v>44933</v>
      </c>
      <c r="B4406" s="52">
        <v>703</v>
      </c>
      <c r="C4406" s="8" t="s">
        <v>3880</v>
      </c>
      <c r="D4406" s="8" t="s">
        <v>281</v>
      </c>
      <c r="E4406" s="52">
        <v>55</v>
      </c>
      <c r="F4406" s="13"/>
      <c r="G4406" s="13">
        <v>90</v>
      </c>
    </row>
    <row r="4407" spans="1:7" hidden="1" x14ac:dyDescent="0.75">
      <c r="A4407" s="51">
        <v>44935</v>
      </c>
      <c r="B4407" s="52">
        <v>703</v>
      </c>
      <c r="C4407" s="8" t="s">
        <v>3921</v>
      </c>
      <c r="D4407" s="8" t="s">
        <v>281</v>
      </c>
      <c r="E4407" s="52">
        <v>55</v>
      </c>
      <c r="F4407" s="13"/>
      <c r="G4407" s="13">
        <v>150</v>
      </c>
    </row>
    <row r="4408" spans="1:7" hidden="1" x14ac:dyDescent="0.75">
      <c r="A4408" s="51">
        <v>44936</v>
      </c>
      <c r="B4408" s="52">
        <v>703</v>
      </c>
      <c r="C4408" s="8" t="s">
        <v>3957</v>
      </c>
      <c r="D4408" s="8" t="s">
        <v>281</v>
      </c>
      <c r="E4408" s="52">
        <v>55</v>
      </c>
      <c r="F4408" s="13"/>
      <c r="G4408" s="13">
        <v>90</v>
      </c>
    </row>
    <row r="4409" spans="1:7" hidden="1" x14ac:dyDescent="0.75">
      <c r="A4409" s="51">
        <v>44937</v>
      </c>
      <c r="B4409" s="52">
        <v>703</v>
      </c>
      <c r="C4409" s="8" t="s">
        <v>1525</v>
      </c>
      <c r="D4409" s="8" t="s">
        <v>281</v>
      </c>
      <c r="E4409" s="52">
        <v>8</v>
      </c>
      <c r="F4409" s="13">
        <v>450</v>
      </c>
      <c r="G4409" s="13"/>
    </row>
    <row r="4410" spans="1:7" hidden="1" x14ac:dyDescent="0.75">
      <c r="A4410" s="51">
        <v>44937</v>
      </c>
      <c r="B4410" s="52">
        <v>703</v>
      </c>
      <c r="C4410" s="8" t="s">
        <v>1525</v>
      </c>
      <c r="D4410" s="8" t="s">
        <v>281</v>
      </c>
      <c r="E4410" s="52">
        <v>8</v>
      </c>
      <c r="F4410" s="13">
        <v>513</v>
      </c>
      <c r="G4410" s="13"/>
    </row>
    <row r="4411" spans="1:7" hidden="1" x14ac:dyDescent="0.75">
      <c r="A4411" s="51">
        <v>44938</v>
      </c>
      <c r="B4411" s="52">
        <v>703</v>
      </c>
      <c r="C4411" s="8" t="s">
        <v>4022</v>
      </c>
      <c r="D4411" s="8" t="s">
        <v>281</v>
      </c>
      <c r="E4411" s="52">
        <v>55</v>
      </c>
      <c r="F4411" s="13"/>
      <c r="G4411" s="13">
        <v>40</v>
      </c>
    </row>
    <row r="4412" spans="1:7" hidden="1" x14ac:dyDescent="0.75">
      <c r="A4412" s="51">
        <v>44939</v>
      </c>
      <c r="B4412" s="52">
        <v>703</v>
      </c>
      <c r="C4412" s="8" t="s">
        <v>4044</v>
      </c>
      <c r="D4412" s="8" t="s">
        <v>281</v>
      </c>
      <c r="E4412" s="52">
        <v>55</v>
      </c>
      <c r="F4412" s="13"/>
      <c r="G4412" s="13">
        <v>40</v>
      </c>
    </row>
    <row r="4413" spans="1:7" hidden="1" x14ac:dyDescent="0.75">
      <c r="A4413" s="51">
        <v>44940</v>
      </c>
      <c r="B4413" s="52">
        <v>703</v>
      </c>
      <c r="C4413" s="8" t="s">
        <v>4083</v>
      </c>
      <c r="D4413" s="8" t="s">
        <v>281</v>
      </c>
      <c r="E4413" s="52">
        <v>55</v>
      </c>
      <c r="F4413" s="13"/>
      <c r="G4413" s="13">
        <v>30</v>
      </c>
    </row>
    <row r="4414" spans="1:7" hidden="1" x14ac:dyDescent="0.75">
      <c r="A4414" s="51">
        <v>44942</v>
      </c>
      <c r="B4414" s="52">
        <v>703</v>
      </c>
      <c r="C4414" s="8" t="s">
        <v>4112</v>
      </c>
      <c r="D4414" s="8" t="s">
        <v>281</v>
      </c>
      <c r="E4414" s="52">
        <v>55</v>
      </c>
      <c r="F4414" s="13"/>
      <c r="G4414" s="13">
        <v>80</v>
      </c>
    </row>
    <row r="4415" spans="1:7" hidden="1" x14ac:dyDescent="0.75">
      <c r="A4415" s="51">
        <v>44943</v>
      </c>
      <c r="B4415" s="52">
        <v>703</v>
      </c>
      <c r="C4415" s="8" t="s">
        <v>1525</v>
      </c>
      <c r="D4415" s="8" t="s">
        <v>281</v>
      </c>
      <c r="E4415" s="52">
        <v>8</v>
      </c>
      <c r="F4415" s="13">
        <v>320</v>
      </c>
      <c r="G4415" s="13"/>
    </row>
    <row r="4416" spans="1:7" hidden="1" x14ac:dyDescent="0.75">
      <c r="A4416" s="51">
        <v>44945</v>
      </c>
      <c r="B4416" s="52">
        <v>703</v>
      </c>
      <c r="C4416" s="8" t="s">
        <v>4199</v>
      </c>
      <c r="D4416" s="8" t="s">
        <v>281</v>
      </c>
      <c r="E4416" s="52">
        <v>55</v>
      </c>
      <c r="F4416" s="13"/>
      <c r="G4416" s="13">
        <v>40</v>
      </c>
    </row>
    <row r="4417" spans="1:7" hidden="1" x14ac:dyDescent="0.75">
      <c r="A4417" s="51">
        <v>44946</v>
      </c>
      <c r="B4417" s="52">
        <v>703</v>
      </c>
      <c r="C4417" s="8" t="s">
        <v>1525</v>
      </c>
      <c r="D4417" s="8" t="s">
        <v>281</v>
      </c>
      <c r="E4417" s="52">
        <v>8</v>
      </c>
      <c r="F4417" s="13">
        <v>518.4</v>
      </c>
      <c r="G4417" s="13"/>
    </row>
    <row r="4418" spans="1:7" hidden="1" x14ac:dyDescent="0.75">
      <c r="A4418" s="51">
        <v>44947</v>
      </c>
      <c r="B4418" s="52">
        <v>703</v>
      </c>
      <c r="C4418" s="8" t="s">
        <v>4261</v>
      </c>
      <c r="D4418" s="8" t="s">
        <v>281</v>
      </c>
      <c r="E4418" s="52">
        <v>55</v>
      </c>
      <c r="F4418" s="13"/>
      <c r="G4418" s="13">
        <v>80</v>
      </c>
    </row>
    <row r="4419" spans="1:7" hidden="1" x14ac:dyDescent="0.75">
      <c r="A4419" s="51">
        <v>44949</v>
      </c>
      <c r="B4419" s="52">
        <v>703</v>
      </c>
      <c r="C4419" s="8" t="s">
        <v>4292</v>
      </c>
      <c r="D4419" s="8" t="s">
        <v>281</v>
      </c>
      <c r="E4419" s="52">
        <v>55</v>
      </c>
      <c r="F4419" s="13"/>
      <c r="G4419" s="13">
        <v>90</v>
      </c>
    </row>
    <row r="4420" spans="1:7" hidden="1" x14ac:dyDescent="0.75">
      <c r="A4420" s="51">
        <v>44950</v>
      </c>
      <c r="B4420" s="52">
        <v>703</v>
      </c>
      <c r="C4420" s="8" t="s">
        <v>4316</v>
      </c>
      <c r="D4420" s="8" t="s">
        <v>281</v>
      </c>
      <c r="E4420" s="52">
        <v>55</v>
      </c>
      <c r="F4420" s="13"/>
      <c r="G4420" s="13">
        <v>60</v>
      </c>
    </row>
    <row r="4421" spans="1:7" hidden="1" x14ac:dyDescent="0.75">
      <c r="A4421" s="51">
        <v>44952</v>
      </c>
      <c r="B4421" s="52">
        <v>703</v>
      </c>
      <c r="C4421" s="8" t="s">
        <v>4391</v>
      </c>
      <c r="D4421" s="8" t="s">
        <v>281</v>
      </c>
      <c r="E4421" s="52">
        <v>55</v>
      </c>
      <c r="F4421" s="13"/>
      <c r="G4421" s="13">
        <v>60</v>
      </c>
    </row>
    <row r="4422" spans="1:7" hidden="1" x14ac:dyDescent="0.75">
      <c r="A4422" s="51">
        <v>44956</v>
      </c>
      <c r="B4422" s="52">
        <v>703</v>
      </c>
      <c r="C4422" s="8" t="s">
        <v>1852</v>
      </c>
      <c r="D4422" s="8" t="s">
        <v>281</v>
      </c>
      <c r="E4422" s="52">
        <v>8</v>
      </c>
      <c r="F4422" s="13">
        <v>175</v>
      </c>
      <c r="G4422" s="13"/>
    </row>
    <row r="4423" spans="1:7" hidden="1" x14ac:dyDescent="0.75">
      <c r="A4423" s="51">
        <v>44956</v>
      </c>
      <c r="B4423" s="52">
        <v>703</v>
      </c>
      <c r="C4423" s="8" t="s">
        <v>1853</v>
      </c>
      <c r="D4423" s="8" t="s">
        <v>281</v>
      </c>
      <c r="E4423" s="52">
        <v>8</v>
      </c>
      <c r="F4423" s="13">
        <v>160</v>
      </c>
      <c r="G4423" s="13"/>
    </row>
    <row r="4424" spans="1:7" hidden="1" x14ac:dyDescent="0.75">
      <c r="A4424" s="51">
        <v>44956</v>
      </c>
      <c r="B4424" s="52">
        <v>703</v>
      </c>
      <c r="C4424" s="8" t="s">
        <v>1854</v>
      </c>
      <c r="D4424" s="8" t="s">
        <v>281</v>
      </c>
      <c r="E4424" s="52">
        <v>8</v>
      </c>
      <c r="F4424" s="13">
        <v>160</v>
      </c>
      <c r="G4424" s="13"/>
    </row>
    <row r="4425" spans="1:7" hidden="1" x14ac:dyDescent="0.75">
      <c r="A4425" s="51">
        <v>44956</v>
      </c>
      <c r="B4425" s="52">
        <v>703</v>
      </c>
      <c r="C4425" s="8" t="s">
        <v>1525</v>
      </c>
      <c r="D4425" s="8" t="s">
        <v>281</v>
      </c>
      <c r="E4425" s="52">
        <v>8</v>
      </c>
      <c r="F4425" s="13">
        <v>125</v>
      </c>
      <c r="G4425" s="13"/>
    </row>
    <row r="4426" spans="1:7" hidden="1" x14ac:dyDescent="0.75">
      <c r="A4426" s="51">
        <v>44956</v>
      </c>
      <c r="B4426" s="52">
        <v>703</v>
      </c>
      <c r="C4426" s="8" t="s">
        <v>1525</v>
      </c>
      <c r="D4426" s="8" t="s">
        <v>281</v>
      </c>
      <c r="E4426" s="52">
        <v>8</v>
      </c>
      <c r="F4426" s="13">
        <v>510</v>
      </c>
      <c r="G4426" s="13"/>
    </row>
    <row r="4427" spans="1:7" hidden="1" x14ac:dyDescent="0.75">
      <c r="A4427" s="51">
        <v>44928</v>
      </c>
      <c r="B4427" s="52">
        <v>748</v>
      </c>
      <c r="C4427" s="8" t="s">
        <v>3733</v>
      </c>
      <c r="D4427" s="8" t="s">
        <v>282</v>
      </c>
      <c r="E4427" s="52">
        <v>55</v>
      </c>
      <c r="F4427" s="13"/>
      <c r="G4427" s="13">
        <v>2117</v>
      </c>
    </row>
    <row r="4428" spans="1:7" hidden="1" x14ac:dyDescent="0.75">
      <c r="A4428" s="51">
        <v>44929</v>
      </c>
      <c r="B4428" s="52">
        <v>748</v>
      </c>
      <c r="C4428" s="8" t="s">
        <v>3766</v>
      </c>
      <c r="D4428" s="8" t="s">
        <v>282</v>
      </c>
      <c r="E4428" s="52">
        <v>55</v>
      </c>
      <c r="F4428" s="13"/>
      <c r="G4428" s="13">
        <v>648</v>
      </c>
    </row>
    <row r="4429" spans="1:7" hidden="1" x14ac:dyDescent="0.75">
      <c r="A4429" s="51">
        <v>44930</v>
      </c>
      <c r="B4429" s="52">
        <v>748</v>
      </c>
      <c r="C4429" s="8" t="s">
        <v>3797</v>
      </c>
      <c r="D4429" s="8" t="s">
        <v>282</v>
      </c>
      <c r="E4429" s="52">
        <v>55</v>
      </c>
      <c r="F4429" s="13"/>
      <c r="G4429" s="13">
        <v>1386.4</v>
      </c>
    </row>
    <row r="4430" spans="1:7" hidden="1" x14ac:dyDescent="0.75">
      <c r="A4430" s="51">
        <v>44931</v>
      </c>
      <c r="B4430" s="52">
        <v>748</v>
      </c>
      <c r="C4430" s="8" t="s">
        <v>3827</v>
      </c>
      <c r="D4430" s="8" t="s">
        <v>282</v>
      </c>
      <c r="E4430" s="52">
        <v>55</v>
      </c>
      <c r="F4430" s="13"/>
      <c r="G4430" s="13">
        <v>1210</v>
      </c>
    </row>
    <row r="4431" spans="1:7" hidden="1" x14ac:dyDescent="0.75">
      <c r="A4431" s="51">
        <v>44931</v>
      </c>
      <c r="B4431" s="52">
        <v>748</v>
      </c>
      <c r="C4431" s="8" t="s">
        <v>1565</v>
      </c>
      <c r="D4431" s="8" t="s">
        <v>282</v>
      </c>
      <c r="E4431" s="52">
        <v>8</v>
      </c>
      <c r="F4431" s="13">
        <v>30397.5</v>
      </c>
      <c r="G4431" s="13"/>
    </row>
    <row r="4432" spans="1:7" hidden="1" x14ac:dyDescent="0.75">
      <c r="A4432" s="51">
        <v>44932</v>
      </c>
      <c r="B4432" s="52">
        <v>748</v>
      </c>
      <c r="C4432" s="8" t="s">
        <v>3853</v>
      </c>
      <c r="D4432" s="8" t="s">
        <v>282</v>
      </c>
      <c r="E4432" s="52">
        <v>55</v>
      </c>
      <c r="F4432" s="13"/>
      <c r="G4432" s="13">
        <v>649</v>
      </c>
    </row>
    <row r="4433" spans="1:7" hidden="1" x14ac:dyDescent="0.75">
      <c r="A4433" s="51">
        <v>44933</v>
      </c>
      <c r="B4433" s="52">
        <v>748</v>
      </c>
      <c r="C4433" s="8" t="s">
        <v>3895</v>
      </c>
      <c r="D4433" s="8" t="s">
        <v>282</v>
      </c>
      <c r="E4433" s="52">
        <v>55</v>
      </c>
      <c r="F4433" s="13"/>
      <c r="G4433" s="13">
        <v>600</v>
      </c>
    </row>
    <row r="4434" spans="1:7" hidden="1" x14ac:dyDescent="0.75">
      <c r="A4434" s="51">
        <v>44935</v>
      </c>
      <c r="B4434" s="52">
        <v>748</v>
      </c>
      <c r="C4434" s="8" t="s">
        <v>3930</v>
      </c>
      <c r="D4434" s="8" t="s">
        <v>282</v>
      </c>
      <c r="E4434" s="52">
        <v>55</v>
      </c>
      <c r="F4434" s="13"/>
      <c r="G4434" s="13">
        <v>1028.2</v>
      </c>
    </row>
    <row r="4435" spans="1:7" hidden="1" x14ac:dyDescent="0.75">
      <c r="A4435" s="51">
        <v>44936</v>
      </c>
      <c r="B4435" s="52">
        <v>748</v>
      </c>
      <c r="C4435" s="8" t="s">
        <v>3965</v>
      </c>
      <c r="D4435" s="8" t="s">
        <v>282</v>
      </c>
      <c r="E4435" s="52">
        <v>55</v>
      </c>
      <c r="F4435" s="13"/>
      <c r="G4435" s="13">
        <v>1354</v>
      </c>
    </row>
    <row r="4436" spans="1:7" hidden="1" x14ac:dyDescent="0.75">
      <c r="A4436" s="51">
        <v>44937</v>
      </c>
      <c r="B4436" s="52">
        <v>748</v>
      </c>
      <c r="C4436" s="8" t="s">
        <v>3999</v>
      </c>
      <c r="D4436" s="8" t="s">
        <v>282</v>
      </c>
      <c r="E4436" s="52">
        <v>55</v>
      </c>
      <c r="F4436" s="13"/>
      <c r="G4436" s="13">
        <v>830</v>
      </c>
    </row>
    <row r="4437" spans="1:7" hidden="1" x14ac:dyDescent="0.75">
      <c r="A4437" s="51">
        <v>44938</v>
      </c>
      <c r="B4437" s="52">
        <v>748</v>
      </c>
      <c r="C4437" s="8" t="s">
        <v>4027</v>
      </c>
      <c r="D4437" s="8" t="s">
        <v>282</v>
      </c>
      <c r="E4437" s="52">
        <v>55</v>
      </c>
      <c r="F4437" s="13"/>
      <c r="G4437" s="13">
        <v>840.1</v>
      </c>
    </row>
    <row r="4438" spans="1:7" hidden="1" x14ac:dyDescent="0.75">
      <c r="A4438" s="51">
        <v>44939</v>
      </c>
      <c r="B4438" s="52">
        <v>748</v>
      </c>
      <c r="C4438" s="8" t="s">
        <v>4055</v>
      </c>
      <c r="D4438" s="8" t="s">
        <v>282</v>
      </c>
      <c r="E4438" s="52">
        <v>55</v>
      </c>
      <c r="F4438" s="13"/>
      <c r="G4438" s="13">
        <v>1059.2</v>
      </c>
    </row>
    <row r="4439" spans="1:7" hidden="1" x14ac:dyDescent="0.75">
      <c r="A4439" s="51">
        <v>44940</v>
      </c>
      <c r="B4439" s="52">
        <v>748</v>
      </c>
      <c r="C4439" s="8" t="s">
        <v>4092</v>
      </c>
      <c r="D4439" s="8" t="s">
        <v>282</v>
      </c>
      <c r="E4439" s="52">
        <v>55</v>
      </c>
      <c r="F4439" s="13"/>
      <c r="G4439" s="13">
        <v>528</v>
      </c>
    </row>
    <row r="4440" spans="1:7" hidden="1" x14ac:dyDescent="0.75">
      <c r="A4440" s="51">
        <v>44942</v>
      </c>
      <c r="B4440" s="52">
        <v>748</v>
      </c>
      <c r="C4440" s="8" t="s">
        <v>4120</v>
      </c>
      <c r="D4440" s="8" t="s">
        <v>282</v>
      </c>
      <c r="E4440" s="52">
        <v>55</v>
      </c>
      <c r="F4440" s="13"/>
      <c r="G4440" s="13">
        <v>1136</v>
      </c>
    </row>
    <row r="4441" spans="1:7" hidden="1" x14ac:dyDescent="0.75">
      <c r="A4441" s="51">
        <v>44943</v>
      </c>
      <c r="B4441" s="52">
        <v>748</v>
      </c>
      <c r="C4441" s="8" t="s">
        <v>4149</v>
      </c>
      <c r="D4441" s="8" t="s">
        <v>282</v>
      </c>
      <c r="E4441" s="52">
        <v>55</v>
      </c>
      <c r="F4441" s="13"/>
      <c r="G4441" s="13">
        <v>692</v>
      </c>
    </row>
    <row r="4442" spans="1:7" hidden="1" x14ac:dyDescent="0.75">
      <c r="A4442" s="51">
        <v>44944</v>
      </c>
      <c r="B4442" s="52">
        <v>748</v>
      </c>
      <c r="C4442" s="8" t="s">
        <v>4179</v>
      </c>
      <c r="D4442" s="8" t="s">
        <v>282</v>
      </c>
      <c r="E4442" s="52">
        <v>55</v>
      </c>
      <c r="F4442" s="13"/>
      <c r="G4442" s="13">
        <v>688</v>
      </c>
    </row>
    <row r="4443" spans="1:7" hidden="1" x14ac:dyDescent="0.75">
      <c r="A4443" s="51">
        <v>44945</v>
      </c>
      <c r="B4443" s="52">
        <v>748</v>
      </c>
      <c r="C4443" s="8" t="s">
        <v>4208</v>
      </c>
      <c r="D4443" s="8" t="s">
        <v>282</v>
      </c>
      <c r="E4443" s="52">
        <v>55</v>
      </c>
      <c r="F4443" s="13"/>
      <c r="G4443" s="13">
        <v>2035</v>
      </c>
    </row>
    <row r="4444" spans="1:7" hidden="1" x14ac:dyDescent="0.75">
      <c r="A4444" s="51">
        <v>44946</v>
      </c>
      <c r="B4444" s="52">
        <v>748</v>
      </c>
      <c r="C4444" s="8" t="s">
        <v>4235</v>
      </c>
      <c r="D4444" s="8" t="s">
        <v>282</v>
      </c>
      <c r="E4444" s="52">
        <v>55</v>
      </c>
      <c r="F4444" s="13"/>
      <c r="G4444" s="13">
        <v>2564</v>
      </c>
    </row>
    <row r="4445" spans="1:7" hidden="1" x14ac:dyDescent="0.75">
      <c r="A4445" s="51">
        <v>44947</v>
      </c>
      <c r="B4445" s="52">
        <v>748</v>
      </c>
      <c r="C4445" s="8" t="s">
        <v>4271</v>
      </c>
      <c r="D4445" s="8" t="s">
        <v>282</v>
      </c>
      <c r="E4445" s="52">
        <v>55</v>
      </c>
      <c r="F4445" s="13"/>
      <c r="G4445" s="13">
        <v>1708</v>
      </c>
    </row>
    <row r="4446" spans="1:7" hidden="1" x14ac:dyDescent="0.75">
      <c r="A4446" s="51">
        <v>44949</v>
      </c>
      <c r="B4446" s="52">
        <v>748</v>
      </c>
      <c r="C4446" s="8" t="s">
        <v>4296</v>
      </c>
      <c r="D4446" s="8" t="s">
        <v>282</v>
      </c>
      <c r="E4446" s="52">
        <v>55</v>
      </c>
      <c r="F4446" s="13"/>
      <c r="G4446" s="13">
        <v>1124</v>
      </c>
    </row>
    <row r="4447" spans="1:7" hidden="1" x14ac:dyDescent="0.75">
      <c r="A4447" s="51">
        <v>44950</v>
      </c>
      <c r="B4447" s="52">
        <v>748</v>
      </c>
      <c r="C4447" s="8" t="s">
        <v>4329</v>
      </c>
      <c r="D4447" s="8" t="s">
        <v>282</v>
      </c>
      <c r="E4447" s="52">
        <v>55</v>
      </c>
      <c r="F4447" s="13"/>
      <c r="G4447" s="13">
        <v>1278</v>
      </c>
    </row>
    <row r="4448" spans="1:7" hidden="1" x14ac:dyDescent="0.75">
      <c r="A4448" s="51">
        <v>44951</v>
      </c>
      <c r="B4448" s="52">
        <v>748</v>
      </c>
      <c r="C4448" s="8" t="s">
        <v>4366</v>
      </c>
      <c r="D4448" s="8" t="s">
        <v>282</v>
      </c>
      <c r="E4448" s="52">
        <v>55</v>
      </c>
      <c r="F4448" s="13"/>
      <c r="G4448" s="13">
        <v>1409</v>
      </c>
    </row>
    <row r="4449" spans="1:7" hidden="1" x14ac:dyDescent="0.75">
      <c r="A4449" s="51">
        <v>44952</v>
      </c>
      <c r="B4449" s="52">
        <v>748</v>
      </c>
      <c r="C4449" s="8" t="s">
        <v>4397</v>
      </c>
      <c r="D4449" s="8" t="s">
        <v>282</v>
      </c>
      <c r="E4449" s="52">
        <v>55</v>
      </c>
      <c r="F4449" s="13"/>
      <c r="G4449" s="13">
        <v>1534</v>
      </c>
    </row>
    <row r="4450" spans="1:7" hidden="1" x14ac:dyDescent="0.75">
      <c r="A4450" s="51">
        <v>44953</v>
      </c>
      <c r="B4450" s="52">
        <v>748</v>
      </c>
      <c r="C4450" s="8" t="s">
        <v>4429</v>
      </c>
      <c r="D4450" s="8" t="s">
        <v>282</v>
      </c>
      <c r="E4450" s="52">
        <v>55</v>
      </c>
      <c r="F4450" s="13"/>
      <c r="G4450" s="13">
        <v>1301</v>
      </c>
    </row>
    <row r="4451" spans="1:7" hidden="1" x14ac:dyDescent="0.75">
      <c r="A4451" s="51">
        <v>44954</v>
      </c>
      <c r="B4451" s="52">
        <v>748</v>
      </c>
      <c r="C4451" s="8" t="s">
        <v>4466</v>
      </c>
      <c r="D4451" s="8" t="s">
        <v>282</v>
      </c>
      <c r="E4451" s="52">
        <v>55</v>
      </c>
      <c r="F4451" s="13"/>
      <c r="G4451" s="13">
        <v>1684</v>
      </c>
    </row>
    <row r="4452" spans="1:7" hidden="1" x14ac:dyDescent="0.75">
      <c r="A4452" s="51">
        <v>44956</v>
      </c>
      <c r="B4452" s="52">
        <v>748</v>
      </c>
      <c r="C4452" s="8" t="s">
        <v>4493</v>
      </c>
      <c r="D4452" s="8" t="s">
        <v>282</v>
      </c>
      <c r="E4452" s="52">
        <v>55</v>
      </c>
      <c r="F4452" s="13"/>
      <c r="G4452" s="13">
        <v>1172</v>
      </c>
    </row>
    <row r="4453" spans="1:7" hidden="1" x14ac:dyDescent="0.75">
      <c r="A4453" s="51">
        <v>44956</v>
      </c>
      <c r="B4453" s="52">
        <v>748</v>
      </c>
      <c r="C4453" s="8" t="s">
        <v>1565</v>
      </c>
      <c r="D4453" s="8" t="s">
        <v>282</v>
      </c>
      <c r="E4453" s="52">
        <v>8</v>
      </c>
      <c r="F4453" s="13">
        <v>29311.5</v>
      </c>
      <c r="G4453" s="13"/>
    </row>
    <row r="4454" spans="1:7" hidden="1" x14ac:dyDescent="0.75">
      <c r="A4454" s="51">
        <v>44957</v>
      </c>
      <c r="B4454" s="52">
        <v>748</v>
      </c>
      <c r="C4454" s="8" t="s">
        <v>4525</v>
      </c>
      <c r="D4454" s="8" t="s">
        <v>282</v>
      </c>
      <c r="E4454" s="52">
        <v>55</v>
      </c>
      <c r="F4454" s="13"/>
      <c r="G4454" s="13">
        <v>620</v>
      </c>
    </row>
    <row r="4455" spans="1:7" hidden="1" x14ac:dyDescent="0.75">
      <c r="A4455" s="51">
        <v>44928</v>
      </c>
      <c r="B4455" s="52">
        <v>973</v>
      </c>
      <c r="C4455" s="8" t="s">
        <v>3725</v>
      </c>
      <c r="D4455" s="8" t="s">
        <v>283</v>
      </c>
      <c r="E4455" s="52">
        <v>55</v>
      </c>
      <c r="F4455" s="13"/>
      <c r="G4455" s="13">
        <v>23.7</v>
      </c>
    </row>
    <row r="4456" spans="1:7" hidden="1" x14ac:dyDescent="0.75">
      <c r="A4456" s="51">
        <v>44929</v>
      </c>
      <c r="B4456" s="52">
        <v>973</v>
      </c>
      <c r="C4456" s="8" t="s">
        <v>3753</v>
      </c>
      <c r="D4456" s="8" t="s">
        <v>283</v>
      </c>
      <c r="E4456" s="52">
        <v>55</v>
      </c>
      <c r="F4456" s="13"/>
      <c r="G4456" s="13">
        <v>39.6</v>
      </c>
    </row>
    <row r="4457" spans="1:7" hidden="1" x14ac:dyDescent="0.75">
      <c r="A4457" s="51">
        <v>44929</v>
      </c>
      <c r="B4457" s="52">
        <v>973</v>
      </c>
      <c r="C4457" s="8" t="s">
        <v>1537</v>
      </c>
      <c r="D4457" s="8" t="s">
        <v>283</v>
      </c>
      <c r="E4457" s="52">
        <v>8</v>
      </c>
      <c r="F4457" s="13">
        <v>271</v>
      </c>
      <c r="G4457" s="13"/>
    </row>
    <row r="4458" spans="1:7" hidden="1" x14ac:dyDescent="0.75">
      <c r="A4458" s="51">
        <v>44931</v>
      </c>
      <c r="B4458" s="52">
        <v>973</v>
      </c>
      <c r="C4458" s="8" t="s">
        <v>3817</v>
      </c>
      <c r="D4458" s="8" t="s">
        <v>283</v>
      </c>
      <c r="E4458" s="52">
        <v>55</v>
      </c>
      <c r="F4458" s="13"/>
      <c r="G4458" s="13">
        <v>7</v>
      </c>
    </row>
    <row r="4459" spans="1:7" hidden="1" x14ac:dyDescent="0.75">
      <c r="A4459" s="51">
        <v>44931</v>
      </c>
      <c r="B4459" s="52">
        <v>973</v>
      </c>
      <c r="C4459" s="8" t="s">
        <v>3818</v>
      </c>
      <c r="D4459" s="8" t="s">
        <v>283</v>
      </c>
      <c r="E4459" s="52">
        <v>55</v>
      </c>
      <c r="F4459" s="13"/>
      <c r="G4459" s="13">
        <v>63.8</v>
      </c>
    </row>
    <row r="4460" spans="1:7" hidden="1" x14ac:dyDescent="0.75">
      <c r="A4460" s="51">
        <v>44932</v>
      </c>
      <c r="B4460" s="52">
        <v>973</v>
      </c>
      <c r="C4460" s="8" t="s">
        <v>3842</v>
      </c>
      <c r="D4460" s="8" t="s">
        <v>283</v>
      </c>
      <c r="E4460" s="52">
        <v>55</v>
      </c>
      <c r="F4460" s="13"/>
      <c r="G4460" s="13">
        <v>10.5</v>
      </c>
    </row>
    <row r="4461" spans="1:7" hidden="1" x14ac:dyDescent="0.75">
      <c r="A4461" s="51">
        <v>44933</v>
      </c>
      <c r="B4461" s="52">
        <v>973</v>
      </c>
      <c r="C4461" s="8" t="s">
        <v>3877</v>
      </c>
      <c r="D4461" s="8" t="s">
        <v>283</v>
      </c>
      <c r="E4461" s="52">
        <v>55</v>
      </c>
      <c r="F4461" s="13"/>
      <c r="G4461" s="13">
        <v>24.2</v>
      </c>
    </row>
    <row r="4462" spans="1:7" hidden="1" x14ac:dyDescent="0.75">
      <c r="A4462" s="51">
        <v>44935</v>
      </c>
      <c r="B4462" s="52">
        <v>973</v>
      </c>
      <c r="C4462" s="8" t="s">
        <v>3920</v>
      </c>
      <c r="D4462" s="8" t="s">
        <v>283</v>
      </c>
      <c r="E4462" s="52">
        <v>55</v>
      </c>
      <c r="F4462" s="13"/>
      <c r="G4462" s="13">
        <v>22.4</v>
      </c>
    </row>
    <row r="4463" spans="1:7" hidden="1" x14ac:dyDescent="0.75">
      <c r="A4463" s="51">
        <v>44936</v>
      </c>
      <c r="B4463" s="52">
        <v>973</v>
      </c>
      <c r="C4463" s="8" t="s">
        <v>3955</v>
      </c>
      <c r="D4463" s="8" t="s">
        <v>283</v>
      </c>
      <c r="E4463" s="52">
        <v>55</v>
      </c>
      <c r="F4463" s="13"/>
      <c r="G4463" s="13">
        <v>46.2</v>
      </c>
    </row>
    <row r="4464" spans="1:7" hidden="1" x14ac:dyDescent="0.75">
      <c r="A4464" s="51">
        <v>44937</v>
      </c>
      <c r="B4464" s="52">
        <v>973</v>
      </c>
      <c r="C4464" s="8" t="s">
        <v>1537</v>
      </c>
      <c r="D4464" s="8" t="s">
        <v>283</v>
      </c>
      <c r="E4464" s="52">
        <v>8</v>
      </c>
      <c r="F4464" s="13">
        <v>80</v>
      </c>
      <c r="G4464" s="13"/>
    </row>
    <row r="4465" spans="1:7" hidden="1" x14ac:dyDescent="0.75">
      <c r="A4465" s="51">
        <v>44937</v>
      </c>
      <c r="B4465" s="52">
        <v>973</v>
      </c>
      <c r="C4465" s="8" t="s">
        <v>1649</v>
      </c>
      <c r="D4465" s="8" t="s">
        <v>283</v>
      </c>
      <c r="E4465" s="52">
        <v>8</v>
      </c>
      <c r="F4465" s="13">
        <v>73</v>
      </c>
      <c r="G4465" s="13"/>
    </row>
    <row r="4466" spans="1:7" hidden="1" x14ac:dyDescent="0.75">
      <c r="A4466" s="51">
        <v>44937</v>
      </c>
      <c r="B4466" s="52">
        <v>973</v>
      </c>
      <c r="C4466" s="8" t="s">
        <v>1537</v>
      </c>
      <c r="D4466" s="8" t="s">
        <v>283</v>
      </c>
      <c r="E4466" s="52">
        <v>8</v>
      </c>
      <c r="F4466" s="13">
        <v>161</v>
      </c>
      <c r="G4466" s="13"/>
    </row>
    <row r="4467" spans="1:7" hidden="1" x14ac:dyDescent="0.75">
      <c r="A4467" s="51">
        <v>44938</v>
      </c>
      <c r="B4467" s="52">
        <v>973</v>
      </c>
      <c r="C4467" s="8" t="s">
        <v>4019</v>
      </c>
      <c r="D4467" s="8" t="s">
        <v>283</v>
      </c>
      <c r="E4467" s="52">
        <v>55</v>
      </c>
      <c r="F4467" s="13"/>
      <c r="G4467" s="13">
        <v>2.2000000000000002</v>
      </c>
    </row>
    <row r="4468" spans="1:7" hidden="1" x14ac:dyDescent="0.75">
      <c r="A4468" s="51">
        <v>44940</v>
      </c>
      <c r="B4468" s="52">
        <v>973</v>
      </c>
      <c r="C4468" s="8" t="s">
        <v>4081</v>
      </c>
      <c r="D4468" s="8" t="s">
        <v>283</v>
      </c>
      <c r="E4468" s="52">
        <v>55</v>
      </c>
      <c r="F4468" s="13"/>
      <c r="G4468" s="13">
        <v>24.2</v>
      </c>
    </row>
    <row r="4469" spans="1:7" hidden="1" x14ac:dyDescent="0.75">
      <c r="A4469" s="51">
        <v>44942</v>
      </c>
      <c r="B4469" s="52">
        <v>973</v>
      </c>
      <c r="C4469" s="8" t="s">
        <v>4110</v>
      </c>
      <c r="D4469" s="8" t="s">
        <v>283</v>
      </c>
      <c r="E4469" s="52">
        <v>55</v>
      </c>
      <c r="F4469" s="13"/>
      <c r="G4469" s="13">
        <v>30.8</v>
      </c>
    </row>
    <row r="4470" spans="1:7" hidden="1" x14ac:dyDescent="0.75">
      <c r="A4470" s="51">
        <v>44943</v>
      </c>
      <c r="B4470" s="52">
        <v>973</v>
      </c>
      <c r="C4470" s="8" t="s">
        <v>4135</v>
      </c>
      <c r="D4470" s="8" t="s">
        <v>283</v>
      </c>
      <c r="E4470" s="52">
        <v>55</v>
      </c>
      <c r="F4470" s="13"/>
      <c r="G4470" s="13">
        <v>8.8000000000000007</v>
      </c>
    </row>
    <row r="4471" spans="1:7" hidden="1" x14ac:dyDescent="0.75">
      <c r="A4471" s="51">
        <v>44945</v>
      </c>
      <c r="B4471" s="52">
        <v>973</v>
      </c>
      <c r="C4471" s="8" t="s">
        <v>4197</v>
      </c>
      <c r="D4471" s="8" t="s">
        <v>283</v>
      </c>
      <c r="E4471" s="52">
        <v>55</v>
      </c>
      <c r="F4471" s="13"/>
      <c r="G4471" s="13">
        <v>35.200000000000003</v>
      </c>
    </row>
    <row r="4472" spans="1:7" hidden="1" x14ac:dyDescent="0.75">
      <c r="A4472" s="51">
        <v>44945</v>
      </c>
      <c r="B4472" s="52">
        <v>973</v>
      </c>
      <c r="C4472" s="8" t="s">
        <v>4207</v>
      </c>
      <c r="D4472" s="8" t="s">
        <v>283</v>
      </c>
      <c r="E4472" s="52">
        <v>55</v>
      </c>
      <c r="F4472" s="13"/>
      <c r="G4472" s="13">
        <v>3000</v>
      </c>
    </row>
    <row r="4473" spans="1:7" hidden="1" x14ac:dyDescent="0.75">
      <c r="A4473" s="51">
        <v>44946</v>
      </c>
      <c r="B4473" s="52">
        <v>973</v>
      </c>
      <c r="C4473" s="8" t="s">
        <v>1537</v>
      </c>
      <c r="D4473" s="8" t="s">
        <v>283</v>
      </c>
      <c r="E4473" s="52">
        <v>8</v>
      </c>
      <c r="F4473" s="13">
        <v>219</v>
      </c>
      <c r="G4473" s="13"/>
    </row>
    <row r="4474" spans="1:7" hidden="1" x14ac:dyDescent="0.75">
      <c r="A4474" s="51">
        <v>44947</v>
      </c>
      <c r="B4474" s="52">
        <v>973</v>
      </c>
      <c r="C4474" s="8" t="s">
        <v>4264</v>
      </c>
      <c r="D4474" s="8" t="s">
        <v>283</v>
      </c>
      <c r="E4474" s="52">
        <v>55</v>
      </c>
      <c r="F4474" s="13"/>
      <c r="G4474" s="13">
        <v>17.600000000000001</v>
      </c>
    </row>
    <row r="4475" spans="1:7" hidden="1" x14ac:dyDescent="0.75">
      <c r="A4475" s="51">
        <v>44949</v>
      </c>
      <c r="B4475" s="52">
        <v>973</v>
      </c>
      <c r="C4475" s="8" t="s">
        <v>4289</v>
      </c>
      <c r="D4475" s="8" t="s">
        <v>283</v>
      </c>
      <c r="E4475" s="52">
        <v>55</v>
      </c>
      <c r="F4475" s="13"/>
      <c r="G4475" s="13">
        <v>52.8</v>
      </c>
    </row>
    <row r="4476" spans="1:7" hidden="1" x14ac:dyDescent="0.75">
      <c r="A4476" s="51">
        <v>44950</v>
      </c>
      <c r="B4476" s="52">
        <v>973</v>
      </c>
      <c r="C4476" s="8" t="s">
        <v>4314</v>
      </c>
      <c r="D4476" s="8" t="s">
        <v>283</v>
      </c>
      <c r="E4476" s="52">
        <v>55</v>
      </c>
      <c r="F4476" s="13"/>
      <c r="G4476" s="13">
        <v>37.4</v>
      </c>
    </row>
    <row r="4477" spans="1:7" hidden="1" x14ac:dyDescent="0.75">
      <c r="A4477" s="51">
        <v>44952</v>
      </c>
      <c r="B4477" s="52">
        <v>973</v>
      </c>
      <c r="C4477" s="8" t="s">
        <v>4388</v>
      </c>
      <c r="D4477" s="8" t="s">
        <v>283</v>
      </c>
      <c r="E4477" s="52">
        <v>55</v>
      </c>
      <c r="F4477" s="13"/>
      <c r="G4477" s="13">
        <v>30.8</v>
      </c>
    </row>
    <row r="4478" spans="1:7" hidden="1" x14ac:dyDescent="0.75">
      <c r="A4478" s="51">
        <v>44954</v>
      </c>
      <c r="B4478" s="52">
        <v>973</v>
      </c>
      <c r="C4478" s="8" t="s">
        <v>4455</v>
      </c>
      <c r="D4478" s="8" t="s">
        <v>283</v>
      </c>
      <c r="E4478" s="52">
        <v>55</v>
      </c>
      <c r="F4478" s="13"/>
      <c r="G4478" s="13">
        <v>28.6</v>
      </c>
    </row>
    <row r="4479" spans="1:7" hidden="1" x14ac:dyDescent="0.75">
      <c r="A4479" s="51">
        <v>44956</v>
      </c>
      <c r="B4479" s="52">
        <v>973</v>
      </c>
      <c r="C4479" s="8" t="s">
        <v>4483</v>
      </c>
      <c r="D4479" s="8" t="s">
        <v>283</v>
      </c>
      <c r="E4479" s="52">
        <v>55</v>
      </c>
      <c r="F4479" s="13"/>
      <c r="G4479" s="13">
        <v>13.2</v>
      </c>
    </row>
    <row r="4480" spans="1:7" hidden="1" x14ac:dyDescent="0.75">
      <c r="A4480" s="51">
        <v>44957</v>
      </c>
      <c r="B4480" s="52">
        <v>973</v>
      </c>
      <c r="C4480" s="8" t="s">
        <v>4513</v>
      </c>
      <c r="D4480" s="8" t="s">
        <v>283</v>
      </c>
      <c r="E4480" s="52">
        <v>55</v>
      </c>
      <c r="F4480" s="13"/>
      <c r="G4480" s="13">
        <v>15.4</v>
      </c>
    </row>
    <row r="4481" spans="1:7" hidden="1" x14ac:dyDescent="0.75">
      <c r="A4481" s="51">
        <v>44957</v>
      </c>
      <c r="B4481" s="52">
        <v>973</v>
      </c>
      <c r="C4481" s="8" t="s">
        <v>1537</v>
      </c>
      <c r="D4481" s="8" t="s">
        <v>283</v>
      </c>
      <c r="E4481" s="52">
        <v>8</v>
      </c>
      <c r="F4481" s="13">
        <v>163</v>
      </c>
      <c r="G4481" s="13"/>
    </row>
    <row r="4482" spans="1:7" hidden="1" x14ac:dyDescent="0.75">
      <c r="A4482" s="51">
        <v>44957</v>
      </c>
      <c r="B4482" s="52">
        <v>973</v>
      </c>
      <c r="C4482" s="8" t="s">
        <v>1537</v>
      </c>
      <c r="D4482" s="8" t="s">
        <v>283</v>
      </c>
      <c r="E4482" s="52">
        <v>8</v>
      </c>
      <c r="F4482" s="13">
        <v>219</v>
      </c>
      <c r="G4482" s="13"/>
    </row>
    <row r="4483" spans="1:7" hidden="1" x14ac:dyDescent="0.75">
      <c r="A4483" s="51">
        <v>44944</v>
      </c>
      <c r="B4483" s="52">
        <v>759</v>
      </c>
      <c r="C4483" s="8" t="s">
        <v>4563</v>
      </c>
      <c r="D4483" s="8" t="s">
        <v>284</v>
      </c>
      <c r="E4483" s="52">
        <v>58</v>
      </c>
      <c r="F4483" s="13"/>
      <c r="G4483" s="13">
        <v>11757.1</v>
      </c>
    </row>
    <row r="4484" spans="1:7" hidden="1" x14ac:dyDescent="0.75">
      <c r="A4484" s="51">
        <v>44944</v>
      </c>
      <c r="B4484" s="52">
        <v>759</v>
      </c>
      <c r="C4484" s="8" t="s">
        <v>4564</v>
      </c>
      <c r="D4484" s="8" t="s">
        <v>284</v>
      </c>
      <c r="E4484" s="52">
        <v>58</v>
      </c>
      <c r="F4484" s="13"/>
      <c r="G4484" s="13">
        <v>4475.9399999999996</v>
      </c>
    </row>
    <row r="4485" spans="1:7" hidden="1" x14ac:dyDescent="0.75">
      <c r="A4485" s="51">
        <v>44929</v>
      </c>
      <c r="B4485" s="52">
        <v>751</v>
      </c>
      <c r="C4485" s="8" t="s">
        <v>4598</v>
      </c>
      <c r="D4485" s="8" t="s">
        <v>286</v>
      </c>
      <c r="E4485" s="52">
        <v>677</v>
      </c>
      <c r="F4485" s="13"/>
      <c r="G4485" s="13">
        <v>12056.98</v>
      </c>
    </row>
    <row r="4486" spans="1:7" hidden="1" x14ac:dyDescent="0.75">
      <c r="A4486" s="51">
        <v>44935</v>
      </c>
      <c r="B4486" s="52">
        <v>751</v>
      </c>
      <c r="C4486" s="8" t="s">
        <v>4599</v>
      </c>
      <c r="D4486" s="8" t="s">
        <v>286</v>
      </c>
      <c r="E4486" s="52">
        <v>677</v>
      </c>
      <c r="F4486" s="13"/>
      <c r="G4486" s="13">
        <v>1393.29</v>
      </c>
    </row>
    <row r="4487" spans="1:7" hidden="1" x14ac:dyDescent="0.75">
      <c r="A4487" s="51">
        <v>44942</v>
      </c>
      <c r="B4487" s="52">
        <v>751</v>
      </c>
      <c r="C4487" s="8" t="s">
        <v>1681</v>
      </c>
      <c r="D4487" s="8" t="s">
        <v>286</v>
      </c>
      <c r="E4487" s="52">
        <v>8</v>
      </c>
      <c r="F4487" s="13">
        <v>1393.29</v>
      </c>
      <c r="G4487" s="13"/>
    </row>
    <row r="4488" spans="1:7" hidden="1" x14ac:dyDescent="0.75">
      <c r="A4488" s="51">
        <v>44942</v>
      </c>
      <c r="B4488" s="52">
        <v>751</v>
      </c>
      <c r="C4488" s="8" t="s">
        <v>1682</v>
      </c>
      <c r="D4488" s="8" t="s">
        <v>286</v>
      </c>
      <c r="E4488" s="52">
        <v>8</v>
      </c>
      <c r="F4488" s="13">
        <v>12056.98</v>
      </c>
      <c r="G4488" s="13"/>
    </row>
    <row r="4489" spans="1:7" hidden="1" x14ac:dyDescent="0.75">
      <c r="A4489" s="51">
        <v>44928</v>
      </c>
      <c r="B4489" s="52">
        <v>762</v>
      </c>
      <c r="C4489" s="8" t="s">
        <v>1485</v>
      </c>
      <c r="D4489" s="8" t="s">
        <v>287</v>
      </c>
      <c r="E4489" s="52">
        <v>8</v>
      </c>
      <c r="F4489" s="13">
        <v>3000</v>
      </c>
      <c r="G4489" s="13"/>
    </row>
    <row r="4490" spans="1:7" hidden="1" x14ac:dyDescent="0.75">
      <c r="A4490" s="51">
        <v>44929</v>
      </c>
      <c r="B4490" s="52">
        <v>762</v>
      </c>
      <c r="C4490" s="8" t="s">
        <v>3774</v>
      </c>
      <c r="D4490" s="8" t="s">
        <v>287</v>
      </c>
      <c r="E4490" s="52">
        <v>55</v>
      </c>
      <c r="F4490" s="13"/>
      <c r="G4490" s="13">
        <v>5200</v>
      </c>
    </row>
    <row r="4491" spans="1:7" hidden="1" x14ac:dyDescent="0.75">
      <c r="A4491" s="51">
        <v>44930</v>
      </c>
      <c r="B4491" s="52">
        <v>762</v>
      </c>
      <c r="C4491" s="8" t="s">
        <v>1546</v>
      </c>
      <c r="D4491" s="8" t="s">
        <v>287</v>
      </c>
      <c r="E4491" s="52">
        <v>8</v>
      </c>
      <c r="F4491" s="13">
        <v>1040</v>
      </c>
      <c r="G4491" s="13"/>
    </row>
    <row r="4492" spans="1:7" hidden="1" x14ac:dyDescent="0.75">
      <c r="A4492" s="51">
        <v>44930</v>
      </c>
      <c r="B4492" s="52">
        <v>762</v>
      </c>
      <c r="C4492" s="8" t="s">
        <v>1547</v>
      </c>
      <c r="D4492" s="8" t="s">
        <v>287</v>
      </c>
      <c r="E4492" s="52">
        <v>8</v>
      </c>
      <c r="F4492" s="13">
        <v>5200</v>
      </c>
      <c r="G4492" s="13"/>
    </row>
    <row r="4493" spans="1:7" hidden="1" x14ac:dyDescent="0.75">
      <c r="A4493" s="51">
        <v>44938</v>
      </c>
      <c r="B4493" s="52">
        <v>762</v>
      </c>
      <c r="C4493" s="8" t="s">
        <v>1656</v>
      </c>
      <c r="D4493" s="8" t="s">
        <v>287</v>
      </c>
      <c r="E4493" s="52">
        <v>8</v>
      </c>
      <c r="F4493" s="13">
        <v>5200</v>
      </c>
      <c r="G4493" s="13"/>
    </row>
    <row r="4494" spans="1:7" hidden="1" x14ac:dyDescent="0.75">
      <c r="A4494" s="51">
        <v>44943</v>
      </c>
      <c r="B4494" s="52">
        <v>762</v>
      </c>
      <c r="C4494" s="8" t="s">
        <v>4154</v>
      </c>
      <c r="D4494" s="8" t="s">
        <v>287</v>
      </c>
      <c r="E4494" s="52">
        <v>55</v>
      </c>
      <c r="F4494" s="13"/>
      <c r="G4494" s="13">
        <v>1560</v>
      </c>
    </row>
    <row r="4495" spans="1:7" hidden="1" x14ac:dyDescent="0.75">
      <c r="A4495" s="51">
        <v>44950</v>
      </c>
      <c r="B4495" s="52">
        <v>762</v>
      </c>
      <c r="C4495" s="8" t="s">
        <v>4336</v>
      </c>
      <c r="D4495" s="8" t="s">
        <v>287</v>
      </c>
      <c r="E4495" s="52">
        <v>55</v>
      </c>
      <c r="F4495" s="13"/>
      <c r="G4495" s="13">
        <v>2600</v>
      </c>
    </row>
    <row r="4496" spans="1:7" hidden="1" x14ac:dyDescent="0.75">
      <c r="A4496" s="51">
        <v>44951</v>
      </c>
      <c r="B4496" s="52">
        <v>762</v>
      </c>
      <c r="C4496" s="8" t="s">
        <v>1790</v>
      </c>
      <c r="D4496" s="8" t="s">
        <v>287</v>
      </c>
      <c r="E4496" s="52">
        <v>8</v>
      </c>
      <c r="F4496" s="13">
        <v>1560</v>
      </c>
      <c r="G4496" s="13"/>
    </row>
    <row r="4497" spans="1:7" hidden="1" x14ac:dyDescent="0.75">
      <c r="A4497" s="51">
        <v>44945</v>
      </c>
      <c r="B4497" s="52">
        <v>749</v>
      </c>
      <c r="C4497" s="8" t="s">
        <v>1720</v>
      </c>
      <c r="D4497" s="8" t="s">
        <v>288</v>
      </c>
      <c r="E4497" s="52">
        <v>8</v>
      </c>
      <c r="F4497" s="13">
        <v>1000</v>
      </c>
      <c r="G4497" s="13"/>
    </row>
    <row r="4498" spans="1:7" hidden="1" x14ac:dyDescent="0.75">
      <c r="A4498" s="51">
        <v>44928</v>
      </c>
      <c r="B4498" s="52">
        <v>702</v>
      </c>
      <c r="C4498" s="8" t="s">
        <v>1524</v>
      </c>
      <c r="D4498" s="8" t="s">
        <v>289</v>
      </c>
      <c r="E4498" s="52">
        <v>8</v>
      </c>
      <c r="F4498" s="13">
        <v>1360</v>
      </c>
      <c r="G4498" s="13"/>
    </row>
    <row r="4499" spans="1:7" hidden="1" x14ac:dyDescent="0.75">
      <c r="A4499" s="51">
        <v>44937</v>
      </c>
      <c r="B4499" s="52">
        <v>702</v>
      </c>
      <c r="C4499" s="8" t="s">
        <v>1524</v>
      </c>
      <c r="D4499" s="8" t="s">
        <v>289</v>
      </c>
      <c r="E4499" s="52">
        <v>8</v>
      </c>
      <c r="F4499" s="13">
        <v>1520</v>
      </c>
      <c r="G4499" s="13"/>
    </row>
    <row r="4500" spans="1:7" hidden="1" x14ac:dyDescent="0.75">
      <c r="A4500" s="51">
        <v>44928</v>
      </c>
      <c r="B4500" s="52">
        <v>774</v>
      </c>
      <c r="C4500" s="8" t="s">
        <v>3737</v>
      </c>
      <c r="D4500" s="8" t="s">
        <v>290</v>
      </c>
      <c r="E4500" s="52">
        <v>55</v>
      </c>
      <c r="F4500" s="13"/>
      <c r="G4500" s="13">
        <v>1558</v>
      </c>
    </row>
    <row r="4501" spans="1:7" hidden="1" x14ac:dyDescent="0.75">
      <c r="A4501" s="51">
        <v>44928</v>
      </c>
      <c r="B4501" s="52">
        <v>774</v>
      </c>
      <c r="C4501" s="8" t="s">
        <v>3745</v>
      </c>
      <c r="D4501" s="8" t="s">
        <v>290</v>
      </c>
      <c r="E4501" s="52">
        <v>55</v>
      </c>
      <c r="F4501" s="13">
        <v>480</v>
      </c>
      <c r="G4501" s="13"/>
    </row>
    <row r="4502" spans="1:7" hidden="1" x14ac:dyDescent="0.75">
      <c r="A4502" s="51">
        <v>44928</v>
      </c>
      <c r="B4502" s="52">
        <v>774</v>
      </c>
      <c r="C4502" s="8" t="s">
        <v>1497</v>
      </c>
      <c r="D4502" s="8" t="s">
        <v>290</v>
      </c>
      <c r="E4502" s="52">
        <v>8</v>
      </c>
      <c r="F4502" s="13">
        <v>812</v>
      </c>
      <c r="G4502" s="13"/>
    </row>
    <row r="4503" spans="1:7" hidden="1" x14ac:dyDescent="0.75">
      <c r="A4503" s="51">
        <v>44928</v>
      </c>
      <c r="B4503" s="52">
        <v>774</v>
      </c>
      <c r="C4503" s="8" t="s">
        <v>1504</v>
      </c>
      <c r="D4503" s="8" t="s">
        <v>290</v>
      </c>
      <c r="E4503" s="52">
        <v>8</v>
      </c>
      <c r="F4503" s="13">
        <v>682.8</v>
      </c>
      <c r="G4503" s="13"/>
    </row>
    <row r="4504" spans="1:7" hidden="1" x14ac:dyDescent="0.75">
      <c r="A4504" s="51">
        <v>44928</v>
      </c>
      <c r="B4504" s="52">
        <v>774</v>
      </c>
      <c r="C4504" s="8" t="s">
        <v>1506</v>
      </c>
      <c r="D4504" s="8" t="s">
        <v>290</v>
      </c>
      <c r="E4504" s="52">
        <v>8</v>
      </c>
      <c r="F4504" s="13">
        <v>754.5</v>
      </c>
      <c r="G4504" s="13"/>
    </row>
    <row r="4505" spans="1:7" hidden="1" x14ac:dyDescent="0.75">
      <c r="A4505" s="51">
        <v>44928</v>
      </c>
      <c r="B4505" s="52">
        <v>774</v>
      </c>
      <c r="C4505" s="8" t="s">
        <v>1509</v>
      </c>
      <c r="D4505" s="8" t="s">
        <v>290</v>
      </c>
      <c r="E4505" s="52">
        <v>8</v>
      </c>
      <c r="F4505" s="13">
        <v>447.5</v>
      </c>
      <c r="G4505" s="13"/>
    </row>
    <row r="4506" spans="1:7" hidden="1" x14ac:dyDescent="0.75">
      <c r="A4506" s="51">
        <v>44929</v>
      </c>
      <c r="B4506" s="52">
        <v>774</v>
      </c>
      <c r="C4506" s="8" t="s">
        <v>3773</v>
      </c>
      <c r="D4506" s="8" t="s">
        <v>290</v>
      </c>
      <c r="E4506" s="52">
        <v>55</v>
      </c>
      <c r="F4506" s="13"/>
      <c r="G4506" s="13">
        <v>970</v>
      </c>
    </row>
    <row r="4507" spans="1:7" hidden="1" x14ac:dyDescent="0.75">
      <c r="A4507" s="51">
        <v>44930</v>
      </c>
      <c r="B4507" s="52">
        <v>774</v>
      </c>
      <c r="C4507" s="8" t="s">
        <v>3803</v>
      </c>
      <c r="D4507" s="8" t="s">
        <v>290</v>
      </c>
      <c r="E4507" s="52">
        <v>55</v>
      </c>
      <c r="F4507" s="13"/>
      <c r="G4507" s="13">
        <v>1352</v>
      </c>
    </row>
    <row r="4508" spans="1:7" hidden="1" x14ac:dyDescent="0.75">
      <c r="A4508" s="51">
        <v>44930</v>
      </c>
      <c r="B4508" s="52">
        <v>774</v>
      </c>
      <c r="C4508" s="8" t="s">
        <v>1542</v>
      </c>
      <c r="D4508" s="8" t="s">
        <v>290</v>
      </c>
      <c r="E4508" s="52">
        <v>8</v>
      </c>
      <c r="F4508" s="13">
        <v>700.5</v>
      </c>
      <c r="G4508" s="13"/>
    </row>
    <row r="4509" spans="1:7" hidden="1" x14ac:dyDescent="0.75">
      <c r="A4509" s="51">
        <v>44931</v>
      </c>
      <c r="B4509" s="52">
        <v>774</v>
      </c>
      <c r="C4509" s="8" t="s">
        <v>3832</v>
      </c>
      <c r="D4509" s="8" t="s">
        <v>290</v>
      </c>
      <c r="E4509" s="52">
        <v>55</v>
      </c>
      <c r="F4509" s="13"/>
      <c r="G4509" s="13">
        <v>982.5</v>
      </c>
    </row>
    <row r="4510" spans="1:7" hidden="1" x14ac:dyDescent="0.75">
      <c r="A4510" s="51">
        <v>44931</v>
      </c>
      <c r="B4510" s="52">
        <v>774</v>
      </c>
      <c r="C4510" s="8" t="s">
        <v>1555</v>
      </c>
      <c r="D4510" s="8" t="s">
        <v>290</v>
      </c>
      <c r="E4510" s="52">
        <v>8</v>
      </c>
      <c r="F4510" s="13">
        <v>170</v>
      </c>
      <c r="G4510" s="13"/>
    </row>
    <row r="4511" spans="1:7" hidden="1" x14ac:dyDescent="0.75">
      <c r="A4511" s="51">
        <v>44932</v>
      </c>
      <c r="B4511" s="52">
        <v>774</v>
      </c>
      <c r="C4511" s="8" t="s">
        <v>3862</v>
      </c>
      <c r="D4511" s="8" t="s">
        <v>290</v>
      </c>
      <c r="E4511" s="52">
        <v>55</v>
      </c>
      <c r="F4511" s="13"/>
      <c r="G4511" s="13">
        <v>1592</v>
      </c>
    </row>
    <row r="4512" spans="1:7" hidden="1" x14ac:dyDescent="0.75">
      <c r="A4512" s="51">
        <v>44932</v>
      </c>
      <c r="B4512" s="52">
        <v>774</v>
      </c>
      <c r="C4512" s="8" t="s">
        <v>1574</v>
      </c>
      <c r="D4512" s="8" t="s">
        <v>290</v>
      </c>
      <c r="E4512" s="52">
        <v>8</v>
      </c>
      <c r="F4512" s="13">
        <v>1250</v>
      </c>
      <c r="G4512" s="13"/>
    </row>
    <row r="4513" spans="1:7" hidden="1" x14ac:dyDescent="0.75">
      <c r="A4513" s="51">
        <v>44933</v>
      </c>
      <c r="B4513" s="52">
        <v>774</v>
      </c>
      <c r="C4513" s="8" t="s">
        <v>3901</v>
      </c>
      <c r="D4513" s="8" t="s">
        <v>290</v>
      </c>
      <c r="E4513" s="52">
        <v>55</v>
      </c>
      <c r="F4513" s="13"/>
      <c r="G4513" s="13">
        <v>850</v>
      </c>
    </row>
    <row r="4514" spans="1:7" hidden="1" x14ac:dyDescent="0.75">
      <c r="A4514" s="51">
        <v>44935</v>
      </c>
      <c r="B4514" s="52">
        <v>774</v>
      </c>
      <c r="C4514" s="8" t="s">
        <v>3936</v>
      </c>
      <c r="D4514" s="8" t="s">
        <v>290</v>
      </c>
      <c r="E4514" s="52">
        <v>55</v>
      </c>
      <c r="F4514" s="13"/>
      <c r="G4514" s="13">
        <v>1598</v>
      </c>
    </row>
    <row r="4515" spans="1:7" hidden="1" x14ac:dyDescent="0.75">
      <c r="A4515" s="51">
        <v>44935</v>
      </c>
      <c r="B4515" s="52">
        <v>774</v>
      </c>
      <c r="C4515" s="8" t="s">
        <v>1584</v>
      </c>
      <c r="D4515" s="8" t="s">
        <v>290</v>
      </c>
      <c r="E4515" s="52">
        <v>8</v>
      </c>
      <c r="F4515" s="13">
        <v>750</v>
      </c>
      <c r="G4515" s="13"/>
    </row>
    <row r="4516" spans="1:7" hidden="1" x14ac:dyDescent="0.75">
      <c r="A4516" s="51">
        <v>44935</v>
      </c>
      <c r="B4516" s="52">
        <v>774</v>
      </c>
      <c r="C4516" s="8" t="s">
        <v>1585</v>
      </c>
      <c r="D4516" s="8" t="s">
        <v>290</v>
      </c>
      <c r="E4516" s="52">
        <v>8</v>
      </c>
      <c r="F4516" s="13">
        <v>956</v>
      </c>
      <c r="G4516" s="13"/>
    </row>
    <row r="4517" spans="1:7" hidden="1" x14ac:dyDescent="0.75">
      <c r="A4517" s="51">
        <v>44935</v>
      </c>
      <c r="B4517" s="52">
        <v>774</v>
      </c>
      <c r="C4517" s="8" t="s">
        <v>1586</v>
      </c>
      <c r="D4517" s="8" t="s">
        <v>290</v>
      </c>
      <c r="E4517" s="52">
        <v>8</v>
      </c>
      <c r="F4517" s="13">
        <v>990</v>
      </c>
      <c r="G4517" s="13"/>
    </row>
    <row r="4518" spans="1:7" hidden="1" x14ac:dyDescent="0.75">
      <c r="A4518" s="51">
        <v>44936</v>
      </c>
      <c r="B4518" s="52">
        <v>774</v>
      </c>
      <c r="C4518" s="8" t="s">
        <v>3974</v>
      </c>
      <c r="D4518" s="8" t="s">
        <v>290</v>
      </c>
      <c r="E4518" s="52">
        <v>55</v>
      </c>
      <c r="F4518" s="13"/>
      <c r="G4518" s="13">
        <v>850</v>
      </c>
    </row>
    <row r="4519" spans="1:7" hidden="1" x14ac:dyDescent="0.75">
      <c r="A4519" s="51">
        <v>44937</v>
      </c>
      <c r="B4519" s="52">
        <v>774</v>
      </c>
      <c r="C4519" s="8" t="s">
        <v>4004</v>
      </c>
      <c r="D4519" s="8" t="s">
        <v>290</v>
      </c>
      <c r="E4519" s="52">
        <v>55</v>
      </c>
      <c r="F4519" s="13"/>
      <c r="G4519" s="13">
        <v>1400</v>
      </c>
    </row>
    <row r="4520" spans="1:7" hidden="1" x14ac:dyDescent="0.75">
      <c r="A4520" s="51">
        <v>44937</v>
      </c>
      <c r="B4520" s="52">
        <v>774</v>
      </c>
      <c r="C4520" s="8" t="s">
        <v>1641</v>
      </c>
      <c r="D4520" s="8" t="s">
        <v>290</v>
      </c>
      <c r="E4520" s="52">
        <v>8</v>
      </c>
      <c r="F4520" s="13">
        <v>1730</v>
      </c>
      <c r="G4520" s="13"/>
    </row>
    <row r="4521" spans="1:7" hidden="1" x14ac:dyDescent="0.75">
      <c r="A4521" s="51">
        <v>44938</v>
      </c>
      <c r="B4521" s="52">
        <v>774</v>
      </c>
      <c r="C4521" s="8" t="s">
        <v>4028</v>
      </c>
      <c r="D4521" s="8" t="s">
        <v>290</v>
      </c>
      <c r="E4521" s="52">
        <v>55</v>
      </c>
      <c r="F4521" s="13"/>
      <c r="G4521" s="13">
        <v>830</v>
      </c>
    </row>
    <row r="4522" spans="1:7" hidden="1" x14ac:dyDescent="0.75">
      <c r="A4522" s="51">
        <v>44938</v>
      </c>
      <c r="B4522" s="52">
        <v>774</v>
      </c>
      <c r="C4522" s="8" t="s">
        <v>4034</v>
      </c>
      <c r="D4522" s="8" t="s">
        <v>290</v>
      </c>
      <c r="E4522" s="52">
        <v>55</v>
      </c>
      <c r="F4522" s="13">
        <v>70</v>
      </c>
      <c r="G4522" s="13"/>
    </row>
    <row r="4523" spans="1:7" hidden="1" x14ac:dyDescent="0.75">
      <c r="A4523" s="51">
        <v>44938</v>
      </c>
      <c r="B4523" s="52">
        <v>774</v>
      </c>
      <c r="C4523" s="8" t="s">
        <v>1652</v>
      </c>
      <c r="D4523" s="8" t="s">
        <v>290</v>
      </c>
      <c r="E4523" s="52">
        <v>8</v>
      </c>
      <c r="F4523" s="13">
        <v>420</v>
      </c>
      <c r="G4523" s="13"/>
    </row>
    <row r="4524" spans="1:7" hidden="1" x14ac:dyDescent="0.75">
      <c r="A4524" s="51">
        <v>44939</v>
      </c>
      <c r="B4524" s="52">
        <v>774</v>
      </c>
      <c r="C4524" s="8" t="s">
        <v>4060</v>
      </c>
      <c r="D4524" s="8" t="s">
        <v>290</v>
      </c>
      <c r="E4524" s="52">
        <v>55</v>
      </c>
      <c r="F4524" s="13"/>
      <c r="G4524" s="13">
        <v>1850</v>
      </c>
    </row>
    <row r="4525" spans="1:7" hidden="1" x14ac:dyDescent="0.75">
      <c r="A4525" s="51">
        <v>44939</v>
      </c>
      <c r="B4525" s="52">
        <v>774</v>
      </c>
      <c r="C4525" s="8" t="s">
        <v>1665</v>
      </c>
      <c r="D4525" s="8" t="s">
        <v>290</v>
      </c>
      <c r="E4525" s="52">
        <v>8</v>
      </c>
      <c r="F4525" s="13">
        <v>1260</v>
      </c>
      <c r="G4525" s="13"/>
    </row>
    <row r="4526" spans="1:7" hidden="1" x14ac:dyDescent="0.75">
      <c r="A4526" s="51">
        <v>44942</v>
      </c>
      <c r="B4526" s="52">
        <v>774</v>
      </c>
      <c r="C4526" s="8" t="s">
        <v>4126</v>
      </c>
      <c r="D4526" s="8" t="s">
        <v>290</v>
      </c>
      <c r="E4526" s="52">
        <v>55</v>
      </c>
      <c r="F4526" s="13"/>
      <c r="G4526" s="13">
        <v>1830</v>
      </c>
    </row>
    <row r="4527" spans="1:7" hidden="1" x14ac:dyDescent="0.75">
      <c r="A4527" s="51">
        <v>44942</v>
      </c>
      <c r="B4527" s="52">
        <v>774</v>
      </c>
      <c r="C4527" s="8" t="s">
        <v>1693</v>
      </c>
      <c r="D4527" s="8" t="s">
        <v>290</v>
      </c>
      <c r="E4527" s="52">
        <v>8</v>
      </c>
      <c r="F4527" s="13">
        <v>730</v>
      </c>
      <c r="G4527" s="13"/>
    </row>
    <row r="4528" spans="1:7" hidden="1" x14ac:dyDescent="0.75">
      <c r="A4528" s="51">
        <v>44942</v>
      </c>
      <c r="B4528" s="52">
        <v>774</v>
      </c>
      <c r="C4528" s="8" t="s">
        <v>1698</v>
      </c>
      <c r="D4528" s="8" t="s">
        <v>290</v>
      </c>
      <c r="E4528" s="52">
        <v>8</v>
      </c>
      <c r="F4528" s="13">
        <v>1190</v>
      </c>
      <c r="G4528" s="13"/>
    </row>
    <row r="4529" spans="1:7" hidden="1" x14ac:dyDescent="0.75">
      <c r="A4529" s="51">
        <v>44942</v>
      </c>
      <c r="B4529" s="52">
        <v>774</v>
      </c>
      <c r="C4529" s="8" t="s">
        <v>1700</v>
      </c>
      <c r="D4529" s="8" t="s">
        <v>290</v>
      </c>
      <c r="E4529" s="52">
        <v>8</v>
      </c>
      <c r="F4529" s="13">
        <v>540</v>
      </c>
      <c r="G4529" s="13"/>
    </row>
    <row r="4530" spans="1:7" hidden="1" x14ac:dyDescent="0.75">
      <c r="A4530" s="51">
        <v>44943</v>
      </c>
      <c r="B4530" s="52">
        <v>774</v>
      </c>
      <c r="C4530" s="8" t="s">
        <v>4153</v>
      </c>
      <c r="D4530" s="8" t="s">
        <v>290</v>
      </c>
      <c r="E4530" s="52">
        <v>55</v>
      </c>
      <c r="F4530" s="13"/>
      <c r="G4530" s="13">
        <v>980</v>
      </c>
    </row>
    <row r="4531" spans="1:7" hidden="1" x14ac:dyDescent="0.75">
      <c r="A4531" s="51">
        <v>44944</v>
      </c>
      <c r="B4531" s="52">
        <v>774</v>
      </c>
      <c r="C4531" s="8" t="s">
        <v>1717</v>
      </c>
      <c r="D4531" s="8" t="s">
        <v>290</v>
      </c>
      <c r="E4531" s="52">
        <v>8</v>
      </c>
      <c r="F4531" s="13">
        <v>1882</v>
      </c>
      <c r="G4531" s="13"/>
    </row>
    <row r="4532" spans="1:7" hidden="1" x14ac:dyDescent="0.75">
      <c r="A4532" s="51">
        <v>44945</v>
      </c>
      <c r="B4532" s="52">
        <v>774</v>
      </c>
      <c r="C4532" s="8" t="s">
        <v>1721</v>
      </c>
      <c r="D4532" s="8" t="s">
        <v>290</v>
      </c>
      <c r="E4532" s="52">
        <v>8</v>
      </c>
      <c r="F4532" s="13">
        <v>680</v>
      </c>
      <c r="G4532" s="13"/>
    </row>
    <row r="4533" spans="1:7" hidden="1" x14ac:dyDescent="0.75">
      <c r="A4533" s="51">
        <v>44946</v>
      </c>
      <c r="B4533" s="52">
        <v>774</v>
      </c>
      <c r="C4533" s="8" t="s">
        <v>1742</v>
      </c>
      <c r="D4533" s="8" t="s">
        <v>290</v>
      </c>
      <c r="E4533" s="52">
        <v>8</v>
      </c>
      <c r="F4533" s="13">
        <v>1900</v>
      </c>
      <c r="G4533" s="13"/>
    </row>
    <row r="4534" spans="1:7" hidden="1" x14ac:dyDescent="0.75">
      <c r="A4534" s="51">
        <v>44949</v>
      </c>
      <c r="B4534" s="52">
        <v>774</v>
      </c>
      <c r="C4534" s="8" t="s">
        <v>1764</v>
      </c>
      <c r="D4534" s="8" t="s">
        <v>290</v>
      </c>
      <c r="E4534" s="52">
        <v>8</v>
      </c>
      <c r="F4534" s="13">
        <v>420</v>
      </c>
      <c r="G4534" s="13"/>
    </row>
    <row r="4535" spans="1:7" hidden="1" x14ac:dyDescent="0.75">
      <c r="A4535" s="51">
        <v>44949</v>
      </c>
      <c r="B4535" s="52">
        <v>774</v>
      </c>
      <c r="C4535" s="8" t="s">
        <v>1765</v>
      </c>
      <c r="D4535" s="8" t="s">
        <v>290</v>
      </c>
      <c r="E4535" s="52">
        <v>8</v>
      </c>
      <c r="F4535" s="13">
        <v>5610</v>
      </c>
      <c r="G4535" s="13"/>
    </row>
    <row r="4536" spans="1:7" hidden="1" x14ac:dyDescent="0.75">
      <c r="A4536" s="51">
        <v>44949</v>
      </c>
      <c r="B4536" s="52">
        <v>774</v>
      </c>
      <c r="C4536" s="8" t="s">
        <v>1771</v>
      </c>
      <c r="D4536" s="8" t="s">
        <v>290</v>
      </c>
      <c r="E4536" s="52">
        <v>8</v>
      </c>
      <c r="F4536" s="13">
        <v>900</v>
      </c>
      <c r="G4536" s="13"/>
    </row>
    <row r="4537" spans="1:7" hidden="1" x14ac:dyDescent="0.75">
      <c r="A4537" s="51">
        <v>44951</v>
      </c>
      <c r="B4537" s="52">
        <v>774</v>
      </c>
      <c r="C4537" s="8" t="s">
        <v>1796</v>
      </c>
      <c r="D4537" s="8" t="s">
        <v>290</v>
      </c>
      <c r="E4537" s="52">
        <v>8</v>
      </c>
      <c r="F4537" s="13">
        <v>1128</v>
      </c>
      <c r="G4537" s="13"/>
    </row>
    <row r="4538" spans="1:7" hidden="1" x14ac:dyDescent="0.75">
      <c r="A4538" s="51">
        <v>44952</v>
      </c>
      <c r="B4538" s="52">
        <v>774</v>
      </c>
      <c r="C4538" s="8" t="s">
        <v>1804</v>
      </c>
      <c r="D4538" s="8" t="s">
        <v>290</v>
      </c>
      <c r="E4538" s="52">
        <v>8</v>
      </c>
      <c r="F4538" s="13">
        <v>700</v>
      </c>
      <c r="G4538" s="13"/>
    </row>
    <row r="4539" spans="1:7" hidden="1" x14ac:dyDescent="0.75">
      <c r="A4539" s="51">
        <v>44953</v>
      </c>
      <c r="B4539" s="52">
        <v>774</v>
      </c>
      <c r="C4539" s="8" t="s">
        <v>1810</v>
      </c>
      <c r="D4539" s="8" t="s">
        <v>290</v>
      </c>
      <c r="E4539" s="52">
        <v>8</v>
      </c>
      <c r="F4539" s="13">
        <v>940</v>
      </c>
      <c r="G4539" s="13"/>
    </row>
    <row r="4540" spans="1:7" hidden="1" x14ac:dyDescent="0.75">
      <c r="A4540" s="51">
        <v>44956</v>
      </c>
      <c r="B4540" s="52">
        <v>774</v>
      </c>
      <c r="C4540" s="8" t="s">
        <v>1829</v>
      </c>
      <c r="D4540" s="8" t="s">
        <v>290</v>
      </c>
      <c r="E4540" s="52">
        <v>8</v>
      </c>
      <c r="F4540" s="13">
        <v>608</v>
      </c>
      <c r="G4540" s="13"/>
    </row>
    <row r="4541" spans="1:7" hidden="1" x14ac:dyDescent="0.75">
      <c r="A4541" s="51">
        <v>44956</v>
      </c>
      <c r="B4541" s="52">
        <v>774</v>
      </c>
      <c r="C4541" s="8" t="s">
        <v>1832</v>
      </c>
      <c r="D4541" s="8" t="s">
        <v>290</v>
      </c>
      <c r="E4541" s="52">
        <v>8</v>
      </c>
      <c r="F4541" s="13">
        <v>950</v>
      </c>
      <c r="G4541" s="13"/>
    </row>
    <row r="4542" spans="1:7" hidden="1" x14ac:dyDescent="0.75">
      <c r="A4542" s="51">
        <v>44956</v>
      </c>
      <c r="B4542" s="52">
        <v>774</v>
      </c>
      <c r="C4542" s="8" t="s">
        <v>1834</v>
      </c>
      <c r="D4542" s="8" t="s">
        <v>290</v>
      </c>
      <c r="E4542" s="52">
        <v>8</v>
      </c>
      <c r="F4542" s="13">
        <v>690</v>
      </c>
      <c r="G4542" s="13"/>
    </row>
    <row r="4543" spans="1:7" hidden="1" x14ac:dyDescent="0.75">
      <c r="A4543" s="51">
        <v>44929</v>
      </c>
      <c r="B4543" s="52">
        <v>696</v>
      </c>
      <c r="C4543" s="8" t="s">
        <v>3760</v>
      </c>
      <c r="D4543" s="8" t="s">
        <v>291</v>
      </c>
      <c r="E4543" s="52">
        <v>55</v>
      </c>
      <c r="F4543" s="13"/>
      <c r="G4543" s="13">
        <v>57</v>
      </c>
    </row>
    <row r="4544" spans="1:7" hidden="1" x14ac:dyDescent="0.75">
      <c r="A4544" s="51">
        <v>44930</v>
      </c>
      <c r="B4544" s="52">
        <v>696</v>
      </c>
      <c r="C4544" s="8" t="s">
        <v>3793</v>
      </c>
      <c r="D4544" s="8" t="s">
        <v>291</v>
      </c>
      <c r="E4544" s="52">
        <v>55</v>
      </c>
      <c r="F4544" s="13"/>
      <c r="G4544" s="13">
        <v>36</v>
      </c>
    </row>
    <row r="4545" spans="1:7" hidden="1" x14ac:dyDescent="0.75">
      <c r="A4545" s="51">
        <v>44931</v>
      </c>
      <c r="B4545" s="52">
        <v>696</v>
      </c>
      <c r="C4545" s="8" t="s">
        <v>3816</v>
      </c>
      <c r="D4545" s="8" t="s">
        <v>291</v>
      </c>
      <c r="E4545" s="52">
        <v>55</v>
      </c>
      <c r="F4545" s="13"/>
      <c r="G4545" s="13">
        <v>51</v>
      </c>
    </row>
    <row r="4546" spans="1:7" hidden="1" x14ac:dyDescent="0.75">
      <c r="A4546" s="51">
        <v>44932</v>
      </c>
      <c r="B4546" s="52">
        <v>696</v>
      </c>
      <c r="C4546" s="8" t="s">
        <v>3841</v>
      </c>
      <c r="D4546" s="8" t="s">
        <v>291</v>
      </c>
      <c r="E4546" s="52">
        <v>55</v>
      </c>
      <c r="F4546" s="13"/>
      <c r="G4546" s="13">
        <v>36</v>
      </c>
    </row>
    <row r="4547" spans="1:7" hidden="1" x14ac:dyDescent="0.75">
      <c r="A4547" s="51">
        <v>44933</v>
      </c>
      <c r="B4547" s="52">
        <v>696</v>
      </c>
      <c r="C4547" s="8" t="s">
        <v>3886</v>
      </c>
      <c r="D4547" s="8" t="s">
        <v>291</v>
      </c>
      <c r="E4547" s="52">
        <v>55</v>
      </c>
      <c r="F4547" s="13"/>
      <c r="G4547" s="13">
        <v>70</v>
      </c>
    </row>
    <row r="4548" spans="1:7" hidden="1" x14ac:dyDescent="0.75">
      <c r="A4548" s="51">
        <v>44933</v>
      </c>
      <c r="B4548" s="52">
        <v>696</v>
      </c>
      <c r="C4548" s="8" t="s">
        <v>3893</v>
      </c>
      <c r="D4548" s="8" t="s">
        <v>291</v>
      </c>
      <c r="E4548" s="52">
        <v>55</v>
      </c>
      <c r="F4548" s="13"/>
      <c r="G4548" s="13">
        <v>40</v>
      </c>
    </row>
    <row r="4549" spans="1:7" hidden="1" x14ac:dyDescent="0.75">
      <c r="A4549" s="51">
        <v>44936</v>
      </c>
      <c r="B4549" s="52">
        <v>696</v>
      </c>
      <c r="C4549" s="8" t="s">
        <v>3953</v>
      </c>
      <c r="D4549" s="8" t="s">
        <v>291</v>
      </c>
      <c r="E4549" s="52">
        <v>55</v>
      </c>
      <c r="F4549" s="13"/>
      <c r="G4549" s="13">
        <v>49</v>
      </c>
    </row>
    <row r="4550" spans="1:7" hidden="1" x14ac:dyDescent="0.75">
      <c r="A4550" s="51">
        <v>44936</v>
      </c>
      <c r="B4550" s="52">
        <v>696</v>
      </c>
      <c r="C4550" s="8" t="s">
        <v>1630</v>
      </c>
      <c r="D4550" s="8" t="s">
        <v>291</v>
      </c>
      <c r="E4550" s="52">
        <v>8</v>
      </c>
      <c r="F4550" s="13">
        <v>227</v>
      </c>
      <c r="G4550" s="13"/>
    </row>
    <row r="4551" spans="1:7" hidden="1" x14ac:dyDescent="0.75">
      <c r="A4551" s="51">
        <v>44936</v>
      </c>
      <c r="B4551" s="52">
        <v>696</v>
      </c>
      <c r="C4551" s="8" t="s">
        <v>1630</v>
      </c>
      <c r="D4551" s="8" t="s">
        <v>291</v>
      </c>
      <c r="E4551" s="52">
        <v>8</v>
      </c>
      <c r="F4551" s="13">
        <v>205</v>
      </c>
      <c r="G4551" s="13"/>
    </row>
    <row r="4552" spans="1:7" hidden="1" x14ac:dyDescent="0.75">
      <c r="A4552" s="51">
        <v>44937</v>
      </c>
      <c r="B4552" s="52">
        <v>696</v>
      </c>
      <c r="C4552" s="8" t="s">
        <v>3993</v>
      </c>
      <c r="D4552" s="8" t="s">
        <v>291</v>
      </c>
      <c r="E4552" s="52">
        <v>55</v>
      </c>
      <c r="F4552" s="13"/>
      <c r="G4552" s="13">
        <v>32</v>
      </c>
    </row>
    <row r="4553" spans="1:7" hidden="1" x14ac:dyDescent="0.75">
      <c r="A4553" s="51">
        <v>44938</v>
      </c>
      <c r="B4553" s="52">
        <v>696</v>
      </c>
      <c r="C4553" s="8" t="s">
        <v>4018</v>
      </c>
      <c r="D4553" s="8" t="s">
        <v>291</v>
      </c>
      <c r="E4553" s="52">
        <v>55</v>
      </c>
      <c r="F4553" s="13"/>
      <c r="G4553" s="13">
        <v>30</v>
      </c>
    </row>
    <row r="4554" spans="1:7" hidden="1" x14ac:dyDescent="0.75">
      <c r="A4554" s="51">
        <v>44939</v>
      </c>
      <c r="B4554" s="52">
        <v>696</v>
      </c>
      <c r="C4554" s="8" t="s">
        <v>4043</v>
      </c>
      <c r="D4554" s="8" t="s">
        <v>291</v>
      </c>
      <c r="E4554" s="52">
        <v>55</v>
      </c>
      <c r="F4554" s="13"/>
      <c r="G4554" s="13">
        <v>30</v>
      </c>
    </row>
    <row r="4555" spans="1:7" hidden="1" x14ac:dyDescent="0.75">
      <c r="A4555" s="51">
        <v>44940</v>
      </c>
      <c r="B4555" s="52">
        <v>696</v>
      </c>
      <c r="C4555" s="8" t="s">
        <v>4079</v>
      </c>
      <c r="D4555" s="8" t="s">
        <v>291</v>
      </c>
      <c r="E4555" s="52">
        <v>55</v>
      </c>
      <c r="F4555" s="13"/>
      <c r="G4555" s="13">
        <v>71</v>
      </c>
    </row>
    <row r="4556" spans="1:7" hidden="1" x14ac:dyDescent="0.75">
      <c r="A4556" s="51">
        <v>44940</v>
      </c>
      <c r="B4556" s="52">
        <v>696</v>
      </c>
      <c r="C4556" s="8" t="s">
        <v>4091</v>
      </c>
      <c r="D4556" s="8" t="s">
        <v>291</v>
      </c>
      <c r="E4556" s="52">
        <v>55</v>
      </c>
      <c r="F4556" s="13"/>
      <c r="G4556" s="13">
        <v>42</v>
      </c>
    </row>
    <row r="4557" spans="1:7" hidden="1" x14ac:dyDescent="0.75">
      <c r="A4557" s="51">
        <v>44943</v>
      </c>
      <c r="B4557" s="52">
        <v>696</v>
      </c>
      <c r="C4557" s="8" t="s">
        <v>4147</v>
      </c>
      <c r="D4557" s="8" t="s">
        <v>291</v>
      </c>
      <c r="E4557" s="52">
        <v>55</v>
      </c>
      <c r="F4557" s="13"/>
      <c r="G4557" s="13">
        <v>16</v>
      </c>
    </row>
    <row r="4558" spans="1:7" hidden="1" x14ac:dyDescent="0.75">
      <c r="A4558" s="51">
        <v>44943</v>
      </c>
      <c r="B4558" s="52">
        <v>696</v>
      </c>
      <c r="C4558" s="8" t="s">
        <v>4158</v>
      </c>
      <c r="D4558" s="8" t="s">
        <v>291</v>
      </c>
      <c r="E4558" s="52">
        <v>55</v>
      </c>
      <c r="F4558" s="13"/>
      <c r="G4558" s="13">
        <v>89</v>
      </c>
    </row>
    <row r="4559" spans="1:7" hidden="1" x14ac:dyDescent="0.75">
      <c r="A4559" s="51">
        <v>44944</v>
      </c>
      <c r="B4559" s="52">
        <v>696</v>
      </c>
      <c r="C4559" s="8" t="s">
        <v>4176</v>
      </c>
      <c r="D4559" s="8" t="s">
        <v>291</v>
      </c>
      <c r="E4559" s="52">
        <v>55</v>
      </c>
      <c r="F4559" s="13"/>
      <c r="G4559" s="13">
        <v>30</v>
      </c>
    </row>
    <row r="4560" spans="1:7" hidden="1" x14ac:dyDescent="0.75">
      <c r="A4560" s="51">
        <v>44946</v>
      </c>
      <c r="B4560" s="52">
        <v>696</v>
      </c>
      <c r="C4560" s="8" t="s">
        <v>4225</v>
      </c>
      <c r="D4560" s="8" t="s">
        <v>291</v>
      </c>
      <c r="E4560" s="52">
        <v>55</v>
      </c>
      <c r="F4560" s="13"/>
      <c r="G4560" s="13">
        <v>32</v>
      </c>
    </row>
    <row r="4561" spans="1:7" hidden="1" x14ac:dyDescent="0.75">
      <c r="A4561" s="51">
        <v>44946</v>
      </c>
      <c r="B4561" s="52">
        <v>696</v>
      </c>
      <c r="C4561" s="8" t="s">
        <v>1630</v>
      </c>
      <c r="D4561" s="8" t="s">
        <v>291</v>
      </c>
      <c r="E4561" s="52">
        <v>8</v>
      </c>
      <c r="F4561" s="13">
        <v>227</v>
      </c>
      <c r="G4561" s="13"/>
    </row>
    <row r="4562" spans="1:7" hidden="1" x14ac:dyDescent="0.75">
      <c r="A4562" s="51">
        <v>44947</v>
      </c>
      <c r="B4562" s="52">
        <v>696</v>
      </c>
      <c r="C4562" s="8" t="s">
        <v>4257</v>
      </c>
      <c r="D4562" s="8" t="s">
        <v>291</v>
      </c>
      <c r="E4562" s="52">
        <v>55</v>
      </c>
      <c r="F4562" s="13"/>
      <c r="G4562" s="13">
        <v>29</v>
      </c>
    </row>
    <row r="4563" spans="1:7" hidden="1" x14ac:dyDescent="0.75">
      <c r="A4563" s="51">
        <v>44947</v>
      </c>
      <c r="B4563" s="52">
        <v>696</v>
      </c>
      <c r="C4563" s="8" t="s">
        <v>4269</v>
      </c>
      <c r="D4563" s="8" t="s">
        <v>291</v>
      </c>
      <c r="E4563" s="52">
        <v>55</v>
      </c>
      <c r="F4563" s="13"/>
      <c r="G4563" s="13">
        <v>35</v>
      </c>
    </row>
    <row r="4564" spans="1:7" hidden="1" x14ac:dyDescent="0.75">
      <c r="A4564" s="51">
        <v>44950</v>
      </c>
      <c r="B4564" s="52">
        <v>696</v>
      </c>
      <c r="C4564" s="8" t="s">
        <v>4345</v>
      </c>
      <c r="D4564" s="8" t="s">
        <v>291</v>
      </c>
      <c r="E4564" s="52">
        <v>55</v>
      </c>
      <c r="F4564" s="13"/>
      <c r="G4564" s="13">
        <v>49</v>
      </c>
    </row>
    <row r="4565" spans="1:7" hidden="1" x14ac:dyDescent="0.75">
      <c r="A4565" s="51">
        <v>44951</v>
      </c>
      <c r="B4565" s="52">
        <v>696</v>
      </c>
      <c r="C4565" s="8" t="s">
        <v>4356</v>
      </c>
      <c r="D4565" s="8" t="s">
        <v>291</v>
      </c>
      <c r="E4565" s="52">
        <v>55</v>
      </c>
      <c r="F4565" s="13"/>
      <c r="G4565" s="13">
        <v>36</v>
      </c>
    </row>
    <row r="4566" spans="1:7" hidden="1" x14ac:dyDescent="0.75">
      <c r="A4566" s="51">
        <v>44952</v>
      </c>
      <c r="B4566" s="52">
        <v>696</v>
      </c>
      <c r="C4566" s="8" t="s">
        <v>4387</v>
      </c>
      <c r="D4566" s="8" t="s">
        <v>291</v>
      </c>
      <c r="E4566" s="52">
        <v>55</v>
      </c>
      <c r="F4566" s="13"/>
      <c r="G4566" s="13">
        <v>70</v>
      </c>
    </row>
    <row r="4567" spans="1:7" hidden="1" x14ac:dyDescent="0.75">
      <c r="A4567" s="51">
        <v>44953</v>
      </c>
      <c r="B4567" s="52">
        <v>696</v>
      </c>
      <c r="C4567" s="8" t="s">
        <v>4418</v>
      </c>
      <c r="D4567" s="8" t="s">
        <v>291</v>
      </c>
      <c r="E4567" s="52">
        <v>55</v>
      </c>
      <c r="F4567" s="13"/>
      <c r="G4567" s="13">
        <v>38</v>
      </c>
    </row>
    <row r="4568" spans="1:7" hidden="1" x14ac:dyDescent="0.75">
      <c r="A4568" s="51">
        <v>44954</v>
      </c>
      <c r="B4568" s="52">
        <v>696</v>
      </c>
      <c r="C4568" s="8" t="s">
        <v>4454</v>
      </c>
      <c r="D4568" s="8" t="s">
        <v>291</v>
      </c>
      <c r="E4568" s="52">
        <v>55</v>
      </c>
      <c r="F4568" s="13"/>
      <c r="G4568" s="13">
        <v>53</v>
      </c>
    </row>
    <row r="4569" spans="1:7" hidden="1" x14ac:dyDescent="0.75">
      <c r="A4569" s="51">
        <v>44954</v>
      </c>
      <c r="B4569" s="52">
        <v>696</v>
      </c>
      <c r="C4569" s="8" t="s">
        <v>4465</v>
      </c>
      <c r="D4569" s="8" t="s">
        <v>291</v>
      </c>
      <c r="E4569" s="52">
        <v>55</v>
      </c>
      <c r="F4569" s="13"/>
      <c r="G4569" s="13">
        <v>32</v>
      </c>
    </row>
    <row r="4570" spans="1:7" hidden="1" x14ac:dyDescent="0.75">
      <c r="A4570" s="51">
        <v>44956</v>
      </c>
      <c r="B4570" s="52">
        <v>696</v>
      </c>
      <c r="C4570" s="8" t="s">
        <v>1630</v>
      </c>
      <c r="D4570" s="8" t="s">
        <v>291</v>
      </c>
      <c r="E4570" s="52">
        <v>8</v>
      </c>
      <c r="F4570" s="13">
        <v>516</v>
      </c>
      <c r="G4570" s="13"/>
    </row>
    <row r="4571" spans="1:7" hidden="1" x14ac:dyDescent="0.75">
      <c r="A4571" s="51">
        <v>44956</v>
      </c>
      <c r="B4571" s="52">
        <v>696</v>
      </c>
      <c r="C4571" s="8" t="s">
        <v>1630</v>
      </c>
      <c r="D4571" s="8" t="s">
        <v>291</v>
      </c>
      <c r="E4571" s="52">
        <v>8</v>
      </c>
      <c r="F4571" s="13">
        <v>244</v>
      </c>
      <c r="G4571" s="13"/>
    </row>
    <row r="4572" spans="1:7" hidden="1" x14ac:dyDescent="0.75">
      <c r="A4572" s="51">
        <v>44957</v>
      </c>
      <c r="B4572" s="52">
        <v>696</v>
      </c>
      <c r="C4572" s="8" t="s">
        <v>4511</v>
      </c>
      <c r="D4572" s="8" t="s">
        <v>291</v>
      </c>
      <c r="E4572" s="52">
        <v>55</v>
      </c>
      <c r="F4572" s="13"/>
      <c r="G4572" s="13">
        <v>100</v>
      </c>
    </row>
    <row r="4573" spans="1:7" hidden="1" x14ac:dyDescent="0.75">
      <c r="A4573" s="51">
        <v>44957</v>
      </c>
      <c r="B4573" s="52">
        <v>696</v>
      </c>
      <c r="C4573" s="8" t="s">
        <v>4518</v>
      </c>
      <c r="D4573" s="8" t="s">
        <v>291</v>
      </c>
      <c r="E4573" s="52">
        <v>55</v>
      </c>
      <c r="F4573" s="13"/>
      <c r="G4573" s="13">
        <v>40</v>
      </c>
    </row>
    <row r="4574" spans="1:7" hidden="1" x14ac:dyDescent="0.75">
      <c r="A4574" s="51">
        <v>44929</v>
      </c>
      <c r="B4574" s="52">
        <v>687</v>
      </c>
      <c r="C4574" s="8" t="s">
        <v>3757</v>
      </c>
      <c r="D4574" s="8" t="s">
        <v>293</v>
      </c>
      <c r="E4574" s="52">
        <v>55</v>
      </c>
      <c r="F4574" s="13"/>
      <c r="G4574" s="13">
        <v>141.80000000000001</v>
      </c>
    </row>
    <row r="4575" spans="1:7" hidden="1" x14ac:dyDescent="0.75">
      <c r="A4575" s="51">
        <v>44930</v>
      </c>
      <c r="B4575" s="52">
        <v>687</v>
      </c>
      <c r="C4575" s="8" t="s">
        <v>3791</v>
      </c>
      <c r="D4575" s="8" t="s">
        <v>293</v>
      </c>
      <c r="E4575" s="52">
        <v>55</v>
      </c>
      <c r="F4575" s="13"/>
      <c r="G4575" s="13">
        <v>125.5</v>
      </c>
    </row>
    <row r="4576" spans="1:7" hidden="1" x14ac:dyDescent="0.75">
      <c r="A4576" s="51">
        <v>44931</v>
      </c>
      <c r="B4576" s="52">
        <v>687</v>
      </c>
      <c r="C4576" s="8" t="s">
        <v>3812</v>
      </c>
      <c r="D4576" s="8" t="s">
        <v>293</v>
      </c>
      <c r="E4576" s="52">
        <v>55</v>
      </c>
      <c r="F4576" s="13"/>
      <c r="G4576" s="13">
        <v>166.2</v>
      </c>
    </row>
    <row r="4577" spans="1:7" hidden="1" x14ac:dyDescent="0.75">
      <c r="A4577" s="51">
        <v>44932</v>
      </c>
      <c r="B4577" s="52">
        <v>687</v>
      </c>
      <c r="C4577" s="8" t="s">
        <v>3838</v>
      </c>
      <c r="D4577" s="8" t="s">
        <v>293</v>
      </c>
      <c r="E4577" s="52">
        <v>55</v>
      </c>
      <c r="F4577" s="13"/>
      <c r="G4577" s="13">
        <v>66.599999999999994</v>
      </c>
    </row>
    <row r="4578" spans="1:7" hidden="1" x14ac:dyDescent="0.75">
      <c r="A4578" s="51">
        <v>44933</v>
      </c>
      <c r="B4578" s="52">
        <v>687</v>
      </c>
      <c r="C4578" s="8" t="s">
        <v>3883</v>
      </c>
      <c r="D4578" s="8" t="s">
        <v>293</v>
      </c>
      <c r="E4578" s="52">
        <v>55</v>
      </c>
      <c r="F4578" s="13"/>
      <c r="G4578" s="13">
        <v>165</v>
      </c>
    </row>
    <row r="4579" spans="1:7" hidden="1" x14ac:dyDescent="0.75">
      <c r="A4579" s="51">
        <v>44933</v>
      </c>
      <c r="B4579" s="52">
        <v>687</v>
      </c>
      <c r="C4579" s="8" t="s">
        <v>3890</v>
      </c>
      <c r="D4579" s="8" t="s">
        <v>293</v>
      </c>
      <c r="E4579" s="52">
        <v>55</v>
      </c>
      <c r="F4579" s="13"/>
      <c r="G4579" s="13">
        <v>58.3</v>
      </c>
    </row>
    <row r="4580" spans="1:7" hidden="1" x14ac:dyDescent="0.75">
      <c r="A4580" s="51">
        <v>44936</v>
      </c>
      <c r="B4580" s="52">
        <v>687</v>
      </c>
      <c r="C4580" s="8" t="s">
        <v>3950</v>
      </c>
      <c r="D4580" s="8" t="s">
        <v>293</v>
      </c>
      <c r="E4580" s="52">
        <v>55</v>
      </c>
      <c r="F4580" s="13"/>
      <c r="G4580" s="13">
        <v>116.5</v>
      </c>
    </row>
    <row r="4581" spans="1:7" hidden="1" x14ac:dyDescent="0.75">
      <c r="A4581" s="51">
        <v>44936</v>
      </c>
      <c r="B4581" s="52">
        <v>687</v>
      </c>
      <c r="C4581" s="8" t="s">
        <v>1631</v>
      </c>
      <c r="D4581" s="8" t="s">
        <v>293</v>
      </c>
      <c r="E4581" s="52">
        <v>8</v>
      </c>
      <c r="F4581" s="13">
        <v>477.9</v>
      </c>
      <c r="G4581" s="13"/>
    </row>
    <row r="4582" spans="1:7" hidden="1" x14ac:dyDescent="0.75">
      <c r="A4582" s="51">
        <v>44936</v>
      </c>
      <c r="B4582" s="52">
        <v>687</v>
      </c>
      <c r="C4582" s="8" t="s">
        <v>1631</v>
      </c>
      <c r="D4582" s="8" t="s">
        <v>293</v>
      </c>
      <c r="E4582" s="52">
        <v>8</v>
      </c>
      <c r="F4582" s="13">
        <v>554.5</v>
      </c>
      <c r="G4582" s="13"/>
    </row>
    <row r="4583" spans="1:7" hidden="1" x14ac:dyDescent="0.75">
      <c r="A4583" s="51">
        <v>44937</v>
      </c>
      <c r="B4583" s="52">
        <v>687</v>
      </c>
      <c r="C4583" s="8" t="s">
        <v>3990</v>
      </c>
      <c r="D4583" s="8" t="s">
        <v>293</v>
      </c>
      <c r="E4583" s="52">
        <v>55</v>
      </c>
      <c r="F4583" s="13"/>
      <c r="G4583" s="13">
        <v>76</v>
      </c>
    </row>
    <row r="4584" spans="1:7" hidden="1" x14ac:dyDescent="0.75">
      <c r="A4584" s="51">
        <v>44938</v>
      </c>
      <c r="B4584" s="52">
        <v>687</v>
      </c>
      <c r="C4584" s="8" t="s">
        <v>4016</v>
      </c>
      <c r="D4584" s="8" t="s">
        <v>293</v>
      </c>
      <c r="E4584" s="52">
        <v>55</v>
      </c>
      <c r="F4584" s="13"/>
      <c r="G4584" s="13">
        <v>83.3</v>
      </c>
    </row>
    <row r="4585" spans="1:7" hidden="1" x14ac:dyDescent="0.75">
      <c r="A4585" s="51">
        <v>44939</v>
      </c>
      <c r="B4585" s="52">
        <v>687</v>
      </c>
      <c r="C4585" s="8" t="s">
        <v>4040</v>
      </c>
      <c r="D4585" s="8" t="s">
        <v>293</v>
      </c>
      <c r="E4585" s="52">
        <v>55</v>
      </c>
      <c r="F4585" s="13"/>
      <c r="G4585" s="13">
        <v>46.4</v>
      </c>
    </row>
    <row r="4586" spans="1:7" hidden="1" x14ac:dyDescent="0.75">
      <c r="A4586" s="51">
        <v>44940</v>
      </c>
      <c r="B4586" s="52">
        <v>687</v>
      </c>
      <c r="C4586" s="8" t="s">
        <v>4076</v>
      </c>
      <c r="D4586" s="8" t="s">
        <v>293</v>
      </c>
      <c r="E4586" s="52">
        <v>55</v>
      </c>
      <c r="F4586" s="13"/>
      <c r="G4586" s="13">
        <v>152.19999999999999</v>
      </c>
    </row>
    <row r="4587" spans="1:7" hidden="1" x14ac:dyDescent="0.75">
      <c r="A4587" s="51">
        <v>44940</v>
      </c>
      <c r="B4587" s="52">
        <v>687</v>
      </c>
      <c r="C4587" s="8" t="s">
        <v>4088</v>
      </c>
      <c r="D4587" s="8" t="s">
        <v>293</v>
      </c>
      <c r="E4587" s="52">
        <v>55</v>
      </c>
      <c r="F4587" s="13"/>
      <c r="G4587" s="13">
        <v>123.8</v>
      </c>
    </row>
    <row r="4588" spans="1:7" hidden="1" x14ac:dyDescent="0.75">
      <c r="A4588" s="51">
        <v>44943</v>
      </c>
      <c r="B4588" s="52">
        <v>687</v>
      </c>
      <c r="C4588" s="8" t="s">
        <v>4148</v>
      </c>
      <c r="D4588" s="8" t="s">
        <v>293</v>
      </c>
      <c r="E4588" s="52">
        <v>55</v>
      </c>
      <c r="F4588" s="13"/>
      <c r="G4588" s="13">
        <v>92.8</v>
      </c>
    </row>
    <row r="4589" spans="1:7" hidden="1" x14ac:dyDescent="0.75">
      <c r="A4589" s="51">
        <v>44943</v>
      </c>
      <c r="B4589" s="52">
        <v>687</v>
      </c>
      <c r="C4589" s="8" t="s">
        <v>4157</v>
      </c>
      <c r="D4589" s="8" t="s">
        <v>293</v>
      </c>
      <c r="E4589" s="52">
        <v>55</v>
      </c>
      <c r="F4589" s="13"/>
      <c r="G4589" s="13">
        <v>144.19999999999999</v>
      </c>
    </row>
    <row r="4590" spans="1:7" hidden="1" x14ac:dyDescent="0.75">
      <c r="A4590" s="51">
        <v>44944</v>
      </c>
      <c r="B4590" s="52">
        <v>687</v>
      </c>
      <c r="C4590" s="8" t="s">
        <v>4175</v>
      </c>
      <c r="D4590" s="8" t="s">
        <v>293</v>
      </c>
      <c r="E4590" s="52">
        <v>55</v>
      </c>
      <c r="F4590" s="13"/>
      <c r="G4590" s="13">
        <v>84.8</v>
      </c>
    </row>
    <row r="4591" spans="1:7" hidden="1" x14ac:dyDescent="0.75">
      <c r="A4591" s="51">
        <v>44946</v>
      </c>
      <c r="B4591" s="52">
        <v>687</v>
      </c>
      <c r="C4591" s="8" t="s">
        <v>4249</v>
      </c>
      <c r="D4591" s="8" t="s">
        <v>293</v>
      </c>
      <c r="E4591" s="52">
        <v>55</v>
      </c>
      <c r="F4591" s="13"/>
      <c r="G4591" s="13">
        <v>267</v>
      </c>
    </row>
    <row r="4592" spans="1:7" hidden="1" x14ac:dyDescent="0.75">
      <c r="A4592" s="51">
        <v>44946</v>
      </c>
      <c r="B4592" s="52">
        <v>687</v>
      </c>
      <c r="C4592" s="8" t="s">
        <v>1631</v>
      </c>
      <c r="D4592" s="8" t="s">
        <v>293</v>
      </c>
      <c r="E4592" s="52">
        <v>8</v>
      </c>
      <c r="F4592" s="13">
        <v>314</v>
      </c>
      <c r="G4592" s="13"/>
    </row>
    <row r="4593" spans="1:7" hidden="1" x14ac:dyDescent="0.75">
      <c r="A4593" s="51">
        <v>44947</v>
      </c>
      <c r="B4593" s="52">
        <v>687</v>
      </c>
      <c r="C4593" s="8" t="s">
        <v>4266</v>
      </c>
      <c r="D4593" s="8" t="s">
        <v>293</v>
      </c>
      <c r="E4593" s="52">
        <v>55</v>
      </c>
      <c r="F4593" s="13"/>
      <c r="G4593" s="13">
        <v>34.5</v>
      </c>
    </row>
    <row r="4594" spans="1:7" hidden="1" x14ac:dyDescent="0.75">
      <c r="A4594" s="51">
        <v>44947</v>
      </c>
      <c r="B4594" s="52">
        <v>687</v>
      </c>
      <c r="C4594" s="8" t="s">
        <v>4281</v>
      </c>
      <c r="D4594" s="8" t="s">
        <v>293</v>
      </c>
      <c r="E4594" s="52">
        <v>55</v>
      </c>
      <c r="F4594" s="13"/>
      <c r="G4594" s="13">
        <v>250.3</v>
      </c>
    </row>
    <row r="4595" spans="1:7" hidden="1" x14ac:dyDescent="0.75">
      <c r="A4595" s="51">
        <v>44950</v>
      </c>
      <c r="B4595" s="52">
        <v>687</v>
      </c>
      <c r="C4595" s="8" t="s">
        <v>4344</v>
      </c>
      <c r="D4595" s="8" t="s">
        <v>293</v>
      </c>
      <c r="E4595" s="52">
        <v>55</v>
      </c>
      <c r="F4595" s="13"/>
      <c r="G4595" s="13">
        <v>148.69999999999999</v>
      </c>
    </row>
    <row r="4596" spans="1:7" hidden="1" x14ac:dyDescent="0.75">
      <c r="A4596" s="51">
        <v>44951</v>
      </c>
      <c r="B4596" s="52">
        <v>687</v>
      </c>
      <c r="C4596" s="8" t="s">
        <v>4353</v>
      </c>
      <c r="D4596" s="8" t="s">
        <v>293</v>
      </c>
      <c r="E4596" s="52">
        <v>55</v>
      </c>
      <c r="F4596" s="13"/>
      <c r="G4596" s="13">
        <v>80.400000000000006</v>
      </c>
    </row>
    <row r="4597" spans="1:7" hidden="1" x14ac:dyDescent="0.75">
      <c r="A4597" s="51">
        <v>44952</v>
      </c>
      <c r="B4597" s="52">
        <v>687</v>
      </c>
      <c r="C4597" s="8" t="s">
        <v>4384</v>
      </c>
      <c r="D4597" s="8" t="s">
        <v>293</v>
      </c>
      <c r="E4597" s="52">
        <v>55</v>
      </c>
      <c r="F4597" s="13"/>
      <c r="G4597" s="13">
        <v>157</v>
      </c>
    </row>
    <row r="4598" spans="1:7" hidden="1" x14ac:dyDescent="0.75">
      <c r="A4598" s="51">
        <v>44953</v>
      </c>
      <c r="B4598" s="52">
        <v>687</v>
      </c>
      <c r="C4598" s="8" t="s">
        <v>4415</v>
      </c>
      <c r="D4598" s="8" t="s">
        <v>293</v>
      </c>
      <c r="E4598" s="52">
        <v>55</v>
      </c>
      <c r="F4598" s="13"/>
      <c r="G4598" s="13">
        <v>69.099999999999994</v>
      </c>
    </row>
    <row r="4599" spans="1:7" hidden="1" x14ac:dyDescent="0.75">
      <c r="A4599" s="51">
        <v>44954</v>
      </c>
      <c r="B4599" s="52">
        <v>687</v>
      </c>
      <c r="C4599" s="8" t="s">
        <v>4451</v>
      </c>
      <c r="D4599" s="8" t="s">
        <v>293</v>
      </c>
      <c r="E4599" s="52">
        <v>55</v>
      </c>
      <c r="F4599" s="13"/>
      <c r="G4599" s="13">
        <v>142</v>
      </c>
    </row>
    <row r="4600" spans="1:7" hidden="1" x14ac:dyDescent="0.75">
      <c r="A4600" s="51">
        <v>44954</v>
      </c>
      <c r="B4600" s="52">
        <v>687</v>
      </c>
      <c r="C4600" s="8" t="s">
        <v>4462</v>
      </c>
      <c r="D4600" s="8" t="s">
        <v>293</v>
      </c>
      <c r="E4600" s="52">
        <v>55</v>
      </c>
      <c r="F4600" s="13"/>
      <c r="G4600" s="13">
        <v>76</v>
      </c>
    </row>
    <row r="4601" spans="1:7" hidden="1" x14ac:dyDescent="0.75">
      <c r="A4601" s="51">
        <v>44956</v>
      </c>
      <c r="B4601" s="52">
        <v>687</v>
      </c>
      <c r="C4601" s="8" t="s">
        <v>1631</v>
      </c>
      <c r="D4601" s="8" t="s">
        <v>293</v>
      </c>
      <c r="E4601" s="52">
        <v>8</v>
      </c>
      <c r="F4601" s="13">
        <v>510.1</v>
      </c>
      <c r="G4601" s="13"/>
    </row>
    <row r="4602" spans="1:7" hidden="1" x14ac:dyDescent="0.75">
      <c r="A4602" s="51">
        <v>44956</v>
      </c>
      <c r="B4602" s="52">
        <v>687</v>
      </c>
      <c r="C4602" s="8" t="s">
        <v>1631</v>
      </c>
      <c r="D4602" s="8" t="s">
        <v>293</v>
      </c>
      <c r="E4602" s="52">
        <v>8</v>
      </c>
      <c r="F4602" s="13">
        <v>512.79999999999995</v>
      </c>
      <c r="G4602" s="13"/>
    </row>
    <row r="4603" spans="1:7" hidden="1" x14ac:dyDescent="0.75">
      <c r="A4603" s="51">
        <v>44957</v>
      </c>
      <c r="B4603" s="52">
        <v>687</v>
      </c>
      <c r="C4603" s="8" t="s">
        <v>4508</v>
      </c>
      <c r="D4603" s="8" t="s">
        <v>293</v>
      </c>
      <c r="E4603" s="52">
        <v>55</v>
      </c>
      <c r="F4603" s="13"/>
      <c r="G4603" s="13">
        <v>225.5</v>
      </c>
    </row>
    <row r="4604" spans="1:7" hidden="1" x14ac:dyDescent="0.75">
      <c r="A4604" s="51">
        <v>44957</v>
      </c>
      <c r="B4604" s="52">
        <v>687</v>
      </c>
      <c r="C4604" s="8" t="s">
        <v>4517</v>
      </c>
      <c r="D4604" s="8" t="s">
        <v>293</v>
      </c>
      <c r="E4604" s="52">
        <v>55</v>
      </c>
      <c r="F4604" s="13"/>
      <c r="G4604" s="13">
        <v>68</v>
      </c>
    </row>
    <row r="4605" spans="1:7" hidden="1" x14ac:dyDescent="0.75">
      <c r="A4605" s="51">
        <v>44928</v>
      </c>
      <c r="B4605" s="52">
        <v>695</v>
      </c>
      <c r="C4605" s="8" t="s">
        <v>3727</v>
      </c>
      <c r="D4605" s="8" t="s">
        <v>296</v>
      </c>
      <c r="E4605" s="52">
        <v>55</v>
      </c>
      <c r="F4605" s="13"/>
      <c r="G4605" s="13">
        <v>210</v>
      </c>
    </row>
    <row r="4606" spans="1:7" hidden="1" x14ac:dyDescent="0.75">
      <c r="A4606" s="51">
        <v>44930</v>
      </c>
      <c r="B4606" s="52">
        <v>695</v>
      </c>
      <c r="C4606" s="8" t="s">
        <v>3789</v>
      </c>
      <c r="D4606" s="8" t="s">
        <v>296</v>
      </c>
      <c r="E4606" s="52">
        <v>55</v>
      </c>
      <c r="F4606" s="13"/>
      <c r="G4606" s="13">
        <v>213</v>
      </c>
    </row>
    <row r="4607" spans="1:7" hidden="1" x14ac:dyDescent="0.75">
      <c r="A4607" s="51">
        <v>44932</v>
      </c>
      <c r="B4607" s="52">
        <v>695</v>
      </c>
      <c r="C4607" s="8" t="s">
        <v>3848</v>
      </c>
      <c r="D4607" s="8" t="s">
        <v>296</v>
      </c>
      <c r="E4607" s="52">
        <v>55</v>
      </c>
      <c r="F4607" s="13"/>
      <c r="G4607" s="13">
        <v>270</v>
      </c>
    </row>
    <row r="4608" spans="1:7" hidden="1" x14ac:dyDescent="0.75">
      <c r="A4608" s="51">
        <v>44935</v>
      </c>
      <c r="B4608" s="52">
        <v>695</v>
      </c>
      <c r="C4608" s="8" t="s">
        <v>3922</v>
      </c>
      <c r="D4608" s="8" t="s">
        <v>296</v>
      </c>
      <c r="E4608" s="52">
        <v>55</v>
      </c>
      <c r="F4608" s="13"/>
      <c r="G4608" s="13">
        <v>246</v>
      </c>
    </row>
    <row r="4609" spans="1:7" hidden="1" x14ac:dyDescent="0.75">
      <c r="A4609" s="51">
        <v>44936</v>
      </c>
      <c r="B4609" s="52">
        <v>695</v>
      </c>
      <c r="C4609" s="8" t="s">
        <v>1629</v>
      </c>
      <c r="D4609" s="8" t="s">
        <v>296</v>
      </c>
      <c r="E4609" s="52">
        <v>8</v>
      </c>
      <c r="F4609" s="13">
        <v>762</v>
      </c>
      <c r="G4609" s="13"/>
    </row>
    <row r="4610" spans="1:7" hidden="1" x14ac:dyDescent="0.75">
      <c r="A4610" s="51">
        <v>44936</v>
      </c>
      <c r="B4610" s="52">
        <v>695</v>
      </c>
      <c r="C4610" s="8" t="s">
        <v>1629</v>
      </c>
      <c r="D4610" s="8" t="s">
        <v>296</v>
      </c>
      <c r="E4610" s="52">
        <v>8</v>
      </c>
      <c r="F4610" s="13">
        <v>846</v>
      </c>
      <c r="G4610" s="13"/>
    </row>
    <row r="4611" spans="1:7" hidden="1" x14ac:dyDescent="0.75">
      <c r="A4611" s="51">
        <v>44937</v>
      </c>
      <c r="B4611" s="52">
        <v>695</v>
      </c>
      <c r="C4611" s="8" t="s">
        <v>3986</v>
      </c>
      <c r="D4611" s="8" t="s">
        <v>296</v>
      </c>
      <c r="E4611" s="52">
        <v>55</v>
      </c>
      <c r="F4611" s="13"/>
      <c r="G4611" s="13">
        <v>225</v>
      </c>
    </row>
    <row r="4612" spans="1:7" hidden="1" x14ac:dyDescent="0.75">
      <c r="A4612" s="51">
        <v>44939</v>
      </c>
      <c r="B4612" s="52">
        <v>695</v>
      </c>
      <c r="C4612" s="8" t="s">
        <v>4050</v>
      </c>
      <c r="D4612" s="8" t="s">
        <v>296</v>
      </c>
      <c r="E4612" s="52">
        <v>55</v>
      </c>
      <c r="F4612" s="13"/>
      <c r="G4612" s="13">
        <v>279</v>
      </c>
    </row>
    <row r="4613" spans="1:7" hidden="1" x14ac:dyDescent="0.75">
      <c r="A4613" s="51">
        <v>44942</v>
      </c>
      <c r="B4613" s="52">
        <v>695</v>
      </c>
      <c r="C4613" s="8" t="s">
        <v>4113</v>
      </c>
      <c r="D4613" s="8" t="s">
        <v>296</v>
      </c>
      <c r="E4613" s="52">
        <v>55</v>
      </c>
      <c r="F4613" s="13"/>
      <c r="G4613" s="13">
        <v>273</v>
      </c>
    </row>
    <row r="4614" spans="1:7" hidden="1" x14ac:dyDescent="0.75">
      <c r="A4614" s="51">
        <v>44944</v>
      </c>
      <c r="B4614" s="52">
        <v>695</v>
      </c>
      <c r="C4614" s="8" t="s">
        <v>4172</v>
      </c>
      <c r="D4614" s="8" t="s">
        <v>296</v>
      </c>
      <c r="E4614" s="52">
        <v>55</v>
      </c>
      <c r="F4614" s="13"/>
      <c r="G4614" s="13">
        <v>171</v>
      </c>
    </row>
    <row r="4615" spans="1:7" hidden="1" x14ac:dyDescent="0.75">
      <c r="A4615" s="51">
        <v>44946</v>
      </c>
      <c r="B4615" s="52">
        <v>695</v>
      </c>
      <c r="C4615" s="8" t="s">
        <v>4232</v>
      </c>
      <c r="D4615" s="8" t="s">
        <v>296</v>
      </c>
      <c r="E4615" s="52">
        <v>55</v>
      </c>
      <c r="F4615" s="13"/>
      <c r="G4615" s="13">
        <v>270</v>
      </c>
    </row>
    <row r="4616" spans="1:7" hidden="1" x14ac:dyDescent="0.75">
      <c r="A4616" s="51">
        <v>44946</v>
      </c>
      <c r="B4616" s="52">
        <v>695</v>
      </c>
      <c r="C4616" s="8" t="s">
        <v>1629</v>
      </c>
      <c r="D4616" s="8" t="s">
        <v>296</v>
      </c>
      <c r="E4616" s="52">
        <v>8</v>
      </c>
      <c r="F4616" s="13">
        <v>804</v>
      </c>
      <c r="G4616" s="13"/>
    </row>
    <row r="4617" spans="1:7" hidden="1" x14ac:dyDescent="0.75">
      <c r="A4617" s="51">
        <v>44949</v>
      </c>
      <c r="B4617" s="52">
        <v>695</v>
      </c>
      <c r="C4617" s="8" t="s">
        <v>4293</v>
      </c>
      <c r="D4617" s="8" t="s">
        <v>296</v>
      </c>
      <c r="E4617" s="52">
        <v>55</v>
      </c>
      <c r="F4617" s="13"/>
      <c r="G4617" s="13">
        <v>201</v>
      </c>
    </row>
    <row r="4618" spans="1:7" hidden="1" x14ac:dyDescent="0.75">
      <c r="A4618" s="51">
        <v>44951</v>
      </c>
      <c r="B4618" s="52">
        <v>695</v>
      </c>
      <c r="C4618" s="8" t="s">
        <v>4364</v>
      </c>
      <c r="D4618" s="8" t="s">
        <v>296</v>
      </c>
      <c r="E4618" s="52">
        <v>55</v>
      </c>
      <c r="F4618" s="13"/>
      <c r="G4618" s="13">
        <v>195</v>
      </c>
    </row>
    <row r="4619" spans="1:7" hidden="1" x14ac:dyDescent="0.75">
      <c r="A4619" s="51">
        <v>44953</v>
      </c>
      <c r="B4619" s="52">
        <v>695</v>
      </c>
      <c r="C4619" s="8" t="s">
        <v>4421</v>
      </c>
      <c r="D4619" s="8" t="s">
        <v>296</v>
      </c>
      <c r="E4619" s="52">
        <v>55</v>
      </c>
      <c r="F4619" s="13"/>
      <c r="G4619" s="13">
        <v>309</v>
      </c>
    </row>
    <row r="4620" spans="1:7" hidden="1" x14ac:dyDescent="0.75">
      <c r="A4620" s="51">
        <v>44956</v>
      </c>
      <c r="B4620" s="52">
        <v>695</v>
      </c>
      <c r="C4620" s="8" t="s">
        <v>4490</v>
      </c>
      <c r="D4620" s="8" t="s">
        <v>296</v>
      </c>
      <c r="E4620" s="52">
        <v>55</v>
      </c>
      <c r="F4620" s="13"/>
      <c r="G4620" s="13">
        <v>300</v>
      </c>
    </row>
    <row r="4621" spans="1:7" hidden="1" x14ac:dyDescent="0.75">
      <c r="A4621" s="51">
        <v>44956</v>
      </c>
      <c r="B4621" s="52">
        <v>695</v>
      </c>
      <c r="C4621" s="8" t="s">
        <v>1629</v>
      </c>
      <c r="D4621" s="8" t="s">
        <v>296</v>
      </c>
      <c r="E4621" s="52">
        <v>8</v>
      </c>
      <c r="F4621" s="13">
        <v>903</v>
      </c>
      <c r="G4621" s="13"/>
    </row>
    <row r="4622" spans="1:7" hidden="1" x14ac:dyDescent="0.75">
      <c r="A4622" s="51">
        <v>44956</v>
      </c>
      <c r="B4622" s="52">
        <v>695</v>
      </c>
      <c r="C4622" s="8" t="s">
        <v>1629</v>
      </c>
      <c r="D4622" s="8" t="s">
        <v>296</v>
      </c>
      <c r="E4622" s="52">
        <v>8</v>
      </c>
      <c r="F4622" s="13">
        <v>378</v>
      </c>
      <c r="G4622" s="13"/>
    </row>
    <row r="4623" spans="1:7" hidden="1" x14ac:dyDescent="0.75">
      <c r="A4623" s="51">
        <v>44929</v>
      </c>
      <c r="B4623" s="52">
        <v>686</v>
      </c>
      <c r="C4623" s="8" t="s">
        <v>3765</v>
      </c>
      <c r="D4623" s="8" t="s">
        <v>294</v>
      </c>
      <c r="E4623" s="52">
        <v>55</v>
      </c>
      <c r="F4623" s="13"/>
      <c r="G4623" s="13">
        <v>724.8</v>
      </c>
    </row>
    <row r="4624" spans="1:7" hidden="1" x14ac:dyDescent="0.75">
      <c r="A4624" s="51">
        <v>44930</v>
      </c>
      <c r="B4624" s="52">
        <v>686</v>
      </c>
      <c r="C4624" s="8" t="s">
        <v>3790</v>
      </c>
      <c r="D4624" s="8" t="s">
        <v>294</v>
      </c>
      <c r="E4624" s="52">
        <v>55</v>
      </c>
      <c r="F4624" s="13"/>
      <c r="G4624" s="13">
        <v>48</v>
      </c>
    </row>
    <row r="4625" spans="1:7" hidden="1" x14ac:dyDescent="0.75">
      <c r="A4625" s="51">
        <v>44931</v>
      </c>
      <c r="B4625" s="52">
        <v>686</v>
      </c>
      <c r="C4625" s="8" t="s">
        <v>3813</v>
      </c>
      <c r="D4625" s="8" t="s">
        <v>294</v>
      </c>
      <c r="E4625" s="52">
        <v>55</v>
      </c>
      <c r="F4625" s="13"/>
      <c r="G4625" s="13">
        <v>508.4</v>
      </c>
    </row>
    <row r="4626" spans="1:7" hidden="1" x14ac:dyDescent="0.75">
      <c r="A4626" s="51">
        <v>44932</v>
      </c>
      <c r="B4626" s="52">
        <v>686</v>
      </c>
      <c r="C4626" s="8" t="s">
        <v>3837</v>
      </c>
      <c r="D4626" s="8" t="s">
        <v>294</v>
      </c>
      <c r="E4626" s="52">
        <v>55</v>
      </c>
      <c r="F4626" s="13"/>
      <c r="G4626" s="13">
        <v>120</v>
      </c>
    </row>
    <row r="4627" spans="1:7" hidden="1" x14ac:dyDescent="0.75">
      <c r="A4627" s="51">
        <v>44933</v>
      </c>
      <c r="B4627" s="52">
        <v>686</v>
      </c>
      <c r="C4627" s="8" t="s">
        <v>3882</v>
      </c>
      <c r="D4627" s="8" t="s">
        <v>294</v>
      </c>
      <c r="E4627" s="52">
        <v>55</v>
      </c>
      <c r="F4627" s="13"/>
      <c r="G4627" s="13">
        <v>553.6</v>
      </c>
    </row>
    <row r="4628" spans="1:7" hidden="1" x14ac:dyDescent="0.75">
      <c r="A4628" s="51">
        <v>44936</v>
      </c>
      <c r="B4628" s="52">
        <v>686</v>
      </c>
      <c r="C4628" s="8" t="s">
        <v>3961</v>
      </c>
      <c r="D4628" s="8" t="s">
        <v>294</v>
      </c>
      <c r="E4628" s="52">
        <v>55</v>
      </c>
      <c r="F4628" s="13"/>
      <c r="G4628" s="13">
        <v>688.1</v>
      </c>
    </row>
    <row r="4629" spans="1:7" hidden="1" x14ac:dyDescent="0.75">
      <c r="A4629" s="51">
        <v>44936</v>
      </c>
      <c r="B4629" s="52">
        <v>686</v>
      </c>
      <c r="C4629" s="8" t="s">
        <v>1628</v>
      </c>
      <c r="D4629" s="8" t="s">
        <v>294</v>
      </c>
      <c r="E4629" s="52">
        <v>8</v>
      </c>
      <c r="F4629" s="13">
        <v>1965.8</v>
      </c>
      <c r="G4629" s="13"/>
    </row>
    <row r="4630" spans="1:7" hidden="1" x14ac:dyDescent="0.75">
      <c r="A4630" s="51">
        <v>44936</v>
      </c>
      <c r="B4630" s="52">
        <v>686</v>
      </c>
      <c r="C4630" s="8" t="s">
        <v>1628</v>
      </c>
      <c r="D4630" s="8" t="s">
        <v>294</v>
      </c>
      <c r="E4630" s="52">
        <v>8</v>
      </c>
      <c r="F4630" s="13">
        <v>1762</v>
      </c>
      <c r="G4630" s="13"/>
    </row>
    <row r="4631" spans="1:7" hidden="1" x14ac:dyDescent="0.75">
      <c r="A4631" s="51">
        <v>44937</v>
      </c>
      <c r="B4631" s="52">
        <v>686</v>
      </c>
      <c r="C4631" s="8" t="s">
        <v>3989</v>
      </c>
      <c r="D4631" s="8" t="s">
        <v>294</v>
      </c>
      <c r="E4631" s="52">
        <v>55</v>
      </c>
      <c r="F4631" s="13"/>
      <c r="G4631" s="13">
        <v>30</v>
      </c>
    </row>
    <row r="4632" spans="1:7" hidden="1" x14ac:dyDescent="0.75">
      <c r="A4632" s="51">
        <v>44938</v>
      </c>
      <c r="B4632" s="52">
        <v>686</v>
      </c>
      <c r="C4632" s="8" t="s">
        <v>4014</v>
      </c>
      <c r="D4632" s="8" t="s">
        <v>294</v>
      </c>
      <c r="E4632" s="52">
        <v>55</v>
      </c>
      <c r="F4632" s="13"/>
      <c r="G4632" s="13">
        <v>471.5</v>
      </c>
    </row>
    <row r="4633" spans="1:7" hidden="1" x14ac:dyDescent="0.75">
      <c r="A4633" s="51">
        <v>44939</v>
      </c>
      <c r="B4633" s="52">
        <v>686</v>
      </c>
      <c r="C4633" s="8" t="s">
        <v>4039</v>
      </c>
      <c r="D4633" s="8" t="s">
        <v>294</v>
      </c>
      <c r="E4633" s="52">
        <v>55</v>
      </c>
      <c r="F4633" s="13"/>
      <c r="G4633" s="13">
        <v>180</v>
      </c>
    </row>
    <row r="4634" spans="1:7" hidden="1" x14ac:dyDescent="0.75">
      <c r="A4634" s="51">
        <v>44940</v>
      </c>
      <c r="B4634" s="52">
        <v>686</v>
      </c>
      <c r="C4634" s="8" t="s">
        <v>4075</v>
      </c>
      <c r="D4634" s="8" t="s">
        <v>294</v>
      </c>
      <c r="E4634" s="52">
        <v>55</v>
      </c>
      <c r="F4634" s="13"/>
      <c r="G4634" s="13">
        <v>481.6</v>
      </c>
    </row>
    <row r="4635" spans="1:7" hidden="1" x14ac:dyDescent="0.75">
      <c r="A4635" s="51">
        <v>44940</v>
      </c>
      <c r="B4635" s="52">
        <v>686</v>
      </c>
      <c r="C4635" s="8" t="s">
        <v>4087</v>
      </c>
      <c r="D4635" s="8" t="s">
        <v>294</v>
      </c>
      <c r="E4635" s="52">
        <v>55</v>
      </c>
      <c r="F4635" s="13"/>
      <c r="G4635" s="13">
        <v>103.5</v>
      </c>
    </row>
    <row r="4636" spans="1:7" hidden="1" x14ac:dyDescent="0.75">
      <c r="A4636" s="51">
        <v>44943</v>
      </c>
      <c r="B4636" s="52">
        <v>686</v>
      </c>
      <c r="C4636" s="8" t="s">
        <v>4138</v>
      </c>
      <c r="D4636" s="8" t="s">
        <v>294</v>
      </c>
      <c r="E4636" s="52">
        <v>55</v>
      </c>
      <c r="F4636" s="13"/>
      <c r="G4636" s="13">
        <v>1140.5</v>
      </c>
    </row>
    <row r="4637" spans="1:7" hidden="1" x14ac:dyDescent="0.75">
      <c r="A4637" s="51">
        <v>44944</v>
      </c>
      <c r="B4637" s="52">
        <v>686</v>
      </c>
      <c r="C4637" s="8" t="s">
        <v>4166</v>
      </c>
      <c r="D4637" s="8" t="s">
        <v>294</v>
      </c>
      <c r="E4637" s="52">
        <v>55</v>
      </c>
      <c r="F4637" s="13"/>
      <c r="G4637" s="13">
        <v>87</v>
      </c>
    </row>
    <row r="4638" spans="1:7" hidden="1" x14ac:dyDescent="0.75">
      <c r="A4638" s="51">
        <v>44945</v>
      </c>
      <c r="B4638" s="52">
        <v>686</v>
      </c>
      <c r="C4638" s="8" t="s">
        <v>4202</v>
      </c>
      <c r="D4638" s="8" t="s">
        <v>294</v>
      </c>
      <c r="E4638" s="52">
        <v>55</v>
      </c>
      <c r="F4638" s="13"/>
      <c r="G4638" s="13">
        <v>823.5</v>
      </c>
    </row>
    <row r="4639" spans="1:7" hidden="1" x14ac:dyDescent="0.75">
      <c r="A4639" s="51">
        <v>44946</v>
      </c>
      <c r="B4639" s="52">
        <v>686</v>
      </c>
      <c r="C4639" s="8" t="s">
        <v>4223</v>
      </c>
      <c r="D4639" s="8" t="s">
        <v>294</v>
      </c>
      <c r="E4639" s="52">
        <v>55</v>
      </c>
      <c r="F4639" s="13"/>
      <c r="G4639" s="13">
        <v>150</v>
      </c>
    </row>
    <row r="4640" spans="1:7" hidden="1" x14ac:dyDescent="0.75">
      <c r="A4640" s="51">
        <v>44946</v>
      </c>
      <c r="B4640" s="52">
        <v>686</v>
      </c>
      <c r="C4640" s="8" t="s">
        <v>1628</v>
      </c>
      <c r="D4640" s="8" t="s">
        <v>294</v>
      </c>
      <c r="E4640" s="52">
        <v>8</v>
      </c>
      <c r="F4640" s="13">
        <v>1691.3</v>
      </c>
      <c r="G4640" s="13"/>
    </row>
    <row r="4641" spans="1:7" hidden="1" x14ac:dyDescent="0.75">
      <c r="A4641" s="51">
        <v>44947</v>
      </c>
      <c r="B4641" s="52">
        <v>686</v>
      </c>
      <c r="C4641" s="8" t="s">
        <v>4254</v>
      </c>
      <c r="D4641" s="8" t="s">
        <v>294</v>
      </c>
      <c r="E4641" s="52">
        <v>55</v>
      </c>
      <c r="F4641" s="13"/>
      <c r="G4641" s="13">
        <v>523.5</v>
      </c>
    </row>
    <row r="4642" spans="1:7" hidden="1" x14ac:dyDescent="0.75">
      <c r="A4642" s="51">
        <v>44947</v>
      </c>
      <c r="B4642" s="52">
        <v>686</v>
      </c>
      <c r="C4642" s="8" t="s">
        <v>4270</v>
      </c>
      <c r="D4642" s="8" t="s">
        <v>294</v>
      </c>
      <c r="E4642" s="52">
        <v>55</v>
      </c>
      <c r="F4642" s="13"/>
      <c r="G4642" s="13">
        <v>84</v>
      </c>
    </row>
    <row r="4643" spans="1:7" hidden="1" x14ac:dyDescent="0.75">
      <c r="A4643" s="51">
        <v>44950</v>
      </c>
      <c r="B4643" s="52">
        <v>686</v>
      </c>
      <c r="C4643" s="8" t="s">
        <v>4319</v>
      </c>
      <c r="D4643" s="8" t="s">
        <v>294</v>
      </c>
      <c r="E4643" s="52">
        <v>55</v>
      </c>
      <c r="F4643" s="13"/>
      <c r="G4643" s="13">
        <v>1100.0999999999999</v>
      </c>
    </row>
    <row r="4644" spans="1:7" hidden="1" x14ac:dyDescent="0.75">
      <c r="A4644" s="51">
        <v>44951</v>
      </c>
      <c r="B4644" s="52">
        <v>686</v>
      </c>
      <c r="C4644" s="8" t="s">
        <v>4352</v>
      </c>
      <c r="D4644" s="8" t="s">
        <v>294</v>
      </c>
      <c r="E4644" s="52">
        <v>55</v>
      </c>
      <c r="F4644" s="13"/>
      <c r="G4644" s="13">
        <v>86.5</v>
      </c>
    </row>
    <row r="4645" spans="1:7" hidden="1" x14ac:dyDescent="0.75">
      <c r="A4645" s="51">
        <v>44952</v>
      </c>
      <c r="B4645" s="52">
        <v>686</v>
      </c>
      <c r="C4645" s="8" t="s">
        <v>4383</v>
      </c>
      <c r="D4645" s="8" t="s">
        <v>294</v>
      </c>
      <c r="E4645" s="52">
        <v>55</v>
      </c>
      <c r="F4645" s="13"/>
      <c r="G4645" s="13">
        <v>774.6</v>
      </c>
    </row>
    <row r="4646" spans="1:7" hidden="1" x14ac:dyDescent="0.75">
      <c r="A4646" s="51">
        <v>44953</v>
      </c>
      <c r="B4646" s="52">
        <v>686</v>
      </c>
      <c r="C4646" s="8" t="s">
        <v>4414</v>
      </c>
      <c r="D4646" s="8" t="s">
        <v>294</v>
      </c>
      <c r="E4646" s="52">
        <v>55</v>
      </c>
      <c r="F4646" s="13"/>
      <c r="G4646" s="13">
        <v>81</v>
      </c>
    </row>
    <row r="4647" spans="1:7" hidden="1" x14ac:dyDescent="0.75">
      <c r="A4647" s="51">
        <v>44954</v>
      </c>
      <c r="B4647" s="52">
        <v>686</v>
      </c>
      <c r="C4647" s="8" t="s">
        <v>4450</v>
      </c>
      <c r="D4647" s="8" t="s">
        <v>294</v>
      </c>
      <c r="E4647" s="52">
        <v>55</v>
      </c>
      <c r="F4647" s="13"/>
      <c r="G4647" s="13">
        <v>425.5</v>
      </c>
    </row>
    <row r="4648" spans="1:7" hidden="1" x14ac:dyDescent="0.75">
      <c r="A4648" s="51">
        <v>44954</v>
      </c>
      <c r="B4648" s="52">
        <v>686</v>
      </c>
      <c r="C4648" s="8" t="s">
        <v>4461</v>
      </c>
      <c r="D4648" s="8" t="s">
        <v>294</v>
      </c>
      <c r="E4648" s="52">
        <v>55</v>
      </c>
      <c r="F4648" s="13"/>
      <c r="G4648" s="13">
        <v>30</v>
      </c>
    </row>
    <row r="4649" spans="1:7" hidden="1" x14ac:dyDescent="0.75">
      <c r="A4649" s="51">
        <v>44956</v>
      </c>
      <c r="B4649" s="52">
        <v>686</v>
      </c>
      <c r="C4649" s="8" t="s">
        <v>1628</v>
      </c>
      <c r="D4649" s="8" t="s">
        <v>294</v>
      </c>
      <c r="E4649" s="52">
        <v>8</v>
      </c>
      <c r="F4649" s="13">
        <v>3020.3</v>
      </c>
      <c r="G4649" s="13"/>
    </row>
    <row r="4650" spans="1:7" hidden="1" x14ac:dyDescent="0.75">
      <c r="A4650" s="51">
        <v>44956</v>
      </c>
      <c r="B4650" s="52">
        <v>686</v>
      </c>
      <c r="C4650" s="8" t="s">
        <v>1628</v>
      </c>
      <c r="D4650" s="8" t="s">
        <v>294</v>
      </c>
      <c r="E4650" s="52">
        <v>8</v>
      </c>
      <c r="F4650" s="13">
        <v>2614.8000000000002</v>
      </c>
      <c r="G4650" s="13"/>
    </row>
    <row r="4651" spans="1:7" hidden="1" x14ac:dyDescent="0.75">
      <c r="A4651" s="51">
        <v>44957</v>
      </c>
      <c r="B4651" s="52">
        <v>686</v>
      </c>
      <c r="C4651" s="8" t="s">
        <v>4507</v>
      </c>
      <c r="D4651" s="8" t="s">
        <v>294</v>
      </c>
      <c r="E4651" s="52">
        <v>55</v>
      </c>
      <c r="F4651" s="13"/>
      <c r="G4651" s="13">
        <v>787.8</v>
      </c>
    </row>
    <row r="4652" spans="1:7" hidden="1" x14ac:dyDescent="0.75">
      <c r="A4652" s="51">
        <v>44957</v>
      </c>
      <c r="B4652" s="52">
        <v>686</v>
      </c>
      <c r="C4652" s="8" t="s">
        <v>4521</v>
      </c>
      <c r="D4652" s="8" t="s">
        <v>294</v>
      </c>
      <c r="E4652" s="52">
        <v>55</v>
      </c>
      <c r="F4652" s="13"/>
      <c r="G4652" s="13">
        <v>42</v>
      </c>
    </row>
    <row r="4653" spans="1:7" hidden="1" x14ac:dyDescent="0.75">
      <c r="A4653" s="51">
        <v>44928</v>
      </c>
      <c r="B4653" s="52">
        <v>1348</v>
      </c>
      <c r="C4653" s="8" t="s">
        <v>1498</v>
      </c>
      <c r="D4653" s="8" t="s">
        <v>300</v>
      </c>
      <c r="E4653" s="52">
        <v>8</v>
      </c>
      <c r="F4653" s="13">
        <v>330</v>
      </c>
      <c r="G4653" s="13"/>
    </row>
    <row r="4654" spans="1:7" hidden="1" x14ac:dyDescent="0.75">
      <c r="A4654" s="51">
        <v>44929</v>
      </c>
      <c r="B4654" s="52">
        <v>1348</v>
      </c>
      <c r="C4654" s="8" t="s">
        <v>3771</v>
      </c>
      <c r="D4654" s="8" t="s">
        <v>300</v>
      </c>
      <c r="E4654" s="52">
        <v>55</v>
      </c>
      <c r="F4654" s="13"/>
      <c r="G4654" s="13">
        <v>165</v>
      </c>
    </row>
    <row r="4655" spans="1:7" hidden="1" x14ac:dyDescent="0.75">
      <c r="A4655" s="51">
        <v>44935</v>
      </c>
      <c r="B4655" s="52">
        <v>1348</v>
      </c>
      <c r="C4655" s="8" t="s">
        <v>1583</v>
      </c>
      <c r="D4655" s="8" t="s">
        <v>300</v>
      </c>
      <c r="E4655" s="52">
        <v>8</v>
      </c>
      <c r="F4655" s="13">
        <v>330</v>
      </c>
      <c r="G4655" s="13"/>
    </row>
    <row r="4656" spans="1:7" hidden="1" x14ac:dyDescent="0.75">
      <c r="A4656" s="51">
        <v>44936</v>
      </c>
      <c r="B4656" s="52">
        <v>1348</v>
      </c>
      <c r="C4656" s="8" t="s">
        <v>3970</v>
      </c>
      <c r="D4656" s="8" t="s">
        <v>300</v>
      </c>
      <c r="E4656" s="52">
        <v>55</v>
      </c>
      <c r="F4656" s="13"/>
      <c r="G4656" s="13">
        <v>330</v>
      </c>
    </row>
    <row r="4657" spans="1:7" hidden="1" x14ac:dyDescent="0.75">
      <c r="A4657" s="51">
        <v>44937</v>
      </c>
      <c r="B4657" s="52">
        <v>1348</v>
      </c>
      <c r="C4657" s="8" t="s">
        <v>1642</v>
      </c>
      <c r="D4657" s="8" t="s">
        <v>300</v>
      </c>
      <c r="E4657" s="52">
        <v>8</v>
      </c>
      <c r="F4657" s="13">
        <v>660</v>
      </c>
      <c r="G4657" s="13"/>
    </row>
    <row r="4658" spans="1:7" hidden="1" x14ac:dyDescent="0.75">
      <c r="A4658" s="51">
        <v>44939</v>
      </c>
      <c r="B4658" s="52">
        <v>1348</v>
      </c>
      <c r="C4658" s="8" t="s">
        <v>4058</v>
      </c>
      <c r="D4658" s="8" t="s">
        <v>300</v>
      </c>
      <c r="E4658" s="52">
        <v>55</v>
      </c>
      <c r="F4658" s="13"/>
      <c r="G4658" s="13">
        <v>330</v>
      </c>
    </row>
    <row r="4659" spans="1:7" hidden="1" x14ac:dyDescent="0.75">
      <c r="A4659" s="51">
        <v>44939</v>
      </c>
      <c r="B4659" s="52">
        <v>1348</v>
      </c>
      <c r="C4659" s="8" t="s">
        <v>1667</v>
      </c>
      <c r="D4659" s="8" t="s">
        <v>300</v>
      </c>
      <c r="E4659" s="52">
        <v>8</v>
      </c>
      <c r="F4659" s="13">
        <v>495</v>
      </c>
      <c r="G4659" s="13"/>
    </row>
    <row r="4660" spans="1:7" hidden="1" x14ac:dyDescent="0.75">
      <c r="A4660" s="51">
        <v>44942</v>
      </c>
      <c r="B4660" s="52">
        <v>1348</v>
      </c>
      <c r="C4660" s="8" t="s">
        <v>4124</v>
      </c>
      <c r="D4660" s="8" t="s">
        <v>300</v>
      </c>
      <c r="E4660" s="52">
        <v>55</v>
      </c>
      <c r="F4660" s="13"/>
      <c r="G4660" s="13">
        <v>495</v>
      </c>
    </row>
    <row r="4661" spans="1:7" hidden="1" x14ac:dyDescent="0.75">
      <c r="A4661" s="51">
        <v>44942</v>
      </c>
      <c r="B4661" s="52">
        <v>1348</v>
      </c>
      <c r="C4661" s="8" t="s">
        <v>1695</v>
      </c>
      <c r="D4661" s="8" t="s">
        <v>300</v>
      </c>
      <c r="E4661" s="52">
        <v>8</v>
      </c>
      <c r="F4661" s="13">
        <v>330</v>
      </c>
      <c r="G4661" s="13"/>
    </row>
    <row r="4662" spans="1:7" hidden="1" x14ac:dyDescent="0.75">
      <c r="A4662" s="51">
        <v>44944</v>
      </c>
      <c r="B4662" s="52">
        <v>1348</v>
      </c>
      <c r="C4662" s="8" t="s">
        <v>4180</v>
      </c>
      <c r="D4662" s="8" t="s">
        <v>300</v>
      </c>
      <c r="E4662" s="52">
        <v>55</v>
      </c>
      <c r="F4662" s="13"/>
      <c r="G4662" s="13">
        <v>495</v>
      </c>
    </row>
    <row r="4663" spans="1:7" hidden="1" x14ac:dyDescent="0.75">
      <c r="A4663" s="51">
        <v>44945</v>
      </c>
      <c r="B4663" s="52">
        <v>1348</v>
      </c>
      <c r="C4663" s="8" t="s">
        <v>1722</v>
      </c>
      <c r="D4663" s="8" t="s">
        <v>300</v>
      </c>
      <c r="E4663" s="52">
        <v>8</v>
      </c>
      <c r="F4663" s="13">
        <v>340</v>
      </c>
      <c r="G4663" s="13"/>
    </row>
    <row r="4664" spans="1:7" hidden="1" x14ac:dyDescent="0.75">
      <c r="A4664" s="51">
        <v>44946</v>
      </c>
      <c r="B4664" s="52">
        <v>1348</v>
      </c>
      <c r="C4664" s="8" t="s">
        <v>4239</v>
      </c>
      <c r="D4664" s="8" t="s">
        <v>300</v>
      </c>
      <c r="E4664" s="52">
        <v>55</v>
      </c>
      <c r="F4664" s="13"/>
      <c r="G4664" s="13">
        <v>165</v>
      </c>
    </row>
    <row r="4665" spans="1:7" hidden="1" x14ac:dyDescent="0.75">
      <c r="A4665" s="51">
        <v>44949</v>
      </c>
      <c r="B4665" s="52">
        <v>1348</v>
      </c>
      <c r="C4665" s="8" t="s">
        <v>1772</v>
      </c>
      <c r="D4665" s="8" t="s">
        <v>300</v>
      </c>
      <c r="E4665" s="52">
        <v>8</v>
      </c>
      <c r="F4665" s="13">
        <v>330</v>
      </c>
      <c r="G4665" s="13"/>
    </row>
    <row r="4666" spans="1:7" hidden="1" x14ac:dyDescent="0.75">
      <c r="A4666" s="51">
        <v>44954</v>
      </c>
      <c r="B4666" s="52">
        <v>1348</v>
      </c>
      <c r="C4666" s="8" t="s">
        <v>4469</v>
      </c>
      <c r="D4666" s="8" t="s">
        <v>300</v>
      </c>
      <c r="E4666" s="52">
        <v>55</v>
      </c>
      <c r="F4666" s="13"/>
      <c r="G4666" s="13">
        <v>330</v>
      </c>
    </row>
    <row r="4667" spans="1:7" hidden="1" x14ac:dyDescent="0.75">
      <c r="A4667" s="51">
        <v>44928</v>
      </c>
      <c r="B4667" s="52">
        <v>1350</v>
      </c>
      <c r="C4667" s="8" t="s">
        <v>1492</v>
      </c>
      <c r="D4667" s="8" t="s">
        <v>302</v>
      </c>
      <c r="E4667" s="52">
        <v>8</v>
      </c>
      <c r="F4667" s="13">
        <v>235</v>
      </c>
      <c r="G4667" s="13"/>
    </row>
    <row r="4668" spans="1:7" hidden="1" x14ac:dyDescent="0.75">
      <c r="A4668" s="51">
        <v>44929</v>
      </c>
      <c r="B4668" s="52">
        <v>1350</v>
      </c>
      <c r="C4668" s="8" t="s">
        <v>3767</v>
      </c>
      <c r="D4668" s="8" t="s">
        <v>302</v>
      </c>
      <c r="E4668" s="52">
        <v>55</v>
      </c>
      <c r="F4668" s="13"/>
      <c r="G4668" s="13">
        <v>290</v>
      </c>
    </row>
    <row r="4669" spans="1:7" hidden="1" x14ac:dyDescent="0.75">
      <c r="A4669" s="51">
        <v>44929</v>
      </c>
      <c r="B4669" s="52">
        <v>1350</v>
      </c>
      <c r="C4669" s="8" t="s">
        <v>3768</v>
      </c>
      <c r="D4669" s="8" t="s">
        <v>302</v>
      </c>
      <c r="E4669" s="52">
        <v>55</v>
      </c>
      <c r="F4669" s="13"/>
      <c r="G4669" s="13">
        <v>165</v>
      </c>
    </row>
    <row r="4670" spans="1:7" hidden="1" x14ac:dyDescent="0.75">
      <c r="A4670" s="51">
        <v>44930</v>
      </c>
      <c r="B4670" s="52">
        <v>1350</v>
      </c>
      <c r="C4670" s="8" t="s">
        <v>1543</v>
      </c>
      <c r="D4670" s="8" t="s">
        <v>302</v>
      </c>
      <c r="E4670" s="52">
        <v>8</v>
      </c>
      <c r="F4670" s="13">
        <v>590</v>
      </c>
      <c r="G4670" s="13"/>
    </row>
    <row r="4671" spans="1:7" hidden="1" x14ac:dyDescent="0.75">
      <c r="A4671" s="51">
        <v>44931</v>
      </c>
      <c r="B4671" s="52">
        <v>1350</v>
      </c>
      <c r="C4671" s="8" t="s">
        <v>3828</v>
      </c>
      <c r="D4671" s="8" t="s">
        <v>302</v>
      </c>
      <c r="E4671" s="52">
        <v>55</v>
      </c>
      <c r="F4671" s="13"/>
      <c r="G4671" s="13">
        <v>220</v>
      </c>
    </row>
    <row r="4672" spans="1:7" hidden="1" x14ac:dyDescent="0.75">
      <c r="A4672" s="51">
        <v>44931</v>
      </c>
      <c r="B4672" s="52">
        <v>1350</v>
      </c>
      <c r="C4672" s="8" t="s">
        <v>3829</v>
      </c>
      <c r="D4672" s="8" t="s">
        <v>302</v>
      </c>
      <c r="E4672" s="52">
        <v>55</v>
      </c>
      <c r="F4672" s="13"/>
      <c r="G4672" s="13">
        <v>110</v>
      </c>
    </row>
    <row r="4673" spans="1:7" hidden="1" x14ac:dyDescent="0.75">
      <c r="A4673" s="51">
        <v>44932</v>
      </c>
      <c r="B4673" s="52">
        <v>1350</v>
      </c>
      <c r="C4673" s="8" t="s">
        <v>3854</v>
      </c>
      <c r="D4673" s="8" t="s">
        <v>302</v>
      </c>
      <c r="E4673" s="52">
        <v>55</v>
      </c>
      <c r="F4673" s="13"/>
      <c r="G4673" s="13">
        <v>110</v>
      </c>
    </row>
    <row r="4674" spans="1:7" hidden="1" x14ac:dyDescent="0.75">
      <c r="A4674" s="51">
        <v>44935</v>
      </c>
      <c r="B4674" s="52">
        <v>1350</v>
      </c>
      <c r="C4674" s="8" t="s">
        <v>3931</v>
      </c>
      <c r="D4674" s="8" t="s">
        <v>302</v>
      </c>
      <c r="E4674" s="52">
        <v>55</v>
      </c>
      <c r="F4674" s="13"/>
      <c r="G4674" s="13">
        <v>310</v>
      </c>
    </row>
    <row r="4675" spans="1:7" hidden="1" x14ac:dyDescent="0.75">
      <c r="A4675" s="51">
        <v>44935</v>
      </c>
      <c r="B4675" s="52">
        <v>1350</v>
      </c>
      <c r="C4675" s="8" t="s">
        <v>3932</v>
      </c>
      <c r="D4675" s="8" t="s">
        <v>302</v>
      </c>
      <c r="E4675" s="52">
        <v>55</v>
      </c>
      <c r="F4675" s="13"/>
      <c r="G4675" s="13">
        <v>365</v>
      </c>
    </row>
    <row r="4676" spans="1:7" hidden="1" x14ac:dyDescent="0.75">
      <c r="A4676" s="51">
        <v>44936</v>
      </c>
      <c r="B4676" s="52">
        <v>1350</v>
      </c>
      <c r="C4676" s="8" t="s">
        <v>3966</v>
      </c>
      <c r="D4676" s="8" t="s">
        <v>302</v>
      </c>
      <c r="E4676" s="52">
        <v>55</v>
      </c>
      <c r="F4676" s="13"/>
      <c r="G4676" s="13">
        <v>365</v>
      </c>
    </row>
    <row r="4677" spans="1:7" hidden="1" x14ac:dyDescent="0.75">
      <c r="A4677" s="51">
        <v>44940</v>
      </c>
      <c r="B4677" s="52">
        <v>1350</v>
      </c>
      <c r="C4677" s="8" t="s">
        <v>4093</v>
      </c>
      <c r="D4677" s="8" t="s">
        <v>302</v>
      </c>
      <c r="E4677" s="52">
        <v>55</v>
      </c>
      <c r="F4677" s="13"/>
      <c r="G4677" s="13">
        <v>360</v>
      </c>
    </row>
    <row r="4678" spans="1:7" hidden="1" x14ac:dyDescent="0.75">
      <c r="A4678" s="51">
        <v>44942</v>
      </c>
      <c r="B4678" s="52">
        <v>1350</v>
      </c>
      <c r="C4678" s="8" t="s">
        <v>4121</v>
      </c>
      <c r="D4678" s="8" t="s">
        <v>302</v>
      </c>
      <c r="E4678" s="52">
        <v>55</v>
      </c>
      <c r="F4678" s="13"/>
      <c r="G4678" s="13">
        <v>220</v>
      </c>
    </row>
    <row r="4679" spans="1:7" hidden="1" x14ac:dyDescent="0.75">
      <c r="A4679" s="51">
        <v>44942</v>
      </c>
      <c r="B4679" s="52">
        <v>1350</v>
      </c>
      <c r="C4679" s="8" t="s">
        <v>1687</v>
      </c>
      <c r="D4679" s="8" t="s">
        <v>302</v>
      </c>
      <c r="E4679" s="52">
        <v>8</v>
      </c>
      <c r="F4679" s="13">
        <v>470</v>
      </c>
      <c r="G4679" s="13"/>
    </row>
    <row r="4680" spans="1:7" hidden="1" x14ac:dyDescent="0.75">
      <c r="A4680" s="51">
        <v>44942</v>
      </c>
      <c r="B4680" s="52">
        <v>1350</v>
      </c>
      <c r="C4680" s="8" t="s">
        <v>1699</v>
      </c>
      <c r="D4680" s="8" t="s">
        <v>302</v>
      </c>
      <c r="E4680" s="52">
        <v>8</v>
      </c>
      <c r="F4680" s="13">
        <v>560</v>
      </c>
      <c r="G4680" s="13"/>
    </row>
    <row r="4681" spans="1:7" hidden="1" x14ac:dyDescent="0.75">
      <c r="A4681" s="51">
        <v>44944</v>
      </c>
      <c r="B4681" s="52">
        <v>1350</v>
      </c>
      <c r="C4681" s="8" t="s">
        <v>1716</v>
      </c>
      <c r="D4681" s="8" t="s">
        <v>302</v>
      </c>
      <c r="E4681" s="52">
        <v>8</v>
      </c>
      <c r="F4681" s="13">
        <v>200</v>
      </c>
      <c r="G4681" s="13"/>
    </row>
    <row r="4682" spans="1:7" hidden="1" x14ac:dyDescent="0.75">
      <c r="A4682" s="51">
        <v>44945</v>
      </c>
      <c r="B4682" s="52">
        <v>1350</v>
      </c>
      <c r="C4682" s="8" t="s">
        <v>4209</v>
      </c>
      <c r="D4682" s="8" t="s">
        <v>302</v>
      </c>
      <c r="E4682" s="52">
        <v>55</v>
      </c>
      <c r="F4682" s="13"/>
      <c r="G4682" s="13">
        <v>765</v>
      </c>
    </row>
    <row r="4683" spans="1:7" hidden="1" x14ac:dyDescent="0.75">
      <c r="A4683" s="51">
        <v>44949</v>
      </c>
      <c r="B4683" s="52">
        <v>1350</v>
      </c>
      <c r="C4683" s="8" t="s">
        <v>4297</v>
      </c>
      <c r="D4683" s="8" t="s">
        <v>302</v>
      </c>
      <c r="E4683" s="52">
        <v>55</v>
      </c>
      <c r="F4683" s="13"/>
      <c r="G4683" s="13">
        <v>365</v>
      </c>
    </row>
    <row r="4684" spans="1:7" hidden="1" x14ac:dyDescent="0.75">
      <c r="A4684" s="51">
        <v>44949</v>
      </c>
      <c r="B4684" s="52">
        <v>1350</v>
      </c>
      <c r="C4684" s="8" t="s">
        <v>4298</v>
      </c>
      <c r="D4684" s="8" t="s">
        <v>302</v>
      </c>
      <c r="E4684" s="52">
        <v>55</v>
      </c>
      <c r="F4684" s="13"/>
      <c r="G4684" s="13">
        <v>510</v>
      </c>
    </row>
    <row r="4685" spans="1:7" hidden="1" x14ac:dyDescent="0.75">
      <c r="A4685" s="51">
        <v>44949</v>
      </c>
      <c r="B4685" s="52">
        <v>1350</v>
      </c>
      <c r="C4685" s="8" t="s">
        <v>1762</v>
      </c>
      <c r="D4685" s="8" t="s">
        <v>302</v>
      </c>
      <c r="E4685" s="52">
        <v>8</v>
      </c>
      <c r="F4685" s="13">
        <v>190</v>
      </c>
      <c r="G4685" s="13"/>
    </row>
    <row r="4686" spans="1:7" hidden="1" x14ac:dyDescent="0.75">
      <c r="A4686" s="51">
        <v>44949</v>
      </c>
      <c r="B4686" s="52">
        <v>1350</v>
      </c>
      <c r="C4686" s="8" t="s">
        <v>1766</v>
      </c>
      <c r="D4686" s="8" t="s">
        <v>302</v>
      </c>
      <c r="E4686" s="52">
        <v>8</v>
      </c>
      <c r="F4686" s="13">
        <v>165</v>
      </c>
      <c r="G4686" s="13"/>
    </row>
    <row r="4687" spans="1:7" hidden="1" x14ac:dyDescent="0.75">
      <c r="A4687" s="51">
        <v>44950</v>
      </c>
      <c r="B4687" s="52">
        <v>1350</v>
      </c>
      <c r="C4687" s="8" t="s">
        <v>4330</v>
      </c>
      <c r="D4687" s="8" t="s">
        <v>302</v>
      </c>
      <c r="E4687" s="52">
        <v>55</v>
      </c>
      <c r="F4687" s="13"/>
      <c r="G4687" s="13">
        <v>220</v>
      </c>
    </row>
    <row r="4688" spans="1:7" hidden="1" x14ac:dyDescent="0.75">
      <c r="A4688" s="51">
        <v>44951</v>
      </c>
      <c r="B4688" s="52">
        <v>1350</v>
      </c>
      <c r="C4688" s="8" t="s">
        <v>1795</v>
      </c>
      <c r="D4688" s="8" t="s">
        <v>302</v>
      </c>
      <c r="E4688" s="52">
        <v>8</v>
      </c>
      <c r="F4688" s="13">
        <v>340</v>
      </c>
      <c r="G4688" s="13"/>
    </row>
    <row r="4689" spans="1:7" hidden="1" x14ac:dyDescent="0.75">
      <c r="A4689" s="51">
        <v>44952</v>
      </c>
      <c r="B4689" s="52">
        <v>1350</v>
      </c>
      <c r="C4689" s="8" t="s">
        <v>4398</v>
      </c>
      <c r="D4689" s="8" t="s">
        <v>302</v>
      </c>
      <c r="E4689" s="52">
        <v>55</v>
      </c>
      <c r="F4689" s="13"/>
      <c r="G4689" s="13">
        <v>420</v>
      </c>
    </row>
    <row r="4690" spans="1:7" hidden="1" x14ac:dyDescent="0.75">
      <c r="A4690" s="51">
        <v>44952</v>
      </c>
      <c r="B4690" s="52">
        <v>1350</v>
      </c>
      <c r="C4690" s="8" t="s">
        <v>1801</v>
      </c>
      <c r="D4690" s="8" t="s">
        <v>302</v>
      </c>
      <c r="E4690" s="52">
        <v>8</v>
      </c>
      <c r="F4690" s="13">
        <v>245</v>
      </c>
      <c r="G4690" s="13"/>
    </row>
    <row r="4691" spans="1:7" hidden="1" x14ac:dyDescent="0.75">
      <c r="A4691" s="51">
        <v>44956</v>
      </c>
      <c r="B4691" s="52">
        <v>1350</v>
      </c>
      <c r="C4691" s="8" t="s">
        <v>1835</v>
      </c>
      <c r="D4691" s="8" t="s">
        <v>302</v>
      </c>
      <c r="E4691" s="52">
        <v>8</v>
      </c>
      <c r="F4691" s="13">
        <v>470</v>
      </c>
      <c r="G4691" s="13"/>
    </row>
    <row r="4692" spans="1:7" hidden="1" x14ac:dyDescent="0.75">
      <c r="A4692" s="51">
        <v>44957</v>
      </c>
      <c r="B4692" s="52">
        <v>1350</v>
      </c>
      <c r="C4692" s="8" t="s">
        <v>4526</v>
      </c>
      <c r="D4692" s="8" t="s">
        <v>302</v>
      </c>
      <c r="E4692" s="52">
        <v>55</v>
      </c>
      <c r="F4692" s="13"/>
      <c r="G4692" s="13">
        <v>110</v>
      </c>
    </row>
    <row r="4693" spans="1:7" hidden="1" x14ac:dyDescent="0.75">
      <c r="A4693" s="51">
        <v>44957</v>
      </c>
      <c r="B4693" s="52">
        <v>1350</v>
      </c>
      <c r="C4693" s="8" t="s">
        <v>4527</v>
      </c>
      <c r="D4693" s="8" t="s">
        <v>302</v>
      </c>
      <c r="E4693" s="52">
        <v>55</v>
      </c>
      <c r="F4693" s="13"/>
      <c r="G4693" s="13">
        <v>370</v>
      </c>
    </row>
    <row r="4694" spans="1:7" hidden="1" x14ac:dyDescent="0.75">
      <c r="A4694" s="51">
        <v>44929</v>
      </c>
      <c r="B4694" s="52">
        <v>692</v>
      </c>
      <c r="C4694" s="8" t="s">
        <v>3752</v>
      </c>
      <c r="D4694" s="8" t="s">
        <v>295</v>
      </c>
      <c r="E4694" s="52">
        <v>55</v>
      </c>
      <c r="F4694" s="13"/>
      <c r="G4694" s="13">
        <v>480</v>
      </c>
    </row>
    <row r="4695" spans="1:7" hidden="1" x14ac:dyDescent="0.75">
      <c r="A4695" s="51">
        <v>44929</v>
      </c>
      <c r="B4695" s="52">
        <v>692</v>
      </c>
      <c r="C4695" s="8" t="s">
        <v>1538</v>
      </c>
      <c r="D4695" s="8" t="s">
        <v>295</v>
      </c>
      <c r="E4695" s="52">
        <v>8</v>
      </c>
      <c r="F4695" s="13">
        <v>1200</v>
      </c>
      <c r="G4695" s="13"/>
    </row>
    <row r="4696" spans="1:7" hidden="1" x14ac:dyDescent="0.75">
      <c r="A4696" s="51">
        <v>44930</v>
      </c>
      <c r="B4696" s="52">
        <v>692</v>
      </c>
      <c r="C4696" s="8" t="s">
        <v>3795</v>
      </c>
      <c r="D4696" s="8" t="s">
        <v>295</v>
      </c>
      <c r="E4696" s="52">
        <v>55</v>
      </c>
      <c r="F4696" s="13"/>
      <c r="G4696" s="13">
        <v>426</v>
      </c>
    </row>
    <row r="4697" spans="1:7" hidden="1" x14ac:dyDescent="0.75">
      <c r="A4697" s="51">
        <v>44932</v>
      </c>
      <c r="B4697" s="52">
        <v>692</v>
      </c>
      <c r="C4697" s="8" t="s">
        <v>3846</v>
      </c>
      <c r="D4697" s="8" t="s">
        <v>295</v>
      </c>
      <c r="E4697" s="52">
        <v>55</v>
      </c>
      <c r="F4697" s="13"/>
      <c r="G4697" s="13">
        <v>900</v>
      </c>
    </row>
    <row r="4698" spans="1:7" hidden="1" x14ac:dyDescent="0.75">
      <c r="A4698" s="51">
        <v>44933</v>
      </c>
      <c r="B4698" s="52">
        <v>692</v>
      </c>
      <c r="C4698" s="8" t="s">
        <v>3887</v>
      </c>
      <c r="D4698" s="8" t="s">
        <v>295</v>
      </c>
      <c r="E4698" s="52">
        <v>55</v>
      </c>
      <c r="F4698" s="13"/>
      <c r="G4698" s="13">
        <v>120</v>
      </c>
    </row>
    <row r="4699" spans="1:7" hidden="1" x14ac:dyDescent="0.75">
      <c r="A4699" s="51">
        <v>44936</v>
      </c>
      <c r="B4699" s="52">
        <v>692</v>
      </c>
      <c r="C4699" s="8" t="s">
        <v>3954</v>
      </c>
      <c r="D4699" s="8" t="s">
        <v>295</v>
      </c>
      <c r="E4699" s="52">
        <v>55</v>
      </c>
      <c r="F4699" s="13"/>
      <c r="G4699" s="13">
        <v>500</v>
      </c>
    </row>
    <row r="4700" spans="1:7" hidden="1" x14ac:dyDescent="0.75">
      <c r="A4700" s="51">
        <v>44936</v>
      </c>
      <c r="B4700" s="52">
        <v>692</v>
      </c>
      <c r="C4700" s="8" t="s">
        <v>1538</v>
      </c>
      <c r="D4700" s="8" t="s">
        <v>295</v>
      </c>
      <c r="E4700" s="52">
        <v>8</v>
      </c>
      <c r="F4700" s="13">
        <v>1360</v>
      </c>
      <c r="G4700" s="13"/>
    </row>
    <row r="4701" spans="1:7" hidden="1" x14ac:dyDescent="0.75">
      <c r="A4701" s="51">
        <v>44937</v>
      </c>
      <c r="B4701" s="52">
        <v>692</v>
      </c>
      <c r="C4701" s="8" t="s">
        <v>3998</v>
      </c>
      <c r="D4701" s="8" t="s">
        <v>295</v>
      </c>
      <c r="E4701" s="52">
        <v>55</v>
      </c>
      <c r="F4701" s="13"/>
      <c r="G4701" s="13">
        <v>580</v>
      </c>
    </row>
    <row r="4702" spans="1:7" hidden="1" x14ac:dyDescent="0.75">
      <c r="A4702" s="51">
        <v>44938</v>
      </c>
      <c r="B4702" s="52">
        <v>692</v>
      </c>
      <c r="C4702" s="8" t="s">
        <v>1538</v>
      </c>
      <c r="D4702" s="8" t="s">
        <v>295</v>
      </c>
      <c r="E4702" s="52">
        <v>8</v>
      </c>
      <c r="F4702" s="13">
        <v>1529.6</v>
      </c>
      <c r="G4702" s="13"/>
    </row>
    <row r="4703" spans="1:7" hidden="1" x14ac:dyDescent="0.75">
      <c r="A4703" s="51">
        <v>44939</v>
      </c>
      <c r="B4703" s="52">
        <v>692</v>
      </c>
      <c r="C4703" s="8" t="s">
        <v>4048</v>
      </c>
      <c r="D4703" s="8" t="s">
        <v>295</v>
      </c>
      <c r="E4703" s="52">
        <v>55</v>
      </c>
      <c r="F4703" s="13"/>
      <c r="G4703" s="13">
        <v>690</v>
      </c>
    </row>
    <row r="4704" spans="1:7" hidden="1" x14ac:dyDescent="0.75">
      <c r="A4704" s="51">
        <v>44943</v>
      </c>
      <c r="B4704" s="52">
        <v>692</v>
      </c>
      <c r="C4704" s="8" t="s">
        <v>4142</v>
      </c>
      <c r="D4704" s="8" t="s">
        <v>295</v>
      </c>
      <c r="E4704" s="52">
        <v>55</v>
      </c>
      <c r="F4704" s="13"/>
      <c r="G4704" s="13">
        <v>1180</v>
      </c>
    </row>
    <row r="4705" spans="1:7" hidden="1" x14ac:dyDescent="0.75">
      <c r="A4705" s="51">
        <v>44944</v>
      </c>
      <c r="B4705" s="52">
        <v>692</v>
      </c>
      <c r="C4705" s="8" t="s">
        <v>4177</v>
      </c>
      <c r="D4705" s="8" t="s">
        <v>295</v>
      </c>
      <c r="E4705" s="52">
        <v>55</v>
      </c>
      <c r="F4705" s="13"/>
      <c r="G4705" s="13">
        <v>1000</v>
      </c>
    </row>
    <row r="4706" spans="1:7" hidden="1" x14ac:dyDescent="0.75">
      <c r="A4706" s="51">
        <v>44946</v>
      </c>
      <c r="B4706" s="52">
        <v>692</v>
      </c>
      <c r="C4706" s="8" t="s">
        <v>1538</v>
      </c>
      <c r="D4706" s="8" t="s">
        <v>295</v>
      </c>
      <c r="E4706" s="52">
        <v>8</v>
      </c>
      <c r="F4706" s="13">
        <v>2036</v>
      </c>
      <c r="G4706" s="13"/>
    </row>
    <row r="4707" spans="1:7" hidden="1" x14ac:dyDescent="0.75">
      <c r="A4707" s="51">
        <v>44947</v>
      </c>
      <c r="B4707" s="52">
        <v>692</v>
      </c>
      <c r="C4707" s="8" t="s">
        <v>4253</v>
      </c>
      <c r="D4707" s="8" t="s">
        <v>295</v>
      </c>
      <c r="E4707" s="52">
        <v>55</v>
      </c>
      <c r="F4707" s="13"/>
      <c r="G4707" s="13">
        <v>2350</v>
      </c>
    </row>
    <row r="4708" spans="1:7" hidden="1" x14ac:dyDescent="0.75">
      <c r="A4708" s="51">
        <v>44950</v>
      </c>
      <c r="B4708" s="52">
        <v>692</v>
      </c>
      <c r="C4708" s="8" t="s">
        <v>4313</v>
      </c>
      <c r="D4708" s="8" t="s">
        <v>295</v>
      </c>
      <c r="E4708" s="52">
        <v>55</v>
      </c>
      <c r="F4708" s="13"/>
      <c r="G4708" s="13">
        <v>780</v>
      </c>
    </row>
    <row r="4709" spans="1:7" hidden="1" x14ac:dyDescent="0.75">
      <c r="A4709" s="51">
        <v>44951</v>
      </c>
      <c r="B4709" s="52">
        <v>692</v>
      </c>
      <c r="C4709" s="8" t="s">
        <v>4365</v>
      </c>
      <c r="D4709" s="8" t="s">
        <v>295</v>
      </c>
      <c r="E4709" s="52">
        <v>55</v>
      </c>
      <c r="F4709" s="13"/>
      <c r="G4709" s="13">
        <v>864</v>
      </c>
    </row>
    <row r="4710" spans="1:7" hidden="1" x14ac:dyDescent="0.75">
      <c r="A4710" s="51">
        <v>44953</v>
      </c>
      <c r="B4710" s="52">
        <v>692</v>
      </c>
      <c r="C4710" s="8" t="s">
        <v>4426</v>
      </c>
      <c r="D4710" s="8" t="s">
        <v>295</v>
      </c>
      <c r="E4710" s="52">
        <v>55</v>
      </c>
      <c r="F4710" s="13"/>
      <c r="G4710" s="13">
        <v>1615</v>
      </c>
    </row>
    <row r="4711" spans="1:7" hidden="1" x14ac:dyDescent="0.75">
      <c r="A4711" s="51">
        <v>44956</v>
      </c>
      <c r="B4711" s="52">
        <v>692</v>
      </c>
      <c r="C4711" s="8" t="s">
        <v>1538</v>
      </c>
      <c r="D4711" s="8" t="s">
        <v>295</v>
      </c>
      <c r="E4711" s="52">
        <v>8</v>
      </c>
      <c r="F4711" s="13">
        <v>2990</v>
      </c>
      <c r="G4711" s="13"/>
    </row>
    <row r="4712" spans="1:7" hidden="1" x14ac:dyDescent="0.75">
      <c r="A4712" s="51">
        <v>44956</v>
      </c>
      <c r="B4712" s="52">
        <v>692</v>
      </c>
      <c r="C4712" s="8" t="s">
        <v>1538</v>
      </c>
      <c r="D4712" s="8" t="s">
        <v>295</v>
      </c>
      <c r="E4712" s="52">
        <v>8</v>
      </c>
      <c r="F4712" s="13">
        <v>3790</v>
      </c>
      <c r="G4712" s="13"/>
    </row>
    <row r="4713" spans="1:7" hidden="1" x14ac:dyDescent="0.75">
      <c r="A4713" s="51">
        <v>44957</v>
      </c>
      <c r="B4713" s="52">
        <v>692</v>
      </c>
      <c r="C4713" s="8" t="s">
        <v>4512</v>
      </c>
      <c r="D4713" s="8" t="s">
        <v>295</v>
      </c>
      <c r="E4713" s="52">
        <v>55</v>
      </c>
      <c r="F4713" s="13"/>
      <c r="G4713" s="13">
        <v>695</v>
      </c>
    </row>
    <row r="4714" spans="1:7" hidden="1" x14ac:dyDescent="0.75">
      <c r="A4714" s="51">
        <v>44927</v>
      </c>
      <c r="B4714" s="52">
        <v>754</v>
      </c>
      <c r="C4714" s="8" t="s">
        <v>3717</v>
      </c>
      <c r="D4714" s="8" t="s">
        <v>304</v>
      </c>
      <c r="E4714" s="52">
        <v>560</v>
      </c>
      <c r="F4714" s="13"/>
      <c r="G4714" s="13">
        <v>1564</v>
      </c>
    </row>
    <row r="4715" spans="1:7" hidden="1" x14ac:dyDescent="0.75">
      <c r="A4715" s="51">
        <v>44927</v>
      </c>
      <c r="B4715" s="52">
        <v>754</v>
      </c>
      <c r="C4715" s="8" t="s">
        <v>3718</v>
      </c>
      <c r="D4715" s="8" t="s">
        <v>304</v>
      </c>
      <c r="E4715" s="52">
        <v>560</v>
      </c>
      <c r="F4715" s="13"/>
      <c r="G4715" s="13">
        <v>608</v>
      </c>
    </row>
    <row r="4716" spans="1:7" hidden="1" x14ac:dyDescent="0.75">
      <c r="A4716" s="51">
        <v>44928</v>
      </c>
      <c r="B4716" s="52">
        <v>754</v>
      </c>
      <c r="C4716" s="8" t="s">
        <v>3735</v>
      </c>
      <c r="D4716" s="8" t="s">
        <v>304</v>
      </c>
      <c r="E4716" s="52">
        <v>55</v>
      </c>
      <c r="F4716" s="13"/>
      <c r="G4716" s="13">
        <v>213</v>
      </c>
    </row>
    <row r="4717" spans="1:7" hidden="1" x14ac:dyDescent="0.75">
      <c r="A4717" s="51">
        <v>44928</v>
      </c>
      <c r="B4717" s="52">
        <v>754</v>
      </c>
      <c r="C4717" s="8" t="s">
        <v>1507</v>
      </c>
      <c r="D4717" s="8" t="s">
        <v>304</v>
      </c>
      <c r="E4717" s="52">
        <v>8</v>
      </c>
      <c r="F4717" s="13">
        <v>519.65</v>
      </c>
      <c r="G4717" s="13"/>
    </row>
    <row r="4718" spans="1:7" hidden="1" x14ac:dyDescent="0.75">
      <c r="A4718" s="51">
        <v>44928</v>
      </c>
      <c r="B4718" s="52">
        <v>754</v>
      </c>
      <c r="C4718" s="8" t="s">
        <v>1508</v>
      </c>
      <c r="D4718" s="8" t="s">
        <v>304</v>
      </c>
      <c r="E4718" s="52">
        <v>8</v>
      </c>
      <c r="F4718" s="13">
        <v>279</v>
      </c>
      <c r="G4718" s="13"/>
    </row>
    <row r="4719" spans="1:7" hidden="1" x14ac:dyDescent="0.75">
      <c r="A4719" s="51">
        <v>44928</v>
      </c>
      <c r="B4719" s="52">
        <v>754</v>
      </c>
      <c r="C4719" s="8" t="s">
        <v>1510</v>
      </c>
      <c r="D4719" s="8" t="s">
        <v>304</v>
      </c>
      <c r="E4719" s="52">
        <v>8</v>
      </c>
      <c r="F4719" s="13">
        <v>662</v>
      </c>
      <c r="G4719" s="13"/>
    </row>
    <row r="4720" spans="1:7" hidden="1" x14ac:dyDescent="0.75">
      <c r="A4720" s="51">
        <v>44929</v>
      </c>
      <c r="B4720" s="52">
        <v>754</v>
      </c>
      <c r="C4720" s="8" t="s">
        <v>3769</v>
      </c>
      <c r="D4720" s="8" t="s">
        <v>304</v>
      </c>
      <c r="E4720" s="52">
        <v>55</v>
      </c>
      <c r="F4720" s="13"/>
      <c r="G4720" s="13">
        <v>991</v>
      </c>
    </row>
    <row r="4721" spans="1:7" hidden="1" x14ac:dyDescent="0.75">
      <c r="A4721" s="51">
        <v>44929</v>
      </c>
      <c r="B4721" s="52">
        <v>754</v>
      </c>
      <c r="C4721" s="8" t="s">
        <v>1531</v>
      </c>
      <c r="D4721" s="8" t="s">
        <v>304</v>
      </c>
      <c r="E4721" s="52">
        <v>8</v>
      </c>
      <c r="F4721" s="13">
        <v>350</v>
      </c>
      <c r="G4721" s="13"/>
    </row>
    <row r="4722" spans="1:7" hidden="1" x14ac:dyDescent="0.75">
      <c r="A4722" s="51">
        <v>44931</v>
      </c>
      <c r="B4722" s="52">
        <v>754</v>
      </c>
      <c r="C4722" s="8" t="s">
        <v>3830</v>
      </c>
      <c r="D4722" s="8" t="s">
        <v>304</v>
      </c>
      <c r="E4722" s="52">
        <v>55</v>
      </c>
      <c r="F4722" s="13"/>
      <c r="G4722" s="13">
        <v>644</v>
      </c>
    </row>
    <row r="4723" spans="1:7" hidden="1" x14ac:dyDescent="0.75">
      <c r="A4723" s="51">
        <v>44931</v>
      </c>
      <c r="B4723" s="52">
        <v>754</v>
      </c>
      <c r="C4723" s="8" t="s">
        <v>1551</v>
      </c>
      <c r="D4723" s="8" t="s">
        <v>304</v>
      </c>
      <c r="E4723" s="52">
        <v>8</v>
      </c>
      <c r="F4723" s="13">
        <v>1049.3</v>
      </c>
      <c r="G4723" s="13"/>
    </row>
    <row r="4724" spans="1:7" hidden="1" x14ac:dyDescent="0.75">
      <c r="A4724" s="51">
        <v>44932</v>
      </c>
      <c r="B4724" s="52">
        <v>754</v>
      </c>
      <c r="C4724" s="8" t="s">
        <v>3856</v>
      </c>
      <c r="D4724" s="8" t="s">
        <v>304</v>
      </c>
      <c r="E4724" s="52">
        <v>55</v>
      </c>
      <c r="F4724" s="13"/>
      <c r="G4724" s="13">
        <v>378</v>
      </c>
    </row>
    <row r="4725" spans="1:7" hidden="1" x14ac:dyDescent="0.75">
      <c r="A4725" s="51">
        <v>44932</v>
      </c>
      <c r="B4725" s="52">
        <v>754</v>
      </c>
      <c r="C4725" s="8" t="s">
        <v>1572</v>
      </c>
      <c r="D4725" s="8" t="s">
        <v>304</v>
      </c>
      <c r="E4725" s="52">
        <v>8</v>
      </c>
      <c r="F4725" s="13">
        <v>910.6</v>
      </c>
      <c r="G4725" s="13"/>
    </row>
    <row r="4726" spans="1:7" hidden="1" x14ac:dyDescent="0.75">
      <c r="A4726" s="51">
        <v>44933</v>
      </c>
      <c r="B4726" s="52">
        <v>754</v>
      </c>
      <c r="C4726" s="8" t="s">
        <v>3896</v>
      </c>
      <c r="D4726" s="8" t="s">
        <v>304</v>
      </c>
      <c r="E4726" s="52">
        <v>55</v>
      </c>
      <c r="F4726" s="13"/>
      <c r="G4726" s="13">
        <v>150</v>
      </c>
    </row>
    <row r="4727" spans="1:7" hidden="1" x14ac:dyDescent="0.75">
      <c r="A4727" s="51">
        <v>44935</v>
      </c>
      <c r="B4727" s="52">
        <v>754</v>
      </c>
      <c r="C4727" s="8" t="s">
        <v>1587</v>
      </c>
      <c r="D4727" s="8" t="s">
        <v>304</v>
      </c>
      <c r="E4727" s="52">
        <v>8</v>
      </c>
      <c r="F4727" s="13">
        <v>451</v>
      </c>
      <c r="G4727" s="13"/>
    </row>
    <row r="4728" spans="1:7" hidden="1" x14ac:dyDescent="0.75">
      <c r="A4728" s="51">
        <v>44935</v>
      </c>
      <c r="B4728" s="52">
        <v>754</v>
      </c>
      <c r="C4728" s="8" t="s">
        <v>1588</v>
      </c>
      <c r="D4728" s="8" t="s">
        <v>304</v>
      </c>
      <c r="E4728" s="52">
        <v>8</v>
      </c>
      <c r="F4728" s="13">
        <v>834</v>
      </c>
      <c r="G4728" s="13"/>
    </row>
    <row r="4729" spans="1:7" hidden="1" x14ac:dyDescent="0.75">
      <c r="A4729" s="51">
        <v>44936</v>
      </c>
      <c r="B4729" s="52">
        <v>754</v>
      </c>
      <c r="C4729" s="8" t="s">
        <v>3967</v>
      </c>
      <c r="D4729" s="8" t="s">
        <v>304</v>
      </c>
      <c r="E4729" s="52">
        <v>55</v>
      </c>
      <c r="F4729" s="13"/>
      <c r="G4729" s="13">
        <v>611</v>
      </c>
    </row>
    <row r="4730" spans="1:7" hidden="1" x14ac:dyDescent="0.75">
      <c r="A4730" s="51">
        <v>44936</v>
      </c>
      <c r="B4730" s="52">
        <v>754</v>
      </c>
      <c r="C4730" s="8" t="s">
        <v>3968</v>
      </c>
      <c r="D4730" s="8" t="s">
        <v>304</v>
      </c>
      <c r="E4730" s="52">
        <v>55</v>
      </c>
      <c r="F4730" s="13"/>
      <c r="G4730" s="13">
        <v>130</v>
      </c>
    </row>
    <row r="4731" spans="1:7" hidden="1" x14ac:dyDescent="0.75">
      <c r="A4731" s="51">
        <v>44936</v>
      </c>
      <c r="B4731" s="52">
        <v>754</v>
      </c>
      <c r="C4731" s="8" t="s">
        <v>1617</v>
      </c>
      <c r="D4731" s="8" t="s">
        <v>304</v>
      </c>
      <c r="E4731" s="52">
        <v>8</v>
      </c>
      <c r="F4731" s="13">
        <v>450</v>
      </c>
      <c r="G4731" s="13"/>
    </row>
    <row r="4732" spans="1:7" hidden="1" x14ac:dyDescent="0.75">
      <c r="A4732" s="51">
        <v>44938</v>
      </c>
      <c r="B4732" s="52">
        <v>754</v>
      </c>
      <c r="C4732" s="8" t="s">
        <v>1651</v>
      </c>
      <c r="D4732" s="8" t="s">
        <v>304</v>
      </c>
      <c r="E4732" s="52">
        <v>8</v>
      </c>
      <c r="F4732" s="13">
        <v>488.3</v>
      </c>
      <c r="G4732" s="13"/>
    </row>
    <row r="4733" spans="1:7" hidden="1" x14ac:dyDescent="0.75">
      <c r="A4733" s="51">
        <v>44939</v>
      </c>
      <c r="B4733" s="52">
        <v>754</v>
      </c>
      <c r="C4733" s="8" t="s">
        <v>1671</v>
      </c>
      <c r="D4733" s="8" t="s">
        <v>304</v>
      </c>
      <c r="E4733" s="52">
        <v>8</v>
      </c>
      <c r="F4733" s="13">
        <v>555</v>
      </c>
      <c r="G4733" s="13"/>
    </row>
    <row r="4734" spans="1:7" hidden="1" x14ac:dyDescent="0.75">
      <c r="A4734" s="51">
        <v>44940</v>
      </c>
      <c r="B4734" s="52">
        <v>754</v>
      </c>
      <c r="C4734" s="8" t="s">
        <v>4095</v>
      </c>
      <c r="D4734" s="8" t="s">
        <v>304</v>
      </c>
      <c r="E4734" s="52">
        <v>55</v>
      </c>
      <c r="F4734" s="13"/>
      <c r="G4734" s="13">
        <v>215</v>
      </c>
    </row>
    <row r="4735" spans="1:7" hidden="1" x14ac:dyDescent="0.75">
      <c r="A4735" s="51">
        <v>44942</v>
      </c>
      <c r="B4735" s="52">
        <v>754</v>
      </c>
      <c r="C4735" s="8" t="s">
        <v>4122</v>
      </c>
      <c r="D4735" s="8" t="s">
        <v>304</v>
      </c>
      <c r="E4735" s="52">
        <v>55</v>
      </c>
      <c r="F4735" s="13"/>
      <c r="G4735" s="13">
        <v>245</v>
      </c>
    </row>
    <row r="4736" spans="1:7" hidden="1" x14ac:dyDescent="0.75">
      <c r="A4736" s="51">
        <v>44942</v>
      </c>
      <c r="B4736" s="52">
        <v>754</v>
      </c>
      <c r="C4736" s="8" t="s">
        <v>1697</v>
      </c>
      <c r="D4736" s="8" t="s">
        <v>304</v>
      </c>
      <c r="E4736" s="52">
        <v>8</v>
      </c>
      <c r="F4736" s="13">
        <v>860</v>
      </c>
      <c r="G4736" s="13"/>
    </row>
    <row r="4737" spans="1:7" hidden="1" x14ac:dyDescent="0.75">
      <c r="A4737" s="51">
        <v>44943</v>
      </c>
      <c r="B4737" s="52">
        <v>754</v>
      </c>
      <c r="C4737" s="8" t="s">
        <v>4151</v>
      </c>
      <c r="D4737" s="8" t="s">
        <v>304</v>
      </c>
      <c r="E4737" s="52">
        <v>55</v>
      </c>
      <c r="F4737" s="13"/>
      <c r="G4737" s="13">
        <v>185</v>
      </c>
    </row>
    <row r="4738" spans="1:7" hidden="1" x14ac:dyDescent="0.75">
      <c r="A4738" s="51">
        <v>44943</v>
      </c>
      <c r="B4738" s="52">
        <v>754</v>
      </c>
      <c r="C4738" s="8" t="s">
        <v>1710</v>
      </c>
      <c r="D4738" s="8" t="s">
        <v>304</v>
      </c>
      <c r="E4738" s="52">
        <v>8</v>
      </c>
      <c r="F4738" s="13">
        <v>770</v>
      </c>
      <c r="G4738" s="13"/>
    </row>
    <row r="4739" spans="1:7" hidden="1" x14ac:dyDescent="0.75">
      <c r="A4739" s="51">
        <v>44945</v>
      </c>
      <c r="B4739" s="52">
        <v>754</v>
      </c>
      <c r="C4739" s="8" t="s">
        <v>4210</v>
      </c>
      <c r="D4739" s="8" t="s">
        <v>304</v>
      </c>
      <c r="E4739" s="52">
        <v>55</v>
      </c>
      <c r="F4739" s="13"/>
      <c r="G4739" s="13">
        <v>180</v>
      </c>
    </row>
    <row r="4740" spans="1:7" hidden="1" x14ac:dyDescent="0.75">
      <c r="A4740" s="51">
        <v>44945</v>
      </c>
      <c r="B4740" s="52">
        <v>754</v>
      </c>
      <c r="C4740" s="8" t="s">
        <v>1724</v>
      </c>
      <c r="D4740" s="8" t="s">
        <v>304</v>
      </c>
      <c r="E4740" s="52">
        <v>8</v>
      </c>
      <c r="F4740" s="13">
        <v>300</v>
      </c>
      <c r="G4740" s="13"/>
    </row>
    <row r="4741" spans="1:7" hidden="1" x14ac:dyDescent="0.75">
      <c r="A4741" s="51">
        <v>44945</v>
      </c>
      <c r="B4741" s="52">
        <v>754</v>
      </c>
      <c r="C4741" s="8" t="s">
        <v>1725</v>
      </c>
      <c r="D4741" s="8" t="s">
        <v>304</v>
      </c>
      <c r="E4741" s="52">
        <v>8</v>
      </c>
      <c r="F4741" s="13">
        <v>462</v>
      </c>
      <c r="G4741" s="13"/>
    </row>
    <row r="4742" spans="1:7" hidden="1" x14ac:dyDescent="0.75">
      <c r="A4742" s="51">
        <v>44946</v>
      </c>
      <c r="B4742" s="52">
        <v>754</v>
      </c>
      <c r="C4742" s="8" t="s">
        <v>1744</v>
      </c>
      <c r="D4742" s="8" t="s">
        <v>304</v>
      </c>
      <c r="E4742" s="52">
        <v>8</v>
      </c>
      <c r="F4742" s="13">
        <v>415</v>
      </c>
      <c r="G4742" s="13"/>
    </row>
    <row r="4743" spans="1:7" hidden="1" x14ac:dyDescent="0.75">
      <c r="A4743" s="51">
        <v>44949</v>
      </c>
      <c r="B4743" s="52">
        <v>754</v>
      </c>
      <c r="C4743" s="8" t="s">
        <v>4300</v>
      </c>
      <c r="D4743" s="8" t="s">
        <v>304</v>
      </c>
      <c r="E4743" s="52">
        <v>55</v>
      </c>
      <c r="F4743" s="13"/>
      <c r="G4743" s="13">
        <v>240</v>
      </c>
    </row>
    <row r="4744" spans="1:7" hidden="1" x14ac:dyDescent="0.75">
      <c r="A4744" s="51">
        <v>44949</v>
      </c>
      <c r="B4744" s="52">
        <v>754</v>
      </c>
      <c r="C4744" s="8" t="s">
        <v>1756</v>
      </c>
      <c r="D4744" s="8" t="s">
        <v>304</v>
      </c>
      <c r="E4744" s="52">
        <v>8</v>
      </c>
      <c r="F4744" s="13">
        <v>8250</v>
      </c>
      <c r="G4744" s="13"/>
    </row>
    <row r="4745" spans="1:7" hidden="1" x14ac:dyDescent="0.75">
      <c r="A4745" s="51">
        <v>44949</v>
      </c>
      <c r="B4745" s="52">
        <v>754</v>
      </c>
      <c r="C4745" s="8" t="s">
        <v>1769</v>
      </c>
      <c r="D4745" s="8" t="s">
        <v>304</v>
      </c>
      <c r="E4745" s="52">
        <v>8</v>
      </c>
      <c r="F4745" s="13">
        <v>225</v>
      </c>
      <c r="G4745" s="13"/>
    </row>
    <row r="4746" spans="1:7" hidden="1" x14ac:dyDescent="0.75">
      <c r="A4746" s="51">
        <v>44949</v>
      </c>
      <c r="B4746" s="52">
        <v>754</v>
      </c>
      <c r="C4746" s="8" t="s">
        <v>1773</v>
      </c>
      <c r="D4746" s="8" t="s">
        <v>304</v>
      </c>
      <c r="E4746" s="52">
        <v>8</v>
      </c>
      <c r="F4746" s="13">
        <v>16500</v>
      </c>
      <c r="G4746" s="13"/>
    </row>
    <row r="4747" spans="1:7" hidden="1" x14ac:dyDescent="0.75">
      <c r="A4747" s="51">
        <v>44950</v>
      </c>
      <c r="B4747" s="52">
        <v>754</v>
      </c>
      <c r="C4747" s="8" t="s">
        <v>4332</v>
      </c>
      <c r="D4747" s="8" t="s">
        <v>304</v>
      </c>
      <c r="E4747" s="52">
        <v>55</v>
      </c>
      <c r="F4747" s="13"/>
      <c r="G4747" s="13">
        <v>334</v>
      </c>
    </row>
    <row r="4748" spans="1:7" hidden="1" x14ac:dyDescent="0.75">
      <c r="A4748" s="51">
        <v>44950</v>
      </c>
      <c r="B4748" s="52">
        <v>754</v>
      </c>
      <c r="C4748" s="8" t="s">
        <v>1785</v>
      </c>
      <c r="D4748" s="8" t="s">
        <v>304</v>
      </c>
      <c r="E4748" s="52">
        <v>8</v>
      </c>
      <c r="F4748" s="13">
        <v>545</v>
      </c>
      <c r="G4748" s="13"/>
    </row>
    <row r="4749" spans="1:7" hidden="1" x14ac:dyDescent="0.75">
      <c r="A4749" s="51">
        <v>44952</v>
      </c>
      <c r="B4749" s="52">
        <v>754</v>
      </c>
      <c r="C4749" s="8" t="s">
        <v>4399</v>
      </c>
      <c r="D4749" s="8" t="s">
        <v>304</v>
      </c>
      <c r="E4749" s="52">
        <v>55</v>
      </c>
      <c r="F4749" s="13"/>
      <c r="G4749" s="13">
        <v>635</v>
      </c>
    </row>
    <row r="4750" spans="1:7" hidden="1" x14ac:dyDescent="0.75">
      <c r="A4750" s="51">
        <v>44952</v>
      </c>
      <c r="B4750" s="52">
        <v>754</v>
      </c>
      <c r="C4750" s="8" t="s">
        <v>1803</v>
      </c>
      <c r="D4750" s="8" t="s">
        <v>304</v>
      </c>
      <c r="E4750" s="52">
        <v>8</v>
      </c>
      <c r="F4750" s="13">
        <v>305</v>
      </c>
      <c r="G4750" s="13"/>
    </row>
    <row r="4751" spans="1:7" hidden="1" x14ac:dyDescent="0.75">
      <c r="A4751" s="51">
        <v>44953</v>
      </c>
      <c r="B4751" s="52">
        <v>754</v>
      </c>
      <c r="C4751" s="8" t="s">
        <v>1809</v>
      </c>
      <c r="D4751" s="8" t="s">
        <v>304</v>
      </c>
      <c r="E4751" s="52">
        <v>8</v>
      </c>
      <c r="F4751" s="13">
        <v>405</v>
      </c>
      <c r="G4751" s="13"/>
    </row>
    <row r="4752" spans="1:7" hidden="1" x14ac:dyDescent="0.75">
      <c r="A4752" s="51">
        <v>44954</v>
      </c>
      <c r="B4752" s="52">
        <v>754</v>
      </c>
      <c r="C4752" s="8" t="s">
        <v>4468</v>
      </c>
      <c r="D4752" s="8" t="s">
        <v>304</v>
      </c>
      <c r="E4752" s="52">
        <v>55</v>
      </c>
      <c r="F4752" s="13"/>
      <c r="G4752" s="13">
        <v>210</v>
      </c>
    </row>
    <row r="4753" spans="1:7" hidden="1" x14ac:dyDescent="0.75">
      <c r="A4753" s="51">
        <v>44956</v>
      </c>
      <c r="B4753" s="52">
        <v>754</v>
      </c>
      <c r="C4753" s="8" t="s">
        <v>4495</v>
      </c>
      <c r="D4753" s="8" t="s">
        <v>304</v>
      </c>
      <c r="E4753" s="52">
        <v>55</v>
      </c>
      <c r="F4753" s="13"/>
      <c r="G4753" s="13">
        <v>90</v>
      </c>
    </row>
    <row r="4754" spans="1:7" hidden="1" x14ac:dyDescent="0.75">
      <c r="A4754" s="51">
        <v>44956</v>
      </c>
      <c r="B4754" s="52">
        <v>754</v>
      </c>
      <c r="C4754" s="8" t="s">
        <v>1831</v>
      </c>
      <c r="D4754" s="8" t="s">
        <v>304</v>
      </c>
      <c r="E4754" s="52">
        <v>8</v>
      </c>
      <c r="F4754" s="13">
        <v>659</v>
      </c>
      <c r="G4754" s="13"/>
    </row>
    <row r="4755" spans="1:7" hidden="1" x14ac:dyDescent="0.75">
      <c r="A4755" s="51">
        <v>44957</v>
      </c>
      <c r="B4755" s="52">
        <v>754</v>
      </c>
      <c r="C4755" s="8" t="s">
        <v>4529</v>
      </c>
      <c r="D4755" s="8" t="s">
        <v>304</v>
      </c>
      <c r="E4755" s="52">
        <v>55</v>
      </c>
      <c r="F4755" s="13"/>
      <c r="G4755" s="13">
        <v>450</v>
      </c>
    </row>
    <row r="4756" spans="1:7" hidden="1" x14ac:dyDescent="0.75">
      <c r="A4756" s="51">
        <v>44957</v>
      </c>
      <c r="B4756" s="52">
        <v>754</v>
      </c>
      <c r="C4756" s="8" t="s">
        <v>1858</v>
      </c>
      <c r="D4756" s="8" t="s">
        <v>304</v>
      </c>
      <c r="E4756" s="52">
        <v>8</v>
      </c>
      <c r="F4756" s="13">
        <v>130</v>
      </c>
      <c r="G4756" s="13"/>
    </row>
    <row r="4757" spans="1:7" hidden="1" x14ac:dyDescent="0.75">
      <c r="A4757" s="51">
        <v>44928</v>
      </c>
      <c r="B4757" s="52">
        <v>769</v>
      </c>
      <c r="C4757" s="8" t="s">
        <v>3743</v>
      </c>
      <c r="D4757" s="8" t="s">
        <v>1011</v>
      </c>
      <c r="E4757" s="52">
        <v>55</v>
      </c>
      <c r="F4757" s="13"/>
      <c r="G4757" s="13">
        <v>5245</v>
      </c>
    </row>
    <row r="4758" spans="1:7" hidden="1" x14ac:dyDescent="0.75">
      <c r="A4758" s="51">
        <v>44928</v>
      </c>
      <c r="B4758" s="52">
        <v>769</v>
      </c>
      <c r="C4758" s="8" t="s">
        <v>3747</v>
      </c>
      <c r="D4758" s="8" t="s">
        <v>1011</v>
      </c>
      <c r="E4758" s="52">
        <v>55</v>
      </c>
      <c r="F4758" s="13">
        <v>105</v>
      </c>
      <c r="G4758" s="13"/>
    </row>
    <row r="4759" spans="1:7" hidden="1" x14ac:dyDescent="0.75">
      <c r="A4759" s="51">
        <v>44928</v>
      </c>
      <c r="B4759" s="52">
        <v>769</v>
      </c>
      <c r="C4759" s="8" t="s">
        <v>1499</v>
      </c>
      <c r="D4759" s="8" t="s">
        <v>1011</v>
      </c>
      <c r="E4759" s="52">
        <v>8</v>
      </c>
      <c r="F4759" s="13">
        <v>11250</v>
      </c>
      <c r="G4759" s="13"/>
    </row>
    <row r="4760" spans="1:7" hidden="1" x14ac:dyDescent="0.75">
      <c r="A4760" s="51">
        <v>44928</v>
      </c>
      <c r="B4760" s="52">
        <v>769</v>
      </c>
      <c r="C4760" s="8" t="s">
        <v>1513</v>
      </c>
      <c r="D4760" s="8" t="s">
        <v>1011</v>
      </c>
      <c r="E4760" s="52">
        <v>8</v>
      </c>
      <c r="F4760" s="13">
        <v>4841</v>
      </c>
      <c r="G4760" s="13"/>
    </row>
    <row r="4761" spans="1:7" hidden="1" x14ac:dyDescent="0.75">
      <c r="A4761" s="51">
        <v>44928</v>
      </c>
      <c r="B4761" s="52">
        <v>769</v>
      </c>
      <c r="C4761" s="8" t="s">
        <v>1514</v>
      </c>
      <c r="D4761" s="8" t="s">
        <v>1011</v>
      </c>
      <c r="E4761" s="52">
        <v>8</v>
      </c>
      <c r="F4761" s="13">
        <v>2400</v>
      </c>
      <c r="G4761" s="13"/>
    </row>
    <row r="4762" spans="1:7" hidden="1" x14ac:dyDescent="0.75">
      <c r="A4762" s="51">
        <v>44928</v>
      </c>
      <c r="B4762" s="52">
        <v>769</v>
      </c>
      <c r="C4762" s="8" t="s">
        <v>1515</v>
      </c>
      <c r="D4762" s="8" t="s">
        <v>1011</v>
      </c>
      <c r="E4762" s="52">
        <v>8</v>
      </c>
      <c r="F4762" s="13">
        <v>18000</v>
      </c>
      <c r="G4762" s="13"/>
    </row>
    <row r="4763" spans="1:7" hidden="1" x14ac:dyDescent="0.75">
      <c r="A4763" s="51">
        <v>44929</v>
      </c>
      <c r="B4763" s="52">
        <v>769</v>
      </c>
      <c r="C4763" s="8" t="s">
        <v>3770</v>
      </c>
      <c r="D4763" s="8" t="s">
        <v>1011</v>
      </c>
      <c r="E4763" s="52">
        <v>55</v>
      </c>
      <c r="F4763" s="13"/>
      <c r="G4763" s="13">
        <v>2223.9</v>
      </c>
    </row>
    <row r="4764" spans="1:7" hidden="1" x14ac:dyDescent="0.75">
      <c r="A4764" s="51">
        <v>44930</v>
      </c>
      <c r="B4764" s="52">
        <v>769</v>
      </c>
      <c r="C4764" s="8" t="s">
        <v>1540</v>
      </c>
      <c r="D4764" s="8" t="s">
        <v>1011</v>
      </c>
      <c r="E4764" s="52">
        <v>8</v>
      </c>
      <c r="F4764" s="13">
        <v>4302</v>
      </c>
      <c r="G4764" s="13"/>
    </row>
    <row r="4765" spans="1:7" hidden="1" x14ac:dyDescent="0.75">
      <c r="A4765" s="51">
        <v>44930</v>
      </c>
      <c r="B4765" s="52">
        <v>769</v>
      </c>
      <c r="C4765" s="8" t="s">
        <v>1541</v>
      </c>
      <c r="D4765" s="8" t="s">
        <v>1011</v>
      </c>
      <c r="E4765" s="52">
        <v>8</v>
      </c>
      <c r="F4765" s="13">
        <v>336</v>
      </c>
      <c r="G4765" s="13"/>
    </row>
    <row r="4766" spans="1:7" hidden="1" x14ac:dyDescent="0.75">
      <c r="A4766" s="51">
        <v>44931</v>
      </c>
      <c r="B4766" s="52">
        <v>769</v>
      </c>
      <c r="C4766" s="8" t="s">
        <v>3831</v>
      </c>
      <c r="D4766" s="8" t="s">
        <v>1011</v>
      </c>
      <c r="E4766" s="52">
        <v>55</v>
      </c>
      <c r="F4766" s="13"/>
      <c r="G4766" s="13">
        <v>880</v>
      </c>
    </row>
    <row r="4767" spans="1:7" hidden="1" x14ac:dyDescent="0.75">
      <c r="A4767" s="51">
        <v>44931</v>
      </c>
      <c r="B4767" s="52">
        <v>769</v>
      </c>
      <c r="C4767" s="8" t="s">
        <v>1553</v>
      </c>
      <c r="D4767" s="8" t="s">
        <v>1011</v>
      </c>
      <c r="E4767" s="52">
        <v>8</v>
      </c>
      <c r="F4767" s="13">
        <v>9000</v>
      </c>
      <c r="G4767" s="13"/>
    </row>
    <row r="4768" spans="1:7" hidden="1" x14ac:dyDescent="0.75">
      <c r="A4768" s="51">
        <v>44932</v>
      </c>
      <c r="B4768" s="52">
        <v>769</v>
      </c>
      <c r="C4768" s="8" t="s">
        <v>3859</v>
      </c>
      <c r="D4768" s="8" t="s">
        <v>1011</v>
      </c>
      <c r="E4768" s="52">
        <v>55</v>
      </c>
      <c r="F4768" s="13"/>
      <c r="G4768" s="13">
        <v>100</v>
      </c>
    </row>
    <row r="4769" spans="1:7" hidden="1" x14ac:dyDescent="0.75">
      <c r="A4769" s="51">
        <v>44932</v>
      </c>
      <c r="B4769" s="52">
        <v>769</v>
      </c>
      <c r="C4769" s="8" t="s">
        <v>3870</v>
      </c>
      <c r="D4769" s="8" t="s">
        <v>1011</v>
      </c>
      <c r="E4769" s="52">
        <v>55</v>
      </c>
      <c r="F4769" s="13"/>
      <c r="G4769" s="13">
        <v>5076</v>
      </c>
    </row>
    <row r="4770" spans="1:7" hidden="1" x14ac:dyDescent="0.75">
      <c r="A4770" s="51">
        <v>44932</v>
      </c>
      <c r="B4770" s="52">
        <v>769</v>
      </c>
      <c r="C4770" s="8" t="s">
        <v>3871</v>
      </c>
      <c r="D4770" s="8" t="s">
        <v>1011</v>
      </c>
      <c r="E4770" s="52">
        <v>55</v>
      </c>
      <c r="F4770" s="13">
        <v>100</v>
      </c>
      <c r="G4770" s="13"/>
    </row>
    <row r="4771" spans="1:7" hidden="1" x14ac:dyDescent="0.75">
      <c r="A4771" s="51">
        <v>44932</v>
      </c>
      <c r="B4771" s="52">
        <v>769</v>
      </c>
      <c r="C4771" s="8" t="s">
        <v>3875</v>
      </c>
      <c r="D4771" s="8" t="s">
        <v>1011</v>
      </c>
      <c r="E4771" s="52">
        <v>55</v>
      </c>
      <c r="F4771" s="13">
        <v>110.25</v>
      </c>
      <c r="G4771" s="13"/>
    </row>
    <row r="4772" spans="1:7" hidden="1" x14ac:dyDescent="0.75">
      <c r="A4772" s="51">
        <v>44933</v>
      </c>
      <c r="B4772" s="52">
        <v>769</v>
      </c>
      <c r="C4772" s="8" t="s">
        <v>3908</v>
      </c>
      <c r="D4772" s="8" t="s">
        <v>1011</v>
      </c>
      <c r="E4772" s="52">
        <v>55</v>
      </c>
      <c r="F4772" s="13"/>
      <c r="G4772" s="13">
        <v>434</v>
      </c>
    </row>
    <row r="4773" spans="1:7" hidden="1" x14ac:dyDescent="0.75">
      <c r="A4773" s="51">
        <v>44933</v>
      </c>
      <c r="B4773" s="52">
        <v>769</v>
      </c>
      <c r="C4773" s="8" t="s">
        <v>3909</v>
      </c>
      <c r="D4773" s="8" t="s">
        <v>1011</v>
      </c>
      <c r="E4773" s="52">
        <v>55</v>
      </c>
      <c r="F4773" s="13"/>
      <c r="G4773" s="13">
        <v>3850</v>
      </c>
    </row>
    <row r="4774" spans="1:7" hidden="1" x14ac:dyDescent="0.75">
      <c r="A4774" s="51">
        <v>44935</v>
      </c>
      <c r="B4774" s="52">
        <v>769</v>
      </c>
      <c r="C4774" s="8" t="s">
        <v>3943</v>
      </c>
      <c r="D4774" s="8" t="s">
        <v>1011</v>
      </c>
      <c r="E4774" s="52">
        <v>55</v>
      </c>
      <c r="F4774" s="13"/>
      <c r="G4774" s="13">
        <v>4436</v>
      </c>
    </row>
    <row r="4775" spans="1:7" hidden="1" x14ac:dyDescent="0.75">
      <c r="A4775" s="51">
        <v>44935</v>
      </c>
      <c r="B4775" s="52">
        <v>769</v>
      </c>
      <c r="C4775" s="8" t="s">
        <v>3948</v>
      </c>
      <c r="D4775" s="8" t="s">
        <v>1011</v>
      </c>
      <c r="E4775" s="52">
        <v>55</v>
      </c>
      <c r="F4775" s="13">
        <v>73.5</v>
      </c>
      <c r="G4775" s="13"/>
    </row>
    <row r="4776" spans="1:7" hidden="1" x14ac:dyDescent="0.75">
      <c r="A4776" s="51">
        <v>44935</v>
      </c>
      <c r="B4776" s="52">
        <v>769</v>
      </c>
      <c r="C4776" s="8" t="s">
        <v>1578</v>
      </c>
      <c r="D4776" s="8" t="s">
        <v>1011</v>
      </c>
      <c r="E4776" s="52">
        <v>8</v>
      </c>
      <c r="F4776" s="13">
        <v>336</v>
      </c>
      <c r="G4776" s="13"/>
    </row>
    <row r="4777" spans="1:7" hidden="1" x14ac:dyDescent="0.75">
      <c r="A4777" s="51">
        <v>44935</v>
      </c>
      <c r="B4777" s="52">
        <v>769</v>
      </c>
      <c r="C4777" s="8" t="s">
        <v>1579</v>
      </c>
      <c r="D4777" s="8" t="s">
        <v>1011</v>
      </c>
      <c r="E4777" s="52">
        <v>8</v>
      </c>
      <c r="F4777" s="13">
        <v>4044</v>
      </c>
      <c r="G4777" s="13"/>
    </row>
    <row r="4778" spans="1:7" hidden="1" x14ac:dyDescent="0.75">
      <c r="A4778" s="51">
        <v>44935</v>
      </c>
      <c r="B4778" s="52">
        <v>769</v>
      </c>
      <c r="C4778" s="8" t="s">
        <v>1580</v>
      </c>
      <c r="D4778" s="8" t="s">
        <v>1011</v>
      </c>
      <c r="E4778" s="52">
        <v>8</v>
      </c>
      <c r="F4778" s="13">
        <v>1920</v>
      </c>
      <c r="G4778" s="13"/>
    </row>
    <row r="4779" spans="1:7" hidden="1" x14ac:dyDescent="0.75">
      <c r="A4779" s="51">
        <v>44935</v>
      </c>
      <c r="B4779" s="52">
        <v>769</v>
      </c>
      <c r="C4779" s="8" t="s">
        <v>1581</v>
      </c>
      <c r="D4779" s="8" t="s">
        <v>1011</v>
      </c>
      <c r="E4779" s="52">
        <v>8</v>
      </c>
      <c r="F4779" s="13">
        <v>18000</v>
      </c>
      <c r="G4779" s="13"/>
    </row>
    <row r="4780" spans="1:7" hidden="1" x14ac:dyDescent="0.75">
      <c r="A4780" s="51">
        <v>44935</v>
      </c>
      <c r="B4780" s="52">
        <v>769</v>
      </c>
      <c r="C4780" s="8" t="s">
        <v>1582</v>
      </c>
      <c r="D4780" s="8" t="s">
        <v>1011</v>
      </c>
      <c r="E4780" s="52">
        <v>8</v>
      </c>
      <c r="F4780" s="13">
        <v>4405.4399999999996</v>
      </c>
      <c r="G4780" s="13"/>
    </row>
    <row r="4781" spans="1:7" hidden="1" x14ac:dyDescent="0.75">
      <c r="A4781" s="51">
        <v>44936</v>
      </c>
      <c r="B4781" s="52">
        <v>769</v>
      </c>
      <c r="C4781" s="8" t="s">
        <v>3969</v>
      </c>
      <c r="D4781" s="8" t="s">
        <v>1011</v>
      </c>
      <c r="E4781" s="52">
        <v>55</v>
      </c>
      <c r="F4781" s="13"/>
      <c r="G4781" s="13">
        <v>1600</v>
      </c>
    </row>
    <row r="4782" spans="1:7" hidden="1" x14ac:dyDescent="0.75">
      <c r="A4782" s="51">
        <v>44937</v>
      </c>
      <c r="B4782" s="52">
        <v>769</v>
      </c>
      <c r="C4782" s="8" t="s">
        <v>1643</v>
      </c>
      <c r="D4782" s="8" t="s">
        <v>1011</v>
      </c>
      <c r="E4782" s="52">
        <v>8</v>
      </c>
      <c r="F4782" s="13">
        <v>4436</v>
      </c>
      <c r="G4782" s="13"/>
    </row>
    <row r="4783" spans="1:7" hidden="1" x14ac:dyDescent="0.75">
      <c r="A4783" s="51">
        <v>44937</v>
      </c>
      <c r="B4783" s="52">
        <v>769</v>
      </c>
      <c r="C4783" s="8" t="s">
        <v>1644</v>
      </c>
      <c r="D4783" s="8" t="s">
        <v>1011</v>
      </c>
      <c r="E4783" s="52">
        <v>8</v>
      </c>
      <c r="F4783" s="13">
        <v>385</v>
      </c>
      <c r="G4783" s="13"/>
    </row>
    <row r="4784" spans="1:7" hidden="1" x14ac:dyDescent="0.75">
      <c r="A4784" s="51">
        <v>44938</v>
      </c>
      <c r="B4784" s="52">
        <v>769</v>
      </c>
      <c r="C4784" s="8" t="s">
        <v>4035</v>
      </c>
      <c r="D4784" s="8" t="s">
        <v>1011</v>
      </c>
      <c r="E4784" s="52">
        <v>55</v>
      </c>
      <c r="F4784" s="13">
        <v>64</v>
      </c>
      <c r="G4784" s="13"/>
    </row>
    <row r="4785" spans="1:7" hidden="1" x14ac:dyDescent="0.75">
      <c r="A4785" s="51">
        <v>44939</v>
      </c>
      <c r="B4785" s="52">
        <v>769</v>
      </c>
      <c r="C4785" s="8" t="s">
        <v>4057</v>
      </c>
      <c r="D4785" s="8" t="s">
        <v>1011</v>
      </c>
      <c r="E4785" s="52">
        <v>55</v>
      </c>
      <c r="F4785" s="13"/>
      <c r="G4785" s="13">
        <v>1376</v>
      </c>
    </row>
    <row r="4786" spans="1:7" hidden="1" x14ac:dyDescent="0.75">
      <c r="A4786" s="51">
        <v>44939</v>
      </c>
      <c r="B4786" s="52">
        <v>769</v>
      </c>
      <c r="C4786" s="8" t="s">
        <v>4067</v>
      </c>
      <c r="D4786" s="8" t="s">
        <v>1011</v>
      </c>
      <c r="E4786" s="52">
        <v>55</v>
      </c>
      <c r="F4786" s="13"/>
      <c r="G4786" s="13">
        <v>7198</v>
      </c>
    </row>
    <row r="4787" spans="1:7" hidden="1" x14ac:dyDescent="0.75">
      <c r="A4787" s="51">
        <v>44939</v>
      </c>
      <c r="B4787" s="52">
        <v>769</v>
      </c>
      <c r="C4787" s="8" t="s">
        <v>4070</v>
      </c>
      <c r="D4787" s="8" t="s">
        <v>1011</v>
      </c>
      <c r="E4787" s="52">
        <v>55</v>
      </c>
      <c r="F4787" s="13">
        <v>490</v>
      </c>
      <c r="G4787" s="13"/>
    </row>
    <row r="4788" spans="1:7" hidden="1" x14ac:dyDescent="0.75">
      <c r="A4788" s="51">
        <v>44939</v>
      </c>
      <c r="B4788" s="52">
        <v>769</v>
      </c>
      <c r="C4788" s="8" t="s">
        <v>1672</v>
      </c>
      <c r="D4788" s="8" t="s">
        <v>1011</v>
      </c>
      <c r="E4788" s="52">
        <v>8</v>
      </c>
      <c r="F4788" s="13">
        <v>4715</v>
      </c>
      <c r="G4788" s="13"/>
    </row>
    <row r="4789" spans="1:7" hidden="1" x14ac:dyDescent="0.75">
      <c r="A4789" s="51">
        <v>44940</v>
      </c>
      <c r="B4789" s="52">
        <v>769</v>
      </c>
      <c r="C4789" s="8" t="s">
        <v>4105</v>
      </c>
      <c r="D4789" s="8" t="s">
        <v>1011</v>
      </c>
      <c r="E4789" s="52">
        <v>55</v>
      </c>
      <c r="F4789" s="13"/>
      <c r="G4789" s="13">
        <v>5656</v>
      </c>
    </row>
    <row r="4790" spans="1:7" hidden="1" x14ac:dyDescent="0.75">
      <c r="A4790" s="51">
        <v>44940</v>
      </c>
      <c r="B4790" s="52">
        <v>769</v>
      </c>
      <c r="C4790" s="8" t="s">
        <v>4106</v>
      </c>
      <c r="D4790" s="8" t="s">
        <v>1011</v>
      </c>
      <c r="E4790" s="52">
        <v>55</v>
      </c>
      <c r="F4790" s="13"/>
      <c r="G4790" s="13">
        <v>378</v>
      </c>
    </row>
    <row r="4791" spans="1:7" hidden="1" x14ac:dyDescent="0.75">
      <c r="A4791" s="51">
        <v>44942</v>
      </c>
      <c r="B4791" s="52">
        <v>769</v>
      </c>
      <c r="C4791" s="8" t="s">
        <v>4132</v>
      </c>
      <c r="D4791" s="8" t="s">
        <v>1011</v>
      </c>
      <c r="E4791" s="52">
        <v>55</v>
      </c>
      <c r="F4791" s="13"/>
      <c r="G4791" s="13">
        <v>5697</v>
      </c>
    </row>
    <row r="4792" spans="1:7" hidden="1" x14ac:dyDescent="0.75">
      <c r="A4792" s="51">
        <v>44942</v>
      </c>
      <c r="B4792" s="52">
        <v>769</v>
      </c>
      <c r="C4792" s="8" t="s">
        <v>1702</v>
      </c>
      <c r="D4792" s="8" t="s">
        <v>1011</v>
      </c>
      <c r="E4792" s="52">
        <v>8</v>
      </c>
      <c r="F4792" s="13">
        <v>5196</v>
      </c>
      <c r="G4792" s="13"/>
    </row>
    <row r="4793" spans="1:7" hidden="1" x14ac:dyDescent="0.75">
      <c r="A4793" s="51">
        <v>44942</v>
      </c>
      <c r="B4793" s="52">
        <v>769</v>
      </c>
      <c r="C4793" s="8" t="s">
        <v>1703</v>
      </c>
      <c r="D4793" s="8" t="s">
        <v>1011</v>
      </c>
      <c r="E4793" s="52">
        <v>8</v>
      </c>
      <c r="F4793" s="13">
        <v>18000</v>
      </c>
      <c r="G4793" s="13"/>
    </row>
    <row r="4794" spans="1:7" hidden="1" x14ac:dyDescent="0.75">
      <c r="A4794" s="51">
        <v>44942</v>
      </c>
      <c r="B4794" s="52">
        <v>769</v>
      </c>
      <c r="C4794" s="8" t="s">
        <v>1704</v>
      </c>
      <c r="D4794" s="8" t="s">
        <v>1011</v>
      </c>
      <c r="E4794" s="52">
        <v>8</v>
      </c>
      <c r="F4794" s="13">
        <v>1200</v>
      </c>
      <c r="G4794" s="13"/>
    </row>
    <row r="4795" spans="1:7" hidden="1" x14ac:dyDescent="0.75">
      <c r="A4795" s="51">
        <v>44943</v>
      </c>
      <c r="B4795" s="52">
        <v>769</v>
      </c>
      <c r="C4795" s="8" t="s">
        <v>4152</v>
      </c>
      <c r="D4795" s="8" t="s">
        <v>1011</v>
      </c>
      <c r="E4795" s="52">
        <v>55</v>
      </c>
      <c r="F4795" s="13"/>
      <c r="G4795" s="13">
        <v>980</v>
      </c>
    </row>
    <row r="4796" spans="1:7" hidden="1" x14ac:dyDescent="0.75">
      <c r="A4796" s="51">
        <v>44943</v>
      </c>
      <c r="B4796" s="52">
        <v>769</v>
      </c>
      <c r="C4796" s="8" t="s">
        <v>4159</v>
      </c>
      <c r="D4796" s="8" t="s">
        <v>1011</v>
      </c>
      <c r="E4796" s="52">
        <v>55</v>
      </c>
      <c r="F4796" s="13">
        <v>118.45</v>
      </c>
      <c r="G4796" s="13"/>
    </row>
    <row r="4797" spans="1:7" hidden="1" x14ac:dyDescent="0.75">
      <c r="A4797" s="51">
        <v>44944</v>
      </c>
      <c r="B4797" s="52">
        <v>769</v>
      </c>
      <c r="C4797" s="8" t="s">
        <v>1718</v>
      </c>
      <c r="D4797" s="8" t="s">
        <v>1011</v>
      </c>
      <c r="E4797" s="52">
        <v>8</v>
      </c>
      <c r="F4797" s="13">
        <v>385</v>
      </c>
      <c r="G4797" s="13"/>
    </row>
    <row r="4798" spans="1:7" hidden="1" x14ac:dyDescent="0.75">
      <c r="A4798" s="51">
        <v>44944</v>
      </c>
      <c r="B4798" s="52">
        <v>769</v>
      </c>
      <c r="C4798" s="8" t="s">
        <v>1719</v>
      </c>
      <c r="D4798" s="8" t="s">
        <v>1011</v>
      </c>
      <c r="E4798" s="52">
        <v>8</v>
      </c>
      <c r="F4798" s="13">
        <v>4686</v>
      </c>
      <c r="G4798" s="13"/>
    </row>
    <row r="4799" spans="1:7" hidden="1" x14ac:dyDescent="0.75">
      <c r="A4799" s="51">
        <v>44945</v>
      </c>
      <c r="B4799" s="52">
        <v>769</v>
      </c>
      <c r="C4799" s="8" t="s">
        <v>4211</v>
      </c>
      <c r="D4799" s="8" t="s">
        <v>1011</v>
      </c>
      <c r="E4799" s="52">
        <v>55</v>
      </c>
      <c r="F4799" s="13"/>
      <c r="G4799" s="13">
        <v>3600</v>
      </c>
    </row>
    <row r="4800" spans="1:7" hidden="1" x14ac:dyDescent="0.75">
      <c r="A4800" s="51">
        <v>44945</v>
      </c>
      <c r="B4800" s="52">
        <v>769</v>
      </c>
      <c r="C4800" s="8" t="s">
        <v>4220</v>
      </c>
      <c r="D4800" s="8" t="s">
        <v>1011</v>
      </c>
      <c r="E4800" s="52">
        <v>55</v>
      </c>
      <c r="F4800" s="13">
        <v>190.55</v>
      </c>
      <c r="G4800" s="13"/>
    </row>
    <row r="4801" spans="1:7" hidden="1" x14ac:dyDescent="0.75">
      <c r="A4801" s="51">
        <v>44946</v>
      </c>
      <c r="B4801" s="52">
        <v>769</v>
      </c>
      <c r="C4801" s="8" t="s">
        <v>4238</v>
      </c>
      <c r="D4801" s="8" t="s">
        <v>1011</v>
      </c>
      <c r="E4801" s="52">
        <v>55</v>
      </c>
      <c r="F4801" s="13"/>
      <c r="G4801" s="13">
        <v>1960</v>
      </c>
    </row>
    <row r="4802" spans="1:7" hidden="1" x14ac:dyDescent="0.75">
      <c r="A4802" s="51">
        <v>44946</v>
      </c>
      <c r="B4802" s="52">
        <v>769</v>
      </c>
      <c r="C4802" s="8" t="s">
        <v>4248</v>
      </c>
      <c r="D4802" s="8" t="s">
        <v>1011</v>
      </c>
      <c r="E4802" s="52">
        <v>55</v>
      </c>
      <c r="F4802" s="13"/>
      <c r="G4802" s="13">
        <v>9450</v>
      </c>
    </row>
    <row r="4803" spans="1:7" hidden="1" x14ac:dyDescent="0.75">
      <c r="A4803" s="51">
        <v>44946</v>
      </c>
      <c r="B4803" s="52">
        <v>769</v>
      </c>
      <c r="C4803" s="8" t="s">
        <v>1747</v>
      </c>
      <c r="D4803" s="8" t="s">
        <v>1011</v>
      </c>
      <c r="E4803" s="52">
        <v>8</v>
      </c>
      <c r="F4803" s="13">
        <v>378</v>
      </c>
      <c r="G4803" s="13"/>
    </row>
    <row r="4804" spans="1:7" hidden="1" x14ac:dyDescent="0.75">
      <c r="A4804" s="51">
        <v>44947</v>
      </c>
      <c r="B4804" s="52">
        <v>769</v>
      </c>
      <c r="C4804" s="8" t="s">
        <v>4279</v>
      </c>
      <c r="D4804" s="8" t="s">
        <v>1011</v>
      </c>
      <c r="E4804" s="52">
        <v>55</v>
      </c>
      <c r="F4804" s="13"/>
      <c r="G4804" s="13">
        <v>7910</v>
      </c>
    </row>
    <row r="4805" spans="1:7" hidden="1" x14ac:dyDescent="0.75">
      <c r="A4805" s="51">
        <v>44947</v>
      </c>
      <c r="B4805" s="52">
        <v>769</v>
      </c>
      <c r="C4805" s="8" t="s">
        <v>4280</v>
      </c>
      <c r="D4805" s="8" t="s">
        <v>1011</v>
      </c>
      <c r="E4805" s="52">
        <v>55</v>
      </c>
      <c r="F4805" s="13"/>
      <c r="G4805" s="13">
        <v>434</v>
      </c>
    </row>
    <row r="4806" spans="1:7" hidden="1" x14ac:dyDescent="0.75">
      <c r="A4806" s="51">
        <v>44949</v>
      </c>
      <c r="B4806" s="52">
        <v>769</v>
      </c>
      <c r="C4806" s="8" t="s">
        <v>4309</v>
      </c>
      <c r="D4806" s="8" t="s">
        <v>1011</v>
      </c>
      <c r="E4806" s="52">
        <v>55</v>
      </c>
      <c r="F4806" s="13"/>
      <c r="G4806" s="13">
        <v>450</v>
      </c>
    </row>
    <row r="4807" spans="1:7" hidden="1" x14ac:dyDescent="0.75">
      <c r="A4807" s="51">
        <v>44949</v>
      </c>
      <c r="B4807" s="52">
        <v>769</v>
      </c>
      <c r="C4807" s="8" t="s">
        <v>1768</v>
      </c>
      <c r="D4807" s="8" t="s">
        <v>1011</v>
      </c>
      <c r="E4807" s="52">
        <v>8</v>
      </c>
      <c r="F4807" s="13">
        <v>5137.3100000000004</v>
      </c>
      <c r="G4807" s="13"/>
    </row>
    <row r="4808" spans="1:7" hidden="1" x14ac:dyDescent="0.75">
      <c r="A4808" s="51">
        <v>44949</v>
      </c>
      <c r="B4808" s="52">
        <v>769</v>
      </c>
      <c r="C4808" s="8" t="s">
        <v>1774</v>
      </c>
      <c r="D4808" s="8" t="s">
        <v>1011</v>
      </c>
      <c r="E4808" s="52">
        <v>8</v>
      </c>
      <c r="F4808" s="13">
        <v>3500</v>
      </c>
      <c r="G4808" s="13"/>
    </row>
    <row r="4809" spans="1:7" hidden="1" x14ac:dyDescent="0.75">
      <c r="A4809" s="51">
        <v>44949</v>
      </c>
      <c r="B4809" s="52">
        <v>769</v>
      </c>
      <c r="C4809" s="8" t="s">
        <v>1775</v>
      </c>
      <c r="D4809" s="8" t="s">
        <v>1011</v>
      </c>
      <c r="E4809" s="52">
        <v>8</v>
      </c>
      <c r="F4809" s="13">
        <v>16200</v>
      </c>
      <c r="G4809" s="13"/>
    </row>
    <row r="4810" spans="1:7" hidden="1" x14ac:dyDescent="0.75">
      <c r="A4810" s="51">
        <v>44949</v>
      </c>
      <c r="B4810" s="52">
        <v>769</v>
      </c>
      <c r="C4810" s="8" t="s">
        <v>1776</v>
      </c>
      <c r="D4810" s="8" t="s">
        <v>1011</v>
      </c>
      <c r="E4810" s="52">
        <v>8</v>
      </c>
      <c r="F4810" s="13">
        <v>378</v>
      </c>
      <c r="G4810" s="13"/>
    </row>
    <row r="4811" spans="1:7" hidden="1" x14ac:dyDescent="0.75">
      <c r="A4811" s="51">
        <v>44949</v>
      </c>
      <c r="B4811" s="52">
        <v>769</v>
      </c>
      <c r="C4811" s="8" t="s">
        <v>1777</v>
      </c>
      <c r="D4811" s="8" t="s">
        <v>1011</v>
      </c>
      <c r="E4811" s="52">
        <v>8</v>
      </c>
      <c r="F4811" s="13">
        <v>2268</v>
      </c>
      <c r="G4811" s="13"/>
    </row>
    <row r="4812" spans="1:7" hidden="1" x14ac:dyDescent="0.75">
      <c r="A4812" s="51">
        <v>44950</v>
      </c>
      <c r="B4812" s="52">
        <v>769</v>
      </c>
      <c r="C4812" s="8" t="s">
        <v>4334</v>
      </c>
      <c r="D4812" s="8" t="s">
        <v>1011</v>
      </c>
      <c r="E4812" s="52">
        <v>55</v>
      </c>
      <c r="F4812" s="13"/>
      <c r="G4812" s="13">
        <v>1148</v>
      </c>
    </row>
    <row r="4813" spans="1:7" hidden="1" x14ac:dyDescent="0.75">
      <c r="A4813" s="51">
        <v>44950</v>
      </c>
      <c r="B4813" s="52">
        <v>769</v>
      </c>
      <c r="C4813" s="8" t="s">
        <v>4343</v>
      </c>
      <c r="D4813" s="8" t="s">
        <v>1011</v>
      </c>
      <c r="E4813" s="52">
        <v>55</v>
      </c>
      <c r="F4813" s="13"/>
      <c r="G4813" s="13">
        <v>6160</v>
      </c>
    </row>
    <row r="4814" spans="1:7" hidden="1" x14ac:dyDescent="0.75">
      <c r="A4814" s="51">
        <v>44951</v>
      </c>
      <c r="B4814" s="52">
        <v>769</v>
      </c>
      <c r="C4814" s="8" t="s">
        <v>1788</v>
      </c>
      <c r="D4814" s="8" t="s">
        <v>1011</v>
      </c>
      <c r="E4814" s="52">
        <v>8</v>
      </c>
      <c r="F4814" s="13">
        <v>385</v>
      </c>
      <c r="G4814" s="13"/>
    </row>
    <row r="4815" spans="1:7" hidden="1" x14ac:dyDescent="0.75">
      <c r="A4815" s="51">
        <v>44951</v>
      </c>
      <c r="B4815" s="52">
        <v>769</v>
      </c>
      <c r="C4815" s="8" t="s">
        <v>1798</v>
      </c>
      <c r="D4815" s="8" t="s">
        <v>1011</v>
      </c>
      <c r="E4815" s="52">
        <v>8</v>
      </c>
      <c r="F4815" s="13">
        <v>3644.42</v>
      </c>
      <c r="G4815" s="13"/>
    </row>
    <row r="4816" spans="1:7" hidden="1" x14ac:dyDescent="0.75">
      <c r="A4816" s="51">
        <v>44952</v>
      </c>
      <c r="B4816" s="52">
        <v>769</v>
      </c>
      <c r="C4816" s="8" t="s">
        <v>4400</v>
      </c>
      <c r="D4816" s="8" t="s">
        <v>1011</v>
      </c>
      <c r="E4816" s="52">
        <v>55</v>
      </c>
      <c r="F4816" s="13"/>
      <c r="G4816" s="13">
        <v>3600</v>
      </c>
    </row>
    <row r="4817" spans="1:7" hidden="1" x14ac:dyDescent="0.75">
      <c r="A4817" s="51">
        <v>44952</v>
      </c>
      <c r="B4817" s="52">
        <v>769</v>
      </c>
      <c r="C4817" s="8" t="s">
        <v>4401</v>
      </c>
      <c r="D4817" s="8" t="s">
        <v>1011</v>
      </c>
      <c r="E4817" s="52">
        <v>55</v>
      </c>
      <c r="F4817" s="13"/>
      <c r="G4817" s="13">
        <v>1960</v>
      </c>
    </row>
    <row r="4818" spans="1:7" hidden="1" x14ac:dyDescent="0.75">
      <c r="A4818" s="51">
        <v>44953</v>
      </c>
      <c r="B4818" s="52">
        <v>769</v>
      </c>
      <c r="C4818" s="8" t="s">
        <v>4445</v>
      </c>
      <c r="D4818" s="8" t="s">
        <v>1011</v>
      </c>
      <c r="E4818" s="52">
        <v>55</v>
      </c>
      <c r="F4818" s="13"/>
      <c r="G4818" s="13">
        <v>4774</v>
      </c>
    </row>
    <row r="4819" spans="1:7" hidden="1" x14ac:dyDescent="0.75">
      <c r="A4819" s="51">
        <v>44953</v>
      </c>
      <c r="B4819" s="52">
        <v>769</v>
      </c>
      <c r="C4819" s="8" t="s">
        <v>4446</v>
      </c>
      <c r="D4819" s="8" t="s">
        <v>1011</v>
      </c>
      <c r="E4819" s="52">
        <v>55</v>
      </c>
      <c r="F4819" s="13"/>
      <c r="G4819" s="13">
        <v>5418</v>
      </c>
    </row>
    <row r="4820" spans="1:7" hidden="1" x14ac:dyDescent="0.75">
      <c r="A4820" s="51">
        <v>44953</v>
      </c>
      <c r="B4820" s="52">
        <v>769</v>
      </c>
      <c r="C4820" s="8" t="s">
        <v>4447</v>
      </c>
      <c r="D4820" s="8" t="s">
        <v>1011</v>
      </c>
      <c r="E4820" s="52">
        <v>55</v>
      </c>
      <c r="F4820" s="13"/>
      <c r="G4820" s="13">
        <v>434</v>
      </c>
    </row>
    <row r="4821" spans="1:7" hidden="1" x14ac:dyDescent="0.75">
      <c r="A4821" s="51">
        <v>44953</v>
      </c>
      <c r="B4821" s="52">
        <v>769</v>
      </c>
      <c r="C4821" s="8" t="s">
        <v>4448</v>
      </c>
      <c r="D4821" s="8" t="s">
        <v>1011</v>
      </c>
      <c r="E4821" s="52">
        <v>55</v>
      </c>
      <c r="F4821" s="13"/>
      <c r="G4821" s="13">
        <v>250</v>
      </c>
    </row>
    <row r="4822" spans="1:7" hidden="1" x14ac:dyDescent="0.75">
      <c r="A4822" s="51">
        <v>44953</v>
      </c>
      <c r="B4822" s="52">
        <v>769</v>
      </c>
      <c r="C4822" s="8" t="s">
        <v>1808</v>
      </c>
      <c r="D4822" s="8" t="s">
        <v>1011</v>
      </c>
      <c r="E4822" s="52">
        <v>8</v>
      </c>
      <c r="F4822" s="13">
        <v>3311</v>
      </c>
      <c r="G4822" s="13"/>
    </row>
    <row r="4823" spans="1:7" hidden="1" x14ac:dyDescent="0.75">
      <c r="A4823" s="51">
        <v>44954</v>
      </c>
      <c r="B4823" s="52">
        <v>769</v>
      </c>
      <c r="C4823" s="8" t="s">
        <v>4476</v>
      </c>
      <c r="D4823" s="8" t="s">
        <v>1011</v>
      </c>
      <c r="E4823" s="52">
        <v>55</v>
      </c>
      <c r="F4823" s="13"/>
      <c r="G4823" s="13">
        <v>1288</v>
      </c>
    </row>
    <row r="4824" spans="1:7" hidden="1" x14ac:dyDescent="0.75">
      <c r="A4824" s="51">
        <v>44956</v>
      </c>
      <c r="B4824" s="52">
        <v>769</v>
      </c>
      <c r="C4824" s="8" t="s">
        <v>1825</v>
      </c>
      <c r="D4824" s="8" t="s">
        <v>1011</v>
      </c>
      <c r="E4824" s="52">
        <v>8</v>
      </c>
      <c r="F4824" s="13">
        <v>2160</v>
      </c>
      <c r="G4824" s="13"/>
    </row>
    <row r="4825" spans="1:7" hidden="1" x14ac:dyDescent="0.75">
      <c r="A4825" s="51">
        <v>44956</v>
      </c>
      <c r="B4825" s="52">
        <v>769</v>
      </c>
      <c r="C4825" s="8" t="s">
        <v>1826</v>
      </c>
      <c r="D4825" s="8" t="s">
        <v>1011</v>
      </c>
      <c r="E4825" s="52">
        <v>8</v>
      </c>
      <c r="F4825" s="13">
        <v>13500</v>
      </c>
      <c r="G4825" s="13"/>
    </row>
    <row r="4826" spans="1:7" hidden="1" x14ac:dyDescent="0.75">
      <c r="A4826" s="51">
        <v>44956</v>
      </c>
      <c r="B4826" s="52">
        <v>769</v>
      </c>
      <c r="C4826" s="8" t="s">
        <v>1827</v>
      </c>
      <c r="D4826" s="8" t="s">
        <v>1011</v>
      </c>
      <c r="E4826" s="52">
        <v>8</v>
      </c>
      <c r="F4826" s="13">
        <v>6292</v>
      </c>
      <c r="G4826" s="13"/>
    </row>
    <row r="4827" spans="1:7" hidden="1" x14ac:dyDescent="0.75">
      <c r="A4827" s="51">
        <v>44957</v>
      </c>
      <c r="B4827" s="52">
        <v>769</v>
      </c>
      <c r="C4827" s="8" t="s">
        <v>4530</v>
      </c>
      <c r="D4827" s="8" t="s">
        <v>1011</v>
      </c>
      <c r="E4827" s="52">
        <v>55</v>
      </c>
      <c r="F4827" s="13"/>
      <c r="G4827" s="13">
        <v>1735</v>
      </c>
    </row>
    <row r="4828" spans="1:7" hidden="1" x14ac:dyDescent="0.75">
      <c r="A4828" s="51">
        <v>44957</v>
      </c>
      <c r="B4828" s="52">
        <v>769</v>
      </c>
      <c r="C4828" s="8" t="s">
        <v>4531</v>
      </c>
      <c r="D4828" s="8" t="s">
        <v>1011</v>
      </c>
      <c r="E4828" s="52">
        <v>55</v>
      </c>
      <c r="F4828" s="13"/>
      <c r="G4828" s="13">
        <v>825</v>
      </c>
    </row>
    <row r="4829" spans="1:7" hidden="1" x14ac:dyDescent="0.75">
      <c r="A4829" s="51">
        <v>44957</v>
      </c>
      <c r="B4829" s="52">
        <v>769</v>
      </c>
      <c r="C4829" s="8" t="s">
        <v>4541</v>
      </c>
      <c r="D4829" s="8" t="s">
        <v>1011</v>
      </c>
      <c r="E4829" s="52">
        <v>55</v>
      </c>
      <c r="F4829" s="13"/>
      <c r="G4829" s="13">
        <v>930</v>
      </c>
    </row>
    <row r="4830" spans="1:7" hidden="1" x14ac:dyDescent="0.75">
      <c r="A4830" s="51">
        <v>44957</v>
      </c>
      <c r="B4830" s="52">
        <v>769</v>
      </c>
      <c r="C4830" s="8" t="s">
        <v>4542</v>
      </c>
      <c r="D4830" s="8" t="s">
        <v>1011</v>
      </c>
      <c r="E4830" s="52">
        <v>55</v>
      </c>
      <c r="F4830" s="13"/>
      <c r="G4830" s="13">
        <v>125</v>
      </c>
    </row>
    <row r="4831" spans="1:7" hidden="1" x14ac:dyDescent="0.75">
      <c r="A4831" s="51">
        <v>44957</v>
      </c>
      <c r="B4831" s="52">
        <v>769</v>
      </c>
      <c r="C4831" s="8" t="s">
        <v>4543</v>
      </c>
      <c r="D4831" s="8" t="s">
        <v>1011</v>
      </c>
      <c r="E4831" s="52">
        <v>55</v>
      </c>
      <c r="F4831" s="13"/>
      <c r="G4831" s="13">
        <v>5796</v>
      </c>
    </row>
    <row r="4832" spans="1:7" hidden="1" x14ac:dyDescent="0.75">
      <c r="A4832" s="51">
        <v>44957</v>
      </c>
      <c r="B4832" s="52">
        <v>769</v>
      </c>
      <c r="C4832" s="8" t="s">
        <v>1867</v>
      </c>
      <c r="D4832" s="8" t="s">
        <v>1011</v>
      </c>
      <c r="E4832" s="52">
        <v>8</v>
      </c>
      <c r="F4832" s="13">
        <v>486</v>
      </c>
      <c r="G4832" s="13"/>
    </row>
    <row r="4833" spans="1:7" hidden="1" x14ac:dyDescent="0.75">
      <c r="A4833" s="51">
        <v>44928</v>
      </c>
      <c r="B4833" s="52">
        <v>771</v>
      </c>
      <c r="C4833" s="8" t="s">
        <v>1505</v>
      </c>
      <c r="D4833" s="8" t="s">
        <v>1012</v>
      </c>
      <c r="E4833" s="52">
        <v>8</v>
      </c>
      <c r="F4833" s="13">
        <v>490</v>
      </c>
      <c r="G4833" s="13"/>
    </row>
    <row r="4834" spans="1:7" hidden="1" x14ac:dyDescent="0.75">
      <c r="A4834" s="51">
        <v>44930</v>
      </c>
      <c r="B4834" s="52">
        <v>771</v>
      </c>
      <c r="C4834" s="8" t="s">
        <v>3798</v>
      </c>
      <c r="D4834" s="8" t="s">
        <v>1012</v>
      </c>
      <c r="E4834" s="52">
        <v>55</v>
      </c>
      <c r="F4834" s="13"/>
      <c r="G4834" s="13">
        <v>560</v>
      </c>
    </row>
    <row r="4835" spans="1:7" hidden="1" x14ac:dyDescent="0.75">
      <c r="A4835" s="51">
        <v>44931</v>
      </c>
      <c r="B4835" s="52">
        <v>771</v>
      </c>
      <c r="C4835" s="8" t="s">
        <v>1554</v>
      </c>
      <c r="D4835" s="8" t="s">
        <v>1012</v>
      </c>
      <c r="E4835" s="52">
        <v>8</v>
      </c>
      <c r="F4835" s="13">
        <v>610</v>
      </c>
      <c r="G4835" s="13"/>
    </row>
    <row r="4836" spans="1:7" hidden="1" x14ac:dyDescent="0.75">
      <c r="A4836" s="51">
        <v>44932</v>
      </c>
      <c r="B4836" s="52">
        <v>771</v>
      </c>
      <c r="C4836" s="8" t="s">
        <v>3855</v>
      </c>
      <c r="D4836" s="8" t="s">
        <v>1012</v>
      </c>
      <c r="E4836" s="52">
        <v>55</v>
      </c>
      <c r="F4836" s="13"/>
      <c r="G4836" s="13">
        <v>415</v>
      </c>
    </row>
    <row r="4837" spans="1:7" hidden="1" x14ac:dyDescent="0.75">
      <c r="A4837" s="51">
        <v>44932</v>
      </c>
      <c r="B4837" s="52">
        <v>771</v>
      </c>
      <c r="C4837" s="8" t="s">
        <v>1573</v>
      </c>
      <c r="D4837" s="8" t="s">
        <v>1012</v>
      </c>
      <c r="E4837" s="52">
        <v>8</v>
      </c>
      <c r="F4837" s="13">
        <v>314</v>
      </c>
      <c r="G4837" s="13"/>
    </row>
    <row r="4838" spans="1:7" hidden="1" x14ac:dyDescent="0.75">
      <c r="A4838" s="51">
        <v>44935</v>
      </c>
      <c r="B4838" s="52">
        <v>771</v>
      </c>
      <c r="C4838" s="8" t="s">
        <v>3933</v>
      </c>
      <c r="D4838" s="8" t="s">
        <v>1012</v>
      </c>
      <c r="E4838" s="52">
        <v>55</v>
      </c>
      <c r="F4838" s="13"/>
      <c r="G4838" s="13">
        <v>570</v>
      </c>
    </row>
    <row r="4839" spans="1:7" hidden="1" x14ac:dyDescent="0.75">
      <c r="A4839" s="51">
        <v>44936</v>
      </c>
      <c r="B4839" s="52">
        <v>771</v>
      </c>
      <c r="C4839" s="8" t="s">
        <v>1616</v>
      </c>
      <c r="D4839" s="8" t="s">
        <v>1012</v>
      </c>
      <c r="E4839" s="52">
        <v>8</v>
      </c>
      <c r="F4839" s="13">
        <v>550</v>
      </c>
      <c r="G4839" s="13"/>
    </row>
    <row r="4840" spans="1:7" hidden="1" x14ac:dyDescent="0.75">
      <c r="A4840" s="51">
        <v>44937</v>
      </c>
      <c r="B4840" s="52">
        <v>771</v>
      </c>
      <c r="C4840" s="8" t="s">
        <v>4000</v>
      </c>
      <c r="D4840" s="8" t="s">
        <v>1012</v>
      </c>
      <c r="E4840" s="52">
        <v>55</v>
      </c>
      <c r="F4840" s="13"/>
      <c r="G4840" s="13">
        <v>590</v>
      </c>
    </row>
    <row r="4841" spans="1:7" hidden="1" x14ac:dyDescent="0.75">
      <c r="A4841" s="51">
        <v>44939</v>
      </c>
      <c r="B4841" s="52">
        <v>771</v>
      </c>
      <c r="C4841" s="8" t="s">
        <v>1666</v>
      </c>
      <c r="D4841" s="8" t="s">
        <v>1012</v>
      </c>
      <c r="E4841" s="52">
        <v>8</v>
      </c>
      <c r="F4841" s="13">
        <v>360</v>
      </c>
      <c r="G4841" s="13"/>
    </row>
    <row r="4842" spans="1:7" hidden="1" x14ac:dyDescent="0.75">
      <c r="A4842" s="51">
        <v>44939</v>
      </c>
      <c r="B4842" s="52">
        <v>771</v>
      </c>
      <c r="C4842" s="8" t="s">
        <v>1668</v>
      </c>
      <c r="D4842" s="8" t="s">
        <v>1012</v>
      </c>
      <c r="E4842" s="52">
        <v>8</v>
      </c>
      <c r="F4842" s="13">
        <v>360</v>
      </c>
      <c r="G4842" s="13"/>
    </row>
    <row r="4843" spans="1:7" hidden="1" x14ac:dyDescent="0.75">
      <c r="A4843" s="51">
        <v>44940</v>
      </c>
      <c r="B4843" s="52">
        <v>771</v>
      </c>
      <c r="C4843" s="8" t="s">
        <v>4094</v>
      </c>
      <c r="D4843" s="8" t="s">
        <v>1012</v>
      </c>
      <c r="E4843" s="52">
        <v>55</v>
      </c>
      <c r="F4843" s="13"/>
      <c r="G4843" s="13">
        <v>640</v>
      </c>
    </row>
    <row r="4844" spans="1:7" hidden="1" x14ac:dyDescent="0.75">
      <c r="A4844" s="51">
        <v>44943</v>
      </c>
      <c r="B4844" s="52">
        <v>771</v>
      </c>
      <c r="C4844" s="8" t="s">
        <v>4150</v>
      </c>
      <c r="D4844" s="8" t="s">
        <v>1012</v>
      </c>
      <c r="E4844" s="52">
        <v>55</v>
      </c>
      <c r="F4844" s="13"/>
      <c r="G4844" s="13">
        <v>480</v>
      </c>
    </row>
    <row r="4845" spans="1:7" hidden="1" x14ac:dyDescent="0.75">
      <c r="A4845" s="51">
        <v>44943</v>
      </c>
      <c r="B4845" s="52">
        <v>771</v>
      </c>
      <c r="C4845" s="8" t="s">
        <v>1711</v>
      </c>
      <c r="D4845" s="8" t="s">
        <v>1012</v>
      </c>
      <c r="E4845" s="52">
        <v>8</v>
      </c>
      <c r="F4845" s="13">
        <v>600</v>
      </c>
      <c r="G4845" s="13"/>
    </row>
    <row r="4846" spans="1:7" hidden="1" x14ac:dyDescent="0.75">
      <c r="A4846" s="51">
        <v>44945</v>
      </c>
      <c r="B4846" s="52">
        <v>771</v>
      </c>
      <c r="C4846" s="8" t="s">
        <v>1723</v>
      </c>
      <c r="D4846" s="8" t="s">
        <v>1012</v>
      </c>
      <c r="E4846" s="52">
        <v>8</v>
      </c>
      <c r="F4846" s="13">
        <v>620</v>
      </c>
      <c r="G4846" s="13"/>
    </row>
    <row r="4847" spans="1:7" hidden="1" x14ac:dyDescent="0.75">
      <c r="A4847" s="51">
        <v>44946</v>
      </c>
      <c r="B4847" s="52">
        <v>771</v>
      </c>
      <c r="C4847" s="8" t="s">
        <v>4236</v>
      </c>
      <c r="D4847" s="8" t="s">
        <v>1012</v>
      </c>
      <c r="E4847" s="52">
        <v>55</v>
      </c>
      <c r="F4847" s="13"/>
      <c r="G4847" s="13">
        <v>670</v>
      </c>
    </row>
    <row r="4848" spans="1:7" hidden="1" x14ac:dyDescent="0.75">
      <c r="A4848" s="51">
        <v>44946</v>
      </c>
      <c r="B4848" s="52">
        <v>771</v>
      </c>
      <c r="C4848" s="8" t="s">
        <v>1741</v>
      </c>
      <c r="D4848" s="8" t="s">
        <v>1012</v>
      </c>
      <c r="E4848" s="52">
        <v>8</v>
      </c>
      <c r="F4848" s="13">
        <v>380</v>
      </c>
      <c r="G4848" s="13"/>
    </row>
    <row r="4849" spans="1:7" hidden="1" x14ac:dyDescent="0.75">
      <c r="A4849" s="51">
        <v>44949</v>
      </c>
      <c r="B4849" s="52">
        <v>771</v>
      </c>
      <c r="C4849" s="8" t="s">
        <v>4299</v>
      </c>
      <c r="D4849" s="8" t="s">
        <v>1012</v>
      </c>
      <c r="E4849" s="52">
        <v>55</v>
      </c>
      <c r="F4849" s="13"/>
      <c r="G4849" s="13">
        <v>660</v>
      </c>
    </row>
    <row r="4850" spans="1:7" hidden="1" x14ac:dyDescent="0.75">
      <c r="A4850" s="51">
        <v>44950</v>
      </c>
      <c r="B4850" s="52">
        <v>771</v>
      </c>
      <c r="C4850" s="8" t="s">
        <v>1784</v>
      </c>
      <c r="D4850" s="8" t="s">
        <v>1012</v>
      </c>
      <c r="E4850" s="52">
        <v>8</v>
      </c>
      <c r="F4850" s="13">
        <v>780</v>
      </c>
      <c r="G4850" s="13"/>
    </row>
    <row r="4851" spans="1:7" hidden="1" x14ac:dyDescent="0.75">
      <c r="A4851" s="51">
        <v>44951</v>
      </c>
      <c r="B4851" s="52">
        <v>771</v>
      </c>
      <c r="C4851" s="8" t="s">
        <v>4367</v>
      </c>
      <c r="D4851" s="8" t="s">
        <v>1012</v>
      </c>
      <c r="E4851" s="52">
        <v>55</v>
      </c>
      <c r="F4851" s="13"/>
      <c r="G4851" s="13">
        <v>320</v>
      </c>
    </row>
    <row r="4852" spans="1:7" hidden="1" x14ac:dyDescent="0.75">
      <c r="A4852" s="51">
        <v>44953</v>
      </c>
      <c r="B4852" s="52">
        <v>771</v>
      </c>
      <c r="C4852" s="8" t="s">
        <v>1811</v>
      </c>
      <c r="D4852" s="8" t="s">
        <v>1012</v>
      </c>
      <c r="E4852" s="52">
        <v>8</v>
      </c>
      <c r="F4852" s="13">
        <v>270</v>
      </c>
      <c r="G4852" s="13"/>
    </row>
    <row r="4853" spans="1:7" hidden="1" x14ac:dyDescent="0.75">
      <c r="A4853" s="51">
        <v>44954</v>
      </c>
      <c r="B4853" s="52">
        <v>771</v>
      </c>
      <c r="C4853" s="8" t="s">
        <v>4467</v>
      </c>
      <c r="D4853" s="8" t="s">
        <v>1012</v>
      </c>
      <c r="E4853" s="52">
        <v>55</v>
      </c>
      <c r="F4853" s="13"/>
      <c r="G4853" s="13">
        <v>660</v>
      </c>
    </row>
    <row r="4854" spans="1:7" hidden="1" x14ac:dyDescent="0.75">
      <c r="A4854" s="51">
        <v>44956</v>
      </c>
      <c r="B4854" s="52">
        <v>771</v>
      </c>
      <c r="C4854" s="8" t="s">
        <v>1833</v>
      </c>
      <c r="D4854" s="8" t="s">
        <v>1012</v>
      </c>
      <c r="E4854" s="52">
        <v>8</v>
      </c>
      <c r="F4854" s="13">
        <v>772</v>
      </c>
      <c r="G4854" s="13"/>
    </row>
    <row r="4855" spans="1:7" hidden="1" x14ac:dyDescent="0.75">
      <c r="A4855" s="51">
        <v>44957</v>
      </c>
      <c r="B4855" s="52">
        <v>771</v>
      </c>
      <c r="C4855" s="8" t="s">
        <v>4528</v>
      </c>
      <c r="D4855" s="8" t="s">
        <v>1012</v>
      </c>
      <c r="E4855" s="52">
        <v>55</v>
      </c>
      <c r="F4855" s="13"/>
      <c r="G4855" s="13">
        <v>390</v>
      </c>
    </row>
    <row r="4856" spans="1:7" hidden="1" x14ac:dyDescent="0.75">
      <c r="A4856" s="51">
        <v>44957</v>
      </c>
      <c r="B4856" s="52">
        <v>771</v>
      </c>
      <c r="C4856" s="8" t="s">
        <v>1860</v>
      </c>
      <c r="D4856" s="8" t="s">
        <v>1012</v>
      </c>
      <c r="E4856" s="52">
        <v>8</v>
      </c>
      <c r="F4856" s="13">
        <v>585</v>
      </c>
      <c r="G4856" s="13"/>
    </row>
    <row r="4857" spans="1:7" hidden="1" x14ac:dyDescent="0.75">
      <c r="A4857" s="51">
        <v>44928</v>
      </c>
      <c r="B4857" s="52">
        <v>1292</v>
      </c>
      <c r="C4857" s="8" t="s">
        <v>4600</v>
      </c>
      <c r="D4857" s="8" t="s">
        <v>316</v>
      </c>
      <c r="E4857" s="52">
        <v>312</v>
      </c>
      <c r="F4857" s="13"/>
      <c r="G4857" s="13">
        <v>32.53</v>
      </c>
    </row>
    <row r="4858" spans="1:7" hidden="1" x14ac:dyDescent="0.75">
      <c r="A4858" s="51">
        <v>44928</v>
      </c>
      <c r="B4858" s="52">
        <v>1292</v>
      </c>
      <c r="C4858" s="8" t="s">
        <v>4601</v>
      </c>
      <c r="D4858" s="8" t="s">
        <v>316</v>
      </c>
      <c r="E4858" s="52">
        <v>1362</v>
      </c>
      <c r="F4858" s="13">
        <v>65.06</v>
      </c>
      <c r="G4858" s="13"/>
    </row>
    <row r="4859" spans="1:7" hidden="1" x14ac:dyDescent="0.75">
      <c r="A4859" s="51">
        <v>44928</v>
      </c>
      <c r="B4859" s="52">
        <v>1292</v>
      </c>
      <c r="C4859" s="8" t="s">
        <v>4602</v>
      </c>
      <c r="D4859" s="8" t="s">
        <v>316</v>
      </c>
      <c r="E4859" s="52">
        <v>1362</v>
      </c>
      <c r="F4859" s="13">
        <v>32.53</v>
      </c>
      <c r="G4859" s="13"/>
    </row>
    <row r="4860" spans="1:7" hidden="1" x14ac:dyDescent="0.75">
      <c r="A4860" s="51">
        <v>44928</v>
      </c>
      <c r="B4860" s="52">
        <v>1292</v>
      </c>
      <c r="C4860" s="8" t="s">
        <v>4603</v>
      </c>
      <c r="D4860" s="8" t="s">
        <v>316</v>
      </c>
      <c r="E4860" s="52">
        <v>1362</v>
      </c>
      <c r="F4860" s="13">
        <v>65.06</v>
      </c>
      <c r="G4860" s="13"/>
    </row>
    <row r="4861" spans="1:7" hidden="1" x14ac:dyDescent="0.75">
      <c r="A4861" s="51">
        <v>44928</v>
      </c>
      <c r="B4861" s="52">
        <v>1292</v>
      </c>
      <c r="C4861" s="8" t="s">
        <v>4604</v>
      </c>
      <c r="D4861" s="8" t="s">
        <v>316</v>
      </c>
      <c r="E4861" s="52">
        <v>1362</v>
      </c>
      <c r="F4861" s="13">
        <v>65.06</v>
      </c>
      <c r="G4861" s="13"/>
    </row>
    <row r="4862" spans="1:7" hidden="1" x14ac:dyDescent="0.75">
      <c r="A4862" s="51">
        <v>44928</v>
      </c>
      <c r="B4862" s="52">
        <v>1292</v>
      </c>
      <c r="C4862" s="8" t="s">
        <v>4605</v>
      </c>
      <c r="D4862" s="8" t="s">
        <v>316</v>
      </c>
      <c r="E4862" s="52">
        <v>1362</v>
      </c>
      <c r="F4862" s="13">
        <v>32.53</v>
      </c>
      <c r="G4862" s="13"/>
    </row>
    <row r="4863" spans="1:7" hidden="1" x14ac:dyDescent="0.75">
      <c r="A4863" s="51">
        <v>44928</v>
      </c>
      <c r="B4863" s="52">
        <v>1292</v>
      </c>
      <c r="C4863" s="8" t="s">
        <v>4606</v>
      </c>
      <c r="D4863" s="8" t="s">
        <v>316</v>
      </c>
      <c r="E4863" s="52">
        <v>1362</v>
      </c>
      <c r="F4863" s="13">
        <v>65.06</v>
      </c>
      <c r="G4863" s="13"/>
    </row>
    <row r="4864" spans="1:7" hidden="1" x14ac:dyDescent="0.75">
      <c r="A4864" s="51">
        <v>44928</v>
      </c>
      <c r="B4864" s="52">
        <v>1292</v>
      </c>
      <c r="C4864" s="8" t="s">
        <v>4607</v>
      </c>
      <c r="D4864" s="8" t="s">
        <v>316</v>
      </c>
      <c r="E4864" s="52">
        <v>1362</v>
      </c>
      <c r="F4864" s="13">
        <v>32.53</v>
      </c>
      <c r="G4864" s="13"/>
    </row>
    <row r="4865" spans="1:7" hidden="1" x14ac:dyDescent="0.75">
      <c r="A4865" s="51">
        <v>44928</v>
      </c>
      <c r="B4865" s="52">
        <v>1292</v>
      </c>
      <c r="C4865" s="8" t="s">
        <v>4608</v>
      </c>
      <c r="D4865" s="8" t="s">
        <v>316</v>
      </c>
      <c r="E4865" s="52">
        <v>1362</v>
      </c>
      <c r="F4865" s="13">
        <v>65.06</v>
      </c>
      <c r="G4865" s="13"/>
    </row>
    <row r="4866" spans="1:7" hidden="1" x14ac:dyDescent="0.75">
      <c r="A4866" s="51">
        <v>44928</v>
      </c>
      <c r="B4866" s="52">
        <v>1292</v>
      </c>
      <c r="C4866" s="8" t="s">
        <v>4609</v>
      </c>
      <c r="D4866" s="8" t="s">
        <v>316</v>
      </c>
      <c r="E4866" s="52">
        <v>1362</v>
      </c>
      <c r="F4866" s="13">
        <v>65.06</v>
      </c>
      <c r="G4866" s="13"/>
    </row>
    <row r="4867" spans="1:7" hidden="1" x14ac:dyDescent="0.75">
      <c r="A4867" s="51">
        <v>44928</v>
      </c>
      <c r="B4867" s="52">
        <v>1292</v>
      </c>
      <c r="C4867" s="8" t="s">
        <v>4610</v>
      </c>
      <c r="D4867" s="8" t="s">
        <v>316</v>
      </c>
      <c r="E4867" s="52">
        <v>1362</v>
      </c>
      <c r="F4867" s="13">
        <v>32.53</v>
      </c>
      <c r="G4867" s="13"/>
    </row>
    <row r="4868" spans="1:7" hidden="1" x14ac:dyDescent="0.75">
      <c r="A4868" s="51">
        <v>44928</v>
      </c>
      <c r="B4868" s="52">
        <v>1292</v>
      </c>
      <c r="C4868" s="8" t="s">
        <v>4611</v>
      </c>
      <c r="D4868" s="8" t="s">
        <v>316</v>
      </c>
      <c r="E4868" s="52">
        <v>1362</v>
      </c>
      <c r="F4868" s="13">
        <v>32.53</v>
      </c>
      <c r="G4868" s="13"/>
    </row>
    <row r="4869" spans="1:7" hidden="1" x14ac:dyDescent="0.75">
      <c r="A4869" s="51">
        <v>44928</v>
      </c>
      <c r="B4869" s="52">
        <v>1292</v>
      </c>
      <c r="C4869" s="8" t="s">
        <v>4612</v>
      </c>
      <c r="D4869" s="8" t="s">
        <v>316</v>
      </c>
      <c r="E4869" s="52">
        <v>1362</v>
      </c>
      <c r="F4869" s="13">
        <v>65.06</v>
      </c>
      <c r="G4869" s="13"/>
    </row>
    <row r="4870" spans="1:7" hidden="1" x14ac:dyDescent="0.75">
      <c r="A4870" s="51">
        <v>44928</v>
      </c>
      <c r="B4870" s="52">
        <v>1292</v>
      </c>
      <c r="C4870" s="8" t="s">
        <v>4613</v>
      </c>
      <c r="D4870" s="8" t="s">
        <v>316</v>
      </c>
      <c r="E4870" s="52">
        <v>1362</v>
      </c>
      <c r="F4870" s="13">
        <v>32.53</v>
      </c>
      <c r="G4870" s="13"/>
    </row>
    <row r="4871" spans="1:7" hidden="1" x14ac:dyDescent="0.75">
      <c r="A4871" s="51">
        <v>44928</v>
      </c>
      <c r="B4871" s="52">
        <v>1292</v>
      </c>
      <c r="C4871" s="8" t="s">
        <v>4614</v>
      </c>
      <c r="D4871" s="8" t="s">
        <v>316</v>
      </c>
      <c r="E4871" s="52">
        <v>1362</v>
      </c>
      <c r="F4871" s="13">
        <v>65.06</v>
      </c>
      <c r="G4871" s="13"/>
    </row>
    <row r="4872" spans="1:7" hidden="1" x14ac:dyDescent="0.75">
      <c r="A4872" s="51">
        <v>44928</v>
      </c>
      <c r="B4872" s="52">
        <v>1292</v>
      </c>
      <c r="C4872" s="8" t="s">
        <v>4615</v>
      </c>
      <c r="D4872" s="8" t="s">
        <v>316</v>
      </c>
      <c r="E4872" s="52">
        <v>1362</v>
      </c>
      <c r="F4872" s="13">
        <v>32.53</v>
      </c>
      <c r="G4872" s="13"/>
    </row>
    <row r="4873" spans="1:7" hidden="1" x14ac:dyDescent="0.75">
      <c r="A4873" s="51">
        <v>44929</v>
      </c>
      <c r="B4873" s="52">
        <v>1292</v>
      </c>
      <c r="C4873" s="8" t="s">
        <v>4616</v>
      </c>
      <c r="D4873" s="8" t="s">
        <v>316</v>
      </c>
      <c r="E4873" s="52">
        <v>312</v>
      </c>
      <c r="F4873" s="13"/>
      <c r="G4873" s="13">
        <v>65.06</v>
      </c>
    </row>
    <row r="4874" spans="1:7" hidden="1" x14ac:dyDescent="0.75">
      <c r="A4874" s="51">
        <v>44929</v>
      </c>
      <c r="B4874" s="52">
        <v>1292</v>
      </c>
      <c r="C4874" s="8" t="s">
        <v>4617</v>
      </c>
      <c r="D4874" s="8" t="s">
        <v>316</v>
      </c>
      <c r="E4874" s="52">
        <v>312</v>
      </c>
      <c r="F4874" s="13"/>
      <c r="G4874" s="13">
        <v>32.53</v>
      </c>
    </row>
    <row r="4875" spans="1:7" hidden="1" x14ac:dyDescent="0.75">
      <c r="A4875" s="51">
        <v>44930</v>
      </c>
      <c r="B4875" s="52">
        <v>1292</v>
      </c>
      <c r="C4875" s="8" t="s">
        <v>4618</v>
      </c>
      <c r="D4875" s="8" t="s">
        <v>316</v>
      </c>
      <c r="E4875" s="52">
        <v>312</v>
      </c>
      <c r="F4875" s="13"/>
      <c r="G4875" s="13">
        <v>65.06</v>
      </c>
    </row>
    <row r="4876" spans="1:7" hidden="1" x14ac:dyDescent="0.75">
      <c r="A4876" s="51">
        <v>44931</v>
      </c>
      <c r="B4876" s="52">
        <v>1292</v>
      </c>
      <c r="C4876" s="8" t="s">
        <v>4619</v>
      </c>
      <c r="D4876" s="8" t="s">
        <v>316</v>
      </c>
      <c r="E4876" s="52">
        <v>312</v>
      </c>
      <c r="F4876" s="13"/>
      <c r="G4876" s="13">
        <v>32.53</v>
      </c>
    </row>
    <row r="4877" spans="1:7" hidden="1" x14ac:dyDescent="0.75">
      <c r="A4877" s="51">
        <v>44932</v>
      </c>
      <c r="B4877" s="52">
        <v>1292</v>
      </c>
      <c r="C4877" s="8" t="s">
        <v>4620</v>
      </c>
      <c r="D4877" s="8" t="s">
        <v>316</v>
      </c>
      <c r="E4877" s="52">
        <v>312</v>
      </c>
      <c r="F4877" s="13"/>
      <c r="G4877" s="13">
        <v>130.12</v>
      </c>
    </row>
    <row r="4878" spans="1:7" hidden="1" x14ac:dyDescent="0.75">
      <c r="A4878" s="51">
        <v>44933</v>
      </c>
      <c r="B4878" s="52">
        <v>1292</v>
      </c>
      <c r="C4878" s="8" t="s">
        <v>4621</v>
      </c>
      <c r="D4878" s="8" t="s">
        <v>316</v>
      </c>
      <c r="E4878" s="52">
        <v>312</v>
      </c>
      <c r="F4878" s="13"/>
      <c r="G4878" s="13">
        <v>32.53</v>
      </c>
    </row>
    <row r="4879" spans="1:7" hidden="1" x14ac:dyDescent="0.75">
      <c r="A4879" s="51">
        <v>44935</v>
      </c>
      <c r="B4879" s="52">
        <v>1292</v>
      </c>
      <c r="C4879" s="8" t="s">
        <v>4622</v>
      </c>
      <c r="D4879" s="8" t="s">
        <v>316</v>
      </c>
      <c r="E4879" s="52">
        <v>312</v>
      </c>
      <c r="F4879" s="13"/>
      <c r="G4879" s="13">
        <v>32.53</v>
      </c>
    </row>
    <row r="4880" spans="1:7" hidden="1" x14ac:dyDescent="0.75">
      <c r="A4880" s="51">
        <v>44936</v>
      </c>
      <c r="B4880" s="52">
        <v>1292</v>
      </c>
      <c r="C4880" s="8" t="s">
        <v>4623</v>
      </c>
      <c r="D4880" s="8" t="s">
        <v>316</v>
      </c>
      <c r="E4880" s="52">
        <v>312</v>
      </c>
      <c r="F4880" s="13"/>
      <c r="G4880" s="13">
        <v>65.06</v>
      </c>
    </row>
    <row r="4881" spans="1:7" hidden="1" x14ac:dyDescent="0.75">
      <c r="A4881" s="51">
        <v>44936</v>
      </c>
      <c r="B4881" s="52">
        <v>1292</v>
      </c>
      <c r="C4881" s="8" t="s">
        <v>4624</v>
      </c>
      <c r="D4881" s="8" t="s">
        <v>316</v>
      </c>
      <c r="E4881" s="52">
        <v>1362</v>
      </c>
      <c r="F4881" s="13">
        <v>130.12</v>
      </c>
      <c r="G4881" s="13"/>
    </row>
    <row r="4882" spans="1:7" hidden="1" x14ac:dyDescent="0.75">
      <c r="A4882" s="51">
        <v>44936</v>
      </c>
      <c r="B4882" s="52">
        <v>1292</v>
      </c>
      <c r="C4882" s="8" t="s">
        <v>4625</v>
      </c>
      <c r="D4882" s="8" t="s">
        <v>316</v>
      </c>
      <c r="E4882" s="52">
        <v>1362</v>
      </c>
      <c r="F4882" s="13">
        <v>32.53</v>
      </c>
      <c r="G4882" s="13"/>
    </row>
    <row r="4883" spans="1:7" hidden="1" x14ac:dyDescent="0.75">
      <c r="A4883" s="51">
        <v>44936</v>
      </c>
      <c r="B4883" s="52">
        <v>1292</v>
      </c>
      <c r="C4883" s="8" t="s">
        <v>4626</v>
      </c>
      <c r="D4883" s="8" t="s">
        <v>316</v>
      </c>
      <c r="E4883" s="52">
        <v>1362</v>
      </c>
      <c r="F4883" s="13">
        <v>32.53</v>
      </c>
      <c r="G4883" s="13"/>
    </row>
    <row r="4884" spans="1:7" hidden="1" x14ac:dyDescent="0.75">
      <c r="A4884" s="51">
        <v>44936</v>
      </c>
      <c r="B4884" s="52">
        <v>1292</v>
      </c>
      <c r="C4884" s="8" t="s">
        <v>4627</v>
      </c>
      <c r="D4884" s="8" t="s">
        <v>316</v>
      </c>
      <c r="E4884" s="52">
        <v>1362</v>
      </c>
      <c r="F4884" s="13">
        <v>32.53</v>
      </c>
      <c r="G4884" s="13"/>
    </row>
    <row r="4885" spans="1:7" hidden="1" x14ac:dyDescent="0.75">
      <c r="A4885" s="51">
        <v>44936</v>
      </c>
      <c r="B4885" s="52">
        <v>1292</v>
      </c>
      <c r="C4885" s="8" t="s">
        <v>4628</v>
      </c>
      <c r="D4885" s="8" t="s">
        <v>316</v>
      </c>
      <c r="E4885" s="52">
        <v>1362</v>
      </c>
      <c r="F4885" s="13">
        <v>32.53</v>
      </c>
      <c r="G4885" s="13"/>
    </row>
    <row r="4886" spans="1:7" hidden="1" x14ac:dyDescent="0.75">
      <c r="A4886" s="51">
        <v>44936</v>
      </c>
      <c r="B4886" s="52">
        <v>1292</v>
      </c>
      <c r="C4886" s="8" t="s">
        <v>4629</v>
      </c>
      <c r="D4886" s="8" t="s">
        <v>316</v>
      </c>
      <c r="E4886" s="52">
        <v>1362</v>
      </c>
      <c r="F4886" s="13">
        <v>97.59</v>
      </c>
      <c r="G4886" s="13"/>
    </row>
    <row r="4887" spans="1:7" hidden="1" x14ac:dyDescent="0.75">
      <c r="A4887" s="51">
        <v>44936</v>
      </c>
      <c r="B4887" s="52">
        <v>1292</v>
      </c>
      <c r="C4887" s="8" t="s">
        <v>4630</v>
      </c>
      <c r="D4887" s="8" t="s">
        <v>316</v>
      </c>
      <c r="E4887" s="52">
        <v>1362</v>
      </c>
      <c r="F4887" s="13">
        <v>32.53</v>
      </c>
      <c r="G4887" s="13"/>
    </row>
    <row r="4888" spans="1:7" hidden="1" x14ac:dyDescent="0.75">
      <c r="A4888" s="51">
        <v>44936</v>
      </c>
      <c r="B4888" s="52">
        <v>1292</v>
      </c>
      <c r="C4888" s="8" t="s">
        <v>4631</v>
      </c>
      <c r="D4888" s="8" t="s">
        <v>316</v>
      </c>
      <c r="E4888" s="52">
        <v>1362</v>
      </c>
      <c r="F4888" s="13">
        <v>32.53</v>
      </c>
      <c r="G4888" s="13"/>
    </row>
    <row r="4889" spans="1:7" hidden="1" x14ac:dyDescent="0.75">
      <c r="A4889" s="51">
        <v>44937</v>
      </c>
      <c r="B4889" s="52">
        <v>1292</v>
      </c>
      <c r="C4889" s="8" t="s">
        <v>4632</v>
      </c>
      <c r="D4889" s="8" t="s">
        <v>316</v>
      </c>
      <c r="E4889" s="52">
        <v>312</v>
      </c>
      <c r="F4889" s="13"/>
      <c r="G4889" s="13">
        <v>65.06</v>
      </c>
    </row>
    <row r="4890" spans="1:7" hidden="1" x14ac:dyDescent="0.75">
      <c r="A4890" s="51">
        <v>44938</v>
      </c>
      <c r="B4890" s="52">
        <v>1292</v>
      </c>
      <c r="C4890" s="8" t="s">
        <v>4633</v>
      </c>
      <c r="D4890" s="8" t="s">
        <v>316</v>
      </c>
      <c r="E4890" s="52">
        <v>312</v>
      </c>
      <c r="F4890" s="13"/>
      <c r="G4890" s="13">
        <v>32.53</v>
      </c>
    </row>
    <row r="4891" spans="1:7" hidden="1" x14ac:dyDescent="0.75">
      <c r="A4891" s="51">
        <v>44938</v>
      </c>
      <c r="B4891" s="52">
        <v>1292</v>
      </c>
      <c r="C4891" s="8" t="s">
        <v>4634</v>
      </c>
      <c r="D4891" s="8" t="s">
        <v>316</v>
      </c>
      <c r="E4891" s="52">
        <v>312</v>
      </c>
      <c r="F4891" s="13"/>
      <c r="G4891" s="13">
        <v>32.53</v>
      </c>
    </row>
    <row r="4892" spans="1:7" hidden="1" x14ac:dyDescent="0.75">
      <c r="A4892" s="51">
        <v>44938</v>
      </c>
      <c r="B4892" s="52">
        <v>1292</v>
      </c>
      <c r="C4892" s="8" t="s">
        <v>4635</v>
      </c>
      <c r="D4892" s="8" t="s">
        <v>316</v>
      </c>
      <c r="E4892" s="52">
        <v>312</v>
      </c>
      <c r="F4892" s="13"/>
      <c r="G4892" s="13">
        <v>65.06</v>
      </c>
    </row>
    <row r="4893" spans="1:7" hidden="1" x14ac:dyDescent="0.75">
      <c r="A4893" s="51">
        <v>44939</v>
      </c>
      <c r="B4893" s="52">
        <v>1292</v>
      </c>
      <c r="C4893" s="8" t="s">
        <v>4636</v>
      </c>
      <c r="D4893" s="8" t="s">
        <v>316</v>
      </c>
      <c r="E4893" s="52">
        <v>312</v>
      </c>
      <c r="F4893" s="13"/>
      <c r="G4893" s="13">
        <v>32.53</v>
      </c>
    </row>
    <row r="4894" spans="1:7" hidden="1" x14ac:dyDescent="0.75">
      <c r="A4894" s="51">
        <v>44939</v>
      </c>
      <c r="B4894" s="52">
        <v>1292</v>
      </c>
      <c r="C4894" s="8" t="s">
        <v>4637</v>
      </c>
      <c r="D4894" s="8" t="s">
        <v>316</v>
      </c>
      <c r="E4894" s="52">
        <v>312</v>
      </c>
      <c r="F4894" s="13"/>
      <c r="G4894" s="13">
        <v>32.53</v>
      </c>
    </row>
    <row r="4895" spans="1:7" hidden="1" x14ac:dyDescent="0.75">
      <c r="A4895" s="51">
        <v>44940</v>
      </c>
      <c r="B4895" s="52">
        <v>1292</v>
      </c>
      <c r="C4895" s="8" t="s">
        <v>4638</v>
      </c>
      <c r="D4895" s="8" t="s">
        <v>316</v>
      </c>
      <c r="E4895" s="52">
        <v>312</v>
      </c>
      <c r="F4895" s="13"/>
      <c r="G4895" s="13">
        <v>32.53</v>
      </c>
    </row>
    <row r="4896" spans="1:7" hidden="1" x14ac:dyDescent="0.75">
      <c r="A4896" s="51">
        <v>44942</v>
      </c>
      <c r="B4896" s="52">
        <v>1292</v>
      </c>
      <c r="C4896" s="8" t="s">
        <v>4639</v>
      </c>
      <c r="D4896" s="8" t="s">
        <v>316</v>
      </c>
      <c r="E4896" s="52">
        <v>312</v>
      </c>
      <c r="F4896" s="13"/>
      <c r="G4896" s="13">
        <v>130.12</v>
      </c>
    </row>
    <row r="4897" spans="1:7" hidden="1" x14ac:dyDescent="0.75">
      <c r="A4897" s="51">
        <v>44943</v>
      </c>
      <c r="B4897" s="52">
        <v>1292</v>
      </c>
      <c r="C4897" s="8" t="s">
        <v>4640</v>
      </c>
      <c r="D4897" s="8" t="s">
        <v>316</v>
      </c>
      <c r="E4897" s="52">
        <v>312</v>
      </c>
      <c r="F4897" s="13"/>
      <c r="G4897" s="13">
        <v>17.88</v>
      </c>
    </row>
    <row r="4898" spans="1:7" hidden="1" x14ac:dyDescent="0.75">
      <c r="A4898" s="51">
        <v>44943</v>
      </c>
      <c r="B4898" s="52">
        <v>1292</v>
      </c>
      <c r="C4898" s="8" t="s">
        <v>4641</v>
      </c>
      <c r="D4898" s="8" t="s">
        <v>316</v>
      </c>
      <c r="E4898" s="52">
        <v>312</v>
      </c>
      <c r="F4898" s="13"/>
      <c r="G4898" s="13">
        <v>65.06</v>
      </c>
    </row>
    <row r="4899" spans="1:7" hidden="1" x14ac:dyDescent="0.75">
      <c r="A4899" s="51">
        <v>44944</v>
      </c>
      <c r="B4899" s="52">
        <v>1292</v>
      </c>
      <c r="C4899" s="8" t="s">
        <v>4642</v>
      </c>
      <c r="D4899" s="8" t="s">
        <v>316</v>
      </c>
      <c r="E4899" s="52">
        <v>312</v>
      </c>
      <c r="F4899" s="13"/>
      <c r="G4899" s="13">
        <v>32.53</v>
      </c>
    </row>
    <row r="4900" spans="1:7" hidden="1" x14ac:dyDescent="0.75">
      <c r="A4900" s="51">
        <v>44945</v>
      </c>
      <c r="B4900" s="52">
        <v>1292</v>
      </c>
      <c r="C4900" s="8" t="s">
        <v>4643</v>
      </c>
      <c r="D4900" s="8" t="s">
        <v>316</v>
      </c>
      <c r="E4900" s="52">
        <v>312</v>
      </c>
      <c r="F4900" s="13"/>
      <c r="G4900" s="13">
        <v>65.06</v>
      </c>
    </row>
    <row r="4901" spans="1:7" hidden="1" x14ac:dyDescent="0.75">
      <c r="A4901" s="51">
        <v>44945</v>
      </c>
      <c r="B4901" s="52">
        <v>1292</v>
      </c>
      <c r="C4901" s="8" t="s">
        <v>4644</v>
      </c>
      <c r="D4901" s="8" t="s">
        <v>316</v>
      </c>
      <c r="E4901" s="52">
        <v>312</v>
      </c>
      <c r="F4901" s="13"/>
      <c r="G4901" s="13">
        <v>65.06</v>
      </c>
    </row>
    <row r="4902" spans="1:7" hidden="1" x14ac:dyDescent="0.75">
      <c r="A4902" s="51">
        <v>44945</v>
      </c>
      <c r="B4902" s="52">
        <v>1292</v>
      </c>
      <c r="C4902" s="8" t="s">
        <v>4645</v>
      </c>
      <c r="D4902" s="8" t="s">
        <v>316</v>
      </c>
      <c r="E4902" s="52">
        <v>312</v>
      </c>
      <c r="F4902" s="13"/>
      <c r="G4902" s="13">
        <v>65.06</v>
      </c>
    </row>
    <row r="4903" spans="1:7" hidden="1" x14ac:dyDescent="0.75">
      <c r="A4903" s="51">
        <v>44946</v>
      </c>
      <c r="B4903" s="52">
        <v>1292</v>
      </c>
      <c r="C4903" s="8" t="s">
        <v>4646</v>
      </c>
      <c r="D4903" s="8" t="s">
        <v>316</v>
      </c>
      <c r="E4903" s="52">
        <v>312</v>
      </c>
      <c r="F4903" s="13"/>
      <c r="G4903" s="13">
        <v>65.06</v>
      </c>
    </row>
    <row r="4904" spans="1:7" hidden="1" x14ac:dyDescent="0.75">
      <c r="A4904" s="51">
        <v>44946</v>
      </c>
      <c r="B4904" s="52">
        <v>1292</v>
      </c>
      <c r="C4904" s="8" t="s">
        <v>4647</v>
      </c>
      <c r="D4904" s="8" t="s">
        <v>316</v>
      </c>
      <c r="E4904" s="52">
        <v>312</v>
      </c>
      <c r="F4904" s="13"/>
      <c r="G4904" s="13">
        <v>32.53</v>
      </c>
    </row>
    <row r="4905" spans="1:7" hidden="1" x14ac:dyDescent="0.75">
      <c r="A4905" s="51">
        <v>44946</v>
      </c>
      <c r="B4905" s="52">
        <v>1292</v>
      </c>
      <c r="C4905" s="8" t="s">
        <v>4648</v>
      </c>
      <c r="D4905" s="8" t="s">
        <v>316</v>
      </c>
      <c r="E4905" s="52">
        <v>1362</v>
      </c>
      <c r="F4905" s="13">
        <v>130.12</v>
      </c>
      <c r="G4905" s="13"/>
    </row>
    <row r="4906" spans="1:7" hidden="1" x14ac:dyDescent="0.75">
      <c r="A4906" s="51">
        <v>44946</v>
      </c>
      <c r="B4906" s="52">
        <v>1292</v>
      </c>
      <c r="C4906" s="8" t="s">
        <v>4649</v>
      </c>
      <c r="D4906" s="8" t="s">
        <v>316</v>
      </c>
      <c r="E4906" s="52">
        <v>1362</v>
      </c>
      <c r="F4906" s="13">
        <v>65.06</v>
      </c>
      <c r="G4906" s="13"/>
    </row>
    <row r="4907" spans="1:7" hidden="1" x14ac:dyDescent="0.75">
      <c r="A4907" s="51">
        <v>44946</v>
      </c>
      <c r="B4907" s="52">
        <v>1292</v>
      </c>
      <c r="C4907" s="8" t="s">
        <v>4650</v>
      </c>
      <c r="D4907" s="8" t="s">
        <v>316</v>
      </c>
      <c r="E4907" s="52">
        <v>1362</v>
      </c>
      <c r="F4907" s="13">
        <v>32.53</v>
      </c>
      <c r="G4907" s="13"/>
    </row>
    <row r="4908" spans="1:7" hidden="1" x14ac:dyDescent="0.75">
      <c r="A4908" s="51">
        <v>44946</v>
      </c>
      <c r="B4908" s="52">
        <v>1292</v>
      </c>
      <c r="C4908" s="8" t="s">
        <v>4651</v>
      </c>
      <c r="D4908" s="8" t="s">
        <v>316</v>
      </c>
      <c r="E4908" s="52">
        <v>1362</v>
      </c>
      <c r="F4908" s="13">
        <v>192.39</v>
      </c>
      <c r="G4908" s="13"/>
    </row>
    <row r="4909" spans="1:7" hidden="1" x14ac:dyDescent="0.75">
      <c r="A4909" s="51">
        <v>44946</v>
      </c>
      <c r="B4909" s="52">
        <v>1292</v>
      </c>
      <c r="C4909" s="8" t="s">
        <v>4652</v>
      </c>
      <c r="D4909" s="8" t="s">
        <v>316</v>
      </c>
      <c r="E4909" s="52">
        <v>1362</v>
      </c>
      <c r="F4909" s="13">
        <v>32.53</v>
      </c>
      <c r="G4909" s="13"/>
    </row>
    <row r="4910" spans="1:7" hidden="1" x14ac:dyDescent="0.75">
      <c r="A4910" s="51">
        <v>44946</v>
      </c>
      <c r="B4910" s="52">
        <v>1292</v>
      </c>
      <c r="C4910" s="8" t="s">
        <v>4653</v>
      </c>
      <c r="D4910" s="8" t="s">
        <v>316</v>
      </c>
      <c r="E4910" s="52">
        <v>1362</v>
      </c>
      <c r="F4910" s="13">
        <v>32.53</v>
      </c>
      <c r="G4910" s="13"/>
    </row>
    <row r="4911" spans="1:7" hidden="1" x14ac:dyDescent="0.75">
      <c r="A4911" s="51">
        <v>44946</v>
      </c>
      <c r="B4911" s="52">
        <v>1292</v>
      </c>
      <c r="C4911" s="8" t="s">
        <v>4654</v>
      </c>
      <c r="D4911" s="8" t="s">
        <v>316</v>
      </c>
      <c r="E4911" s="52">
        <v>1362</v>
      </c>
      <c r="F4911" s="13">
        <v>65.06</v>
      </c>
      <c r="G4911" s="13"/>
    </row>
    <row r="4912" spans="1:7" hidden="1" x14ac:dyDescent="0.75">
      <c r="A4912" s="51">
        <v>44946</v>
      </c>
      <c r="B4912" s="52">
        <v>1292</v>
      </c>
      <c r="C4912" s="8" t="s">
        <v>4655</v>
      </c>
      <c r="D4912" s="8" t="s">
        <v>316</v>
      </c>
      <c r="E4912" s="52">
        <v>1362</v>
      </c>
      <c r="F4912" s="13">
        <v>65.06</v>
      </c>
      <c r="G4912" s="13"/>
    </row>
    <row r="4913" spans="1:7" hidden="1" x14ac:dyDescent="0.75">
      <c r="A4913" s="51">
        <v>44946</v>
      </c>
      <c r="B4913" s="52">
        <v>1292</v>
      </c>
      <c r="C4913" s="8" t="s">
        <v>4656</v>
      </c>
      <c r="D4913" s="8" t="s">
        <v>316</v>
      </c>
      <c r="E4913" s="52">
        <v>1362</v>
      </c>
      <c r="F4913" s="13">
        <v>32.53</v>
      </c>
      <c r="G4913" s="13"/>
    </row>
    <row r="4914" spans="1:7" hidden="1" x14ac:dyDescent="0.75">
      <c r="A4914" s="51">
        <v>44947</v>
      </c>
      <c r="B4914" s="52">
        <v>1292</v>
      </c>
      <c r="C4914" s="8" t="s">
        <v>4657</v>
      </c>
      <c r="D4914" s="8" t="s">
        <v>316</v>
      </c>
      <c r="E4914" s="52">
        <v>312</v>
      </c>
      <c r="F4914" s="13"/>
      <c r="G4914" s="13">
        <v>32.53</v>
      </c>
    </row>
    <row r="4915" spans="1:7" hidden="1" x14ac:dyDescent="0.75">
      <c r="A4915" s="51">
        <v>44947</v>
      </c>
      <c r="B4915" s="52">
        <v>1292</v>
      </c>
      <c r="C4915" s="8" t="s">
        <v>4658</v>
      </c>
      <c r="D4915" s="8" t="s">
        <v>316</v>
      </c>
      <c r="E4915" s="52">
        <v>312</v>
      </c>
      <c r="F4915" s="13"/>
      <c r="G4915" s="13">
        <v>32.53</v>
      </c>
    </row>
    <row r="4916" spans="1:7" hidden="1" x14ac:dyDescent="0.75">
      <c r="A4916" s="51">
        <v>44949</v>
      </c>
      <c r="B4916" s="52">
        <v>1292</v>
      </c>
      <c r="C4916" s="8" t="s">
        <v>4659</v>
      </c>
      <c r="D4916" s="8" t="s">
        <v>316</v>
      </c>
      <c r="E4916" s="52">
        <v>312</v>
      </c>
      <c r="F4916" s="13"/>
      <c r="G4916" s="13">
        <v>65.06</v>
      </c>
    </row>
    <row r="4917" spans="1:7" hidden="1" x14ac:dyDescent="0.75">
      <c r="A4917" s="51">
        <v>44950</v>
      </c>
      <c r="B4917" s="52">
        <v>1292</v>
      </c>
      <c r="C4917" s="8" t="s">
        <v>4660</v>
      </c>
      <c r="D4917" s="8" t="s">
        <v>316</v>
      </c>
      <c r="E4917" s="52">
        <v>312</v>
      </c>
      <c r="F4917" s="13"/>
      <c r="G4917" s="13">
        <v>65.06</v>
      </c>
    </row>
    <row r="4918" spans="1:7" hidden="1" x14ac:dyDescent="0.75">
      <c r="A4918" s="51">
        <v>44951</v>
      </c>
      <c r="B4918" s="52">
        <v>1292</v>
      </c>
      <c r="C4918" s="8" t="s">
        <v>4661</v>
      </c>
      <c r="D4918" s="8" t="s">
        <v>316</v>
      </c>
      <c r="E4918" s="52">
        <v>312</v>
      </c>
      <c r="F4918" s="13"/>
      <c r="G4918" s="13">
        <v>97.59</v>
      </c>
    </row>
    <row r="4919" spans="1:7" hidden="1" x14ac:dyDescent="0.75">
      <c r="A4919" s="51">
        <v>44951</v>
      </c>
      <c r="B4919" s="52">
        <v>1292</v>
      </c>
      <c r="C4919" s="8" t="s">
        <v>4662</v>
      </c>
      <c r="D4919" s="8" t="s">
        <v>316</v>
      </c>
      <c r="E4919" s="52">
        <v>312</v>
      </c>
      <c r="F4919" s="13"/>
      <c r="G4919" s="13">
        <v>97.59</v>
      </c>
    </row>
    <row r="4920" spans="1:7" hidden="1" x14ac:dyDescent="0.75">
      <c r="A4920" s="51">
        <v>44951</v>
      </c>
      <c r="B4920" s="52">
        <v>1292</v>
      </c>
      <c r="C4920" s="8" t="s">
        <v>4663</v>
      </c>
      <c r="D4920" s="8" t="s">
        <v>316</v>
      </c>
      <c r="E4920" s="52">
        <v>1362</v>
      </c>
      <c r="F4920" s="13">
        <v>65.06</v>
      </c>
      <c r="G4920" s="13"/>
    </row>
    <row r="4921" spans="1:7" hidden="1" x14ac:dyDescent="0.75">
      <c r="A4921" s="51">
        <v>44952</v>
      </c>
      <c r="B4921" s="52">
        <v>1292</v>
      </c>
      <c r="C4921" s="8" t="s">
        <v>4664</v>
      </c>
      <c r="D4921" s="8" t="s">
        <v>316</v>
      </c>
      <c r="E4921" s="52">
        <v>312</v>
      </c>
      <c r="F4921" s="13"/>
      <c r="G4921" s="13">
        <v>32.53</v>
      </c>
    </row>
    <row r="4922" spans="1:7" hidden="1" x14ac:dyDescent="0.75">
      <c r="A4922" s="51">
        <v>44952</v>
      </c>
      <c r="B4922" s="52">
        <v>1292</v>
      </c>
      <c r="C4922" s="8" t="s">
        <v>4665</v>
      </c>
      <c r="D4922" s="8" t="s">
        <v>316</v>
      </c>
      <c r="E4922" s="52">
        <v>312</v>
      </c>
      <c r="F4922" s="13"/>
      <c r="G4922" s="13">
        <v>65.02</v>
      </c>
    </row>
    <row r="4923" spans="1:7" hidden="1" x14ac:dyDescent="0.75">
      <c r="A4923" s="51">
        <v>44953</v>
      </c>
      <c r="B4923" s="52">
        <v>1292</v>
      </c>
      <c r="C4923" s="8" t="s">
        <v>4666</v>
      </c>
      <c r="D4923" s="8" t="s">
        <v>316</v>
      </c>
      <c r="E4923" s="52">
        <v>312</v>
      </c>
      <c r="F4923" s="13"/>
      <c r="G4923" s="13">
        <v>32.53</v>
      </c>
    </row>
    <row r="4924" spans="1:7" hidden="1" x14ac:dyDescent="0.75">
      <c r="A4924" s="51">
        <v>44954</v>
      </c>
      <c r="B4924" s="52">
        <v>1292</v>
      </c>
      <c r="C4924" s="8" t="s">
        <v>4667</v>
      </c>
      <c r="D4924" s="8" t="s">
        <v>316</v>
      </c>
      <c r="E4924" s="52">
        <v>312</v>
      </c>
      <c r="F4924" s="13"/>
      <c r="G4924" s="13">
        <v>32.53</v>
      </c>
    </row>
    <row r="4925" spans="1:7" hidden="1" x14ac:dyDescent="0.75">
      <c r="A4925" s="51">
        <v>44956</v>
      </c>
      <c r="B4925" s="52">
        <v>1292</v>
      </c>
      <c r="C4925" s="8" t="s">
        <v>4668</v>
      </c>
      <c r="D4925" s="8" t="s">
        <v>316</v>
      </c>
      <c r="E4925" s="52">
        <v>312</v>
      </c>
      <c r="F4925" s="13"/>
      <c r="G4925" s="13">
        <v>32.53</v>
      </c>
    </row>
    <row r="4926" spans="1:7" hidden="1" x14ac:dyDescent="0.75">
      <c r="A4926" s="51">
        <v>44957</v>
      </c>
      <c r="B4926" s="52">
        <v>1292</v>
      </c>
      <c r="C4926" s="8" t="s">
        <v>4669</v>
      </c>
      <c r="D4926" s="8" t="s">
        <v>316</v>
      </c>
      <c r="E4926" s="52">
        <v>312</v>
      </c>
      <c r="F4926" s="13"/>
      <c r="G4926" s="13">
        <v>32.53</v>
      </c>
    </row>
    <row r="4927" spans="1:7" hidden="1" x14ac:dyDescent="0.75">
      <c r="A4927" s="51">
        <v>44952</v>
      </c>
      <c r="B4927" s="52">
        <v>1294</v>
      </c>
      <c r="C4927" s="8" t="s">
        <v>4407</v>
      </c>
      <c r="D4927" s="8" t="s">
        <v>1345</v>
      </c>
      <c r="E4927" s="52">
        <v>55</v>
      </c>
      <c r="F4927" s="13"/>
      <c r="G4927" s="13">
        <v>144</v>
      </c>
    </row>
    <row r="4928" spans="1:7" hidden="1" x14ac:dyDescent="0.75">
      <c r="A4928" s="51">
        <v>44929</v>
      </c>
      <c r="B4928" s="52">
        <v>1306</v>
      </c>
      <c r="C4928" s="8" t="s">
        <v>3775</v>
      </c>
      <c r="D4928" s="8" t="s">
        <v>320</v>
      </c>
      <c r="E4928" s="52">
        <v>55</v>
      </c>
      <c r="F4928" s="13"/>
      <c r="G4928" s="13">
        <v>2020</v>
      </c>
    </row>
    <row r="4929" spans="1:7" hidden="1" x14ac:dyDescent="0.75">
      <c r="A4929" s="51">
        <v>44929</v>
      </c>
      <c r="B4929" s="52">
        <v>1306</v>
      </c>
      <c r="C4929" s="8" t="s">
        <v>3776</v>
      </c>
      <c r="D4929" s="8" t="s">
        <v>320</v>
      </c>
      <c r="E4929" s="52">
        <v>55</v>
      </c>
      <c r="F4929" s="13"/>
      <c r="G4929" s="13">
        <v>2105</v>
      </c>
    </row>
    <row r="4930" spans="1:7" hidden="1" x14ac:dyDescent="0.75">
      <c r="A4930" s="51">
        <v>44929</v>
      </c>
      <c r="B4930" s="52">
        <v>1306</v>
      </c>
      <c r="C4930" s="8" t="s">
        <v>3777</v>
      </c>
      <c r="D4930" s="8" t="s">
        <v>320</v>
      </c>
      <c r="E4930" s="52">
        <v>55</v>
      </c>
      <c r="F4930" s="13"/>
      <c r="G4930" s="13">
        <v>2020</v>
      </c>
    </row>
    <row r="4931" spans="1:7" hidden="1" x14ac:dyDescent="0.75">
      <c r="A4931" s="51">
        <v>44932</v>
      </c>
      <c r="B4931" s="52">
        <v>1306</v>
      </c>
      <c r="C4931" s="8" t="s">
        <v>3865</v>
      </c>
      <c r="D4931" s="8" t="s">
        <v>320</v>
      </c>
      <c r="E4931" s="52">
        <v>55</v>
      </c>
      <c r="F4931" s="13"/>
      <c r="G4931" s="13">
        <v>1185</v>
      </c>
    </row>
    <row r="4932" spans="1:7" hidden="1" x14ac:dyDescent="0.75">
      <c r="A4932" s="51">
        <v>44932</v>
      </c>
      <c r="B4932" s="52">
        <v>1306</v>
      </c>
      <c r="C4932" s="8" t="s">
        <v>3866</v>
      </c>
      <c r="D4932" s="8" t="s">
        <v>320</v>
      </c>
      <c r="E4932" s="52">
        <v>55</v>
      </c>
      <c r="F4932" s="13"/>
      <c r="G4932" s="13">
        <v>2350</v>
      </c>
    </row>
    <row r="4933" spans="1:7" hidden="1" x14ac:dyDescent="0.75">
      <c r="A4933" s="51">
        <v>44932</v>
      </c>
      <c r="B4933" s="52">
        <v>1306</v>
      </c>
      <c r="C4933" s="8" t="s">
        <v>3867</v>
      </c>
      <c r="D4933" s="8" t="s">
        <v>320</v>
      </c>
      <c r="E4933" s="52">
        <v>55</v>
      </c>
      <c r="F4933" s="13"/>
      <c r="G4933" s="13">
        <v>3235</v>
      </c>
    </row>
    <row r="4934" spans="1:7" hidden="1" x14ac:dyDescent="0.75">
      <c r="A4934" s="51">
        <v>44933</v>
      </c>
      <c r="B4934" s="52">
        <v>1306</v>
      </c>
      <c r="C4934" s="8" t="s">
        <v>3903</v>
      </c>
      <c r="D4934" s="8" t="s">
        <v>320</v>
      </c>
      <c r="E4934" s="52">
        <v>55</v>
      </c>
      <c r="F4934" s="13"/>
      <c r="G4934" s="13">
        <v>1995</v>
      </c>
    </row>
    <row r="4935" spans="1:7" hidden="1" x14ac:dyDescent="0.75">
      <c r="A4935" s="51">
        <v>44933</v>
      </c>
      <c r="B4935" s="52">
        <v>1306</v>
      </c>
      <c r="C4935" s="8" t="s">
        <v>3910</v>
      </c>
      <c r="D4935" s="8" t="s">
        <v>320</v>
      </c>
      <c r="E4935" s="52">
        <v>55</v>
      </c>
      <c r="F4935" s="13">
        <v>120</v>
      </c>
      <c r="G4935" s="13"/>
    </row>
    <row r="4936" spans="1:7" hidden="1" x14ac:dyDescent="0.75">
      <c r="A4936" s="51">
        <v>44935</v>
      </c>
      <c r="B4936" s="52">
        <v>1306</v>
      </c>
      <c r="C4936" s="8" t="s">
        <v>1593</v>
      </c>
      <c r="D4936" s="8" t="s">
        <v>320</v>
      </c>
      <c r="E4936" s="52">
        <v>8</v>
      </c>
      <c r="F4936" s="13">
        <v>7665</v>
      </c>
      <c r="G4936" s="13"/>
    </row>
    <row r="4937" spans="1:7" hidden="1" x14ac:dyDescent="0.75">
      <c r="A4937" s="51">
        <v>44936</v>
      </c>
      <c r="B4937" s="52">
        <v>1306</v>
      </c>
      <c r="C4937" s="8" t="s">
        <v>3975</v>
      </c>
      <c r="D4937" s="8" t="s">
        <v>320</v>
      </c>
      <c r="E4937" s="52">
        <v>55</v>
      </c>
      <c r="F4937" s="13"/>
      <c r="G4937" s="13">
        <v>2725</v>
      </c>
    </row>
    <row r="4938" spans="1:7" hidden="1" x14ac:dyDescent="0.75">
      <c r="A4938" s="51">
        <v>44936</v>
      </c>
      <c r="B4938" s="52">
        <v>1306</v>
      </c>
      <c r="C4938" s="8" t="s">
        <v>3976</v>
      </c>
      <c r="D4938" s="8" t="s">
        <v>320</v>
      </c>
      <c r="E4938" s="52">
        <v>55</v>
      </c>
      <c r="F4938" s="13"/>
      <c r="G4938" s="13">
        <v>2965</v>
      </c>
    </row>
    <row r="4939" spans="1:7" hidden="1" x14ac:dyDescent="0.75">
      <c r="A4939" s="51">
        <v>44936</v>
      </c>
      <c r="B4939" s="52">
        <v>1306</v>
      </c>
      <c r="C4939" s="8" t="s">
        <v>1593</v>
      </c>
      <c r="D4939" s="8" t="s">
        <v>320</v>
      </c>
      <c r="E4939" s="52">
        <v>8</v>
      </c>
      <c r="F4939" s="13">
        <v>11730</v>
      </c>
      <c r="G4939" s="13"/>
    </row>
    <row r="4940" spans="1:7" hidden="1" x14ac:dyDescent="0.75">
      <c r="A4940" s="51">
        <v>44936</v>
      </c>
      <c r="B4940" s="52">
        <v>1306</v>
      </c>
      <c r="C4940" s="8" t="s">
        <v>1593</v>
      </c>
      <c r="D4940" s="8" t="s">
        <v>320</v>
      </c>
      <c r="E4940" s="52">
        <v>8</v>
      </c>
      <c r="F4940" s="13">
        <v>12745</v>
      </c>
      <c r="G4940" s="13"/>
    </row>
    <row r="4941" spans="1:7" hidden="1" x14ac:dyDescent="0.75">
      <c r="A4941" s="51">
        <v>44938</v>
      </c>
      <c r="B4941" s="52">
        <v>1306</v>
      </c>
      <c r="C4941" s="8" t="s">
        <v>4029</v>
      </c>
      <c r="D4941" s="8" t="s">
        <v>320</v>
      </c>
      <c r="E4941" s="52">
        <v>55</v>
      </c>
      <c r="F4941" s="13"/>
      <c r="G4941" s="13">
        <v>2890</v>
      </c>
    </row>
    <row r="4942" spans="1:7" hidden="1" x14ac:dyDescent="0.75">
      <c r="A4942" s="51">
        <v>44938</v>
      </c>
      <c r="B4942" s="52">
        <v>1306</v>
      </c>
      <c r="C4942" s="8" t="s">
        <v>4030</v>
      </c>
      <c r="D4942" s="8" t="s">
        <v>320</v>
      </c>
      <c r="E4942" s="52">
        <v>55</v>
      </c>
      <c r="F4942" s="13"/>
      <c r="G4942" s="13">
        <v>2020</v>
      </c>
    </row>
    <row r="4943" spans="1:7" hidden="1" x14ac:dyDescent="0.75">
      <c r="A4943" s="51">
        <v>44940</v>
      </c>
      <c r="B4943" s="52">
        <v>1306</v>
      </c>
      <c r="C4943" s="8" t="s">
        <v>4101</v>
      </c>
      <c r="D4943" s="8" t="s">
        <v>320</v>
      </c>
      <c r="E4943" s="52">
        <v>55</v>
      </c>
      <c r="F4943" s="13"/>
      <c r="G4943" s="13">
        <v>3500</v>
      </c>
    </row>
    <row r="4944" spans="1:7" hidden="1" x14ac:dyDescent="0.75">
      <c r="A4944" s="51">
        <v>44940</v>
      </c>
      <c r="B4944" s="52">
        <v>1306</v>
      </c>
      <c r="C4944" s="8" t="s">
        <v>4102</v>
      </c>
      <c r="D4944" s="8" t="s">
        <v>320</v>
      </c>
      <c r="E4944" s="52">
        <v>55</v>
      </c>
      <c r="F4944" s="13"/>
      <c r="G4944" s="13">
        <v>1275</v>
      </c>
    </row>
    <row r="4945" spans="1:7" hidden="1" x14ac:dyDescent="0.75">
      <c r="A4945" s="51">
        <v>44944</v>
      </c>
      <c r="B4945" s="52">
        <v>1306</v>
      </c>
      <c r="C4945" s="8" t="s">
        <v>4187</v>
      </c>
      <c r="D4945" s="8" t="s">
        <v>320</v>
      </c>
      <c r="E4945" s="52">
        <v>55</v>
      </c>
      <c r="F4945" s="13"/>
      <c r="G4945" s="13">
        <v>4483</v>
      </c>
    </row>
    <row r="4946" spans="1:7" hidden="1" x14ac:dyDescent="0.75">
      <c r="A4946" s="51">
        <v>44944</v>
      </c>
      <c r="B4946" s="52">
        <v>1306</v>
      </c>
      <c r="C4946" s="8" t="s">
        <v>4188</v>
      </c>
      <c r="D4946" s="8" t="s">
        <v>320</v>
      </c>
      <c r="E4946" s="52">
        <v>55</v>
      </c>
      <c r="F4946" s="13"/>
      <c r="G4946" s="13">
        <v>2021</v>
      </c>
    </row>
    <row r="4947" spans="1:7" hidden="1" x14ac:dyDescent="0.75">
      <c r="A4947" s="51">
        <v>44944</v>
      </c>
      <c r="B4947" s="52">
        <v>1306</v>
      </c>
      <c r="C4947" s="8" t="s">
        <v>4189</v>
      </c>
      <c r="D4947" s="8" t="s">
        <v>320</v>
      </c>
      <c r="E4947" s="52">
        <v>55</v>
      </c>
      <c r="F4947" s="13"/>
      <c r="G4947" s="13">
        <v>2027</v>
      </c>
    </row>
    <row r="4948" spans="1:7" hidden="1" x14ac:dyDescent="0.75">
      <c r="A4948" s="51">
        <v>44946</v>
      </c>
      <c r="B4948" s="52">
        <v>1306</v>
      </c>
      <c r="C4948" s="8" t="s">
        <v>1750</v>
      </c>
      <c r="D4948" s="8" t="s">
        <v>320</v>
      </c>
      <c r="E4948" s="52">
        <v>8</v>
      </c>
      <c r="F4948" s="13">
        <v>1860</v>
      </c>
      <c r="G4948" s="13"/>
    </row>
    <row r="4949" spans="1:7" hidden="1" x14ac:dyDescent="0.75">
      <c r="A4949" s="51">
        <v>44946</v>
      </c>
      <c r="B4949" s="52">
        <v>1306</v>
      </c>
      <c r="C4949" s="8" t="s">
        <v>1751</v>
      </c>
      <c r="D4949" s="8" t="s">
        <v>320</v>
      </c>
      <c r="E4949" s="52">
        <v>8</v>
      </c>
      <c r="F4949" s="13">
        <v>1675</v>
      </c>
      <c r="G4949" s="13"/>
    </row>
    <row r="4950" spans="1:7" hidden="1" x14ac:dyDescent="0.75">
      <c r="A4950" s="51">
        <v>44946</v>
      </c>
      <c r="B4950" s="52">
        <v>1306</v>
      </c>
      <c r="C4950" s="8" t="s">
        <v>1752</v>
      </c>
      <c r="D4950" s="8" t="s">
        <v>320</v>
      </c>
      <c r="E4950" s="52">
        <v>8</v>
      </c>
      <c r="F4950" s="13">
        <v>2330</v>
      </c>
      <c r="G4950" s="13"/>
    </row>
    <row r="4951" spans="1:7" hidden="1" x14ac:dyDescent="0.75">
      <c r="A4951" s="51">
        <v>44946</v>
      </c>
      <c r="B4951" s="52">
        <v>1306</v>
      </c>
      <c r="C4951" s="8" t="s">
        <v>1753</v>
      </c>
      <c r="D4951" s="8" t="s">
        <v>320</v>
      </c>
      <c r="E4951" s="52">
        <v>8</v>
      </c>
      <c r="F4951" s="13">
        <v>1655</v>
      </c>
      <c r="G4951" s="13"/>
    </row>
    <row r="4952" spans="1:7" hidden="1" x14ac:dyDescent="0.75">
      <c r="A4952" s="51">
        <v>44946</v>
      </c>
      <c r="B4952" s="52">
        <v>1306</v>
      </c>
      <c r="C4952" s="8" t="s">
        <v>1593</v>
      </c>
      <c r="D4952" s="8" t="s">
        <v>320</v>
      </c>
      <c r="E4952" s="52">
        <v>8</v>
      </c>
      <c r="F4952" s="13">
        <v>4445</v>
      </c>
      <c r="G4952" s="13"/>
    </row>
    <row r="4953" spans="1:7" hidden="1" x14ac:dyDescent="0.75">
      <c r="A4953" s="51">
        <v>44947</v>
      </c>
      <c r="B4953" s="52">
        <v>1306</v>
      </c>
      <c r="C4953" s="8" t="s">
        <v>4273</v>
      </c>
      <c r="D4953" s="8" t="s">
        <v>320</v>
      </c>
      <c r="E4953" s="52">
        <v>55</v>
      </c>
      <c r="F4953" s="13"/>
      <c r="G4953" s="13">
        <v>1719</v>
      </c>
    </row>
    <row r="4954" spans="1:7" hidden="1" x14ac:dyDescent="0.75">
      <c r="A4954" s="51">
        <v>44947</v>
      </c>
      <c r="B4954" s="52">
        <v>1306</v>
      </c>
      <c r="C4954" s="8" t="s">
        <v>4274</v>
      </c>
      <c r="D4954" s="8" t="s">
        <v>320</v>
      </c>
      <c r="E4954" s="52">
        <v>55</v>
      </c>
      <c r="F4954" s="13"/>
      <c r="G4954" s="13">
        <v>3680</v>
      </c>
    </row>
    <row r="4955" spans="1:7" hidden="1" x14ac:dyDescent="0.75">
      <c r="A4955" s="51">
        <v>44947</v>
      </c>
      <c r="B4955" s="52">
        <v>1306</v>
      </c>
      <c r="C4955" s="8" t="s">
        <v>4275</v>
      </c>
      <c r="D4955" s="8" t="s">
        <v>320</v>
      </c>
      <c r="E4955" s="52">
        <v>55</v>
      </c>
      <c r="F4955" s="13"/>
      <c r="G4955" s="13">
        <v>997</v>
      </c>
    </row>
    <row r="4956" spans="1:7" hidden="1" x14ac:dyDescent="0.75">
      <c r="A4956" s="51">
        <v>44951</v>
      </c>
      <c r="B4956" s="52">
        <v>1306</v>
      </c>
      <c r="C4956" s="8" t="s">
        <v>4373</v>
      </c>
      <c r="D4956" s="8" t="s">
        <v>320</v>
      </c>
      <c r="E4956" s="52">
        <v>55</v>
      </c>
      <c r="F4956" s="13"/>
      <c r="G4956" s="13">
        <v>2625</v>
      </c>
    </row>
    <row r="4957" spans="1:7" hidden="1" x14ac:dyDescent="0.75">
      <c r="A4957" s="51">
        <v>44951</v>
      </c>
      <c r="B4957" s="52">
        <v>1306</v>
      </c>
      <c r="C4957" s="8" t="s">
        <v>4374</v>
      </c>
      <c r="D4957" s="8" t="s">
        <v>320</v>
      </c>
      <c r="E4957" s="52">
        <v>55</v>
      </c>
      <c r="F4957" s="13"/>
      <c r="G4957" s="13">
        <v>1725</v>
      </c>
    </row>
    <row r="4958" spans="1:7" hidden="1" x14ac:dyDescent="0.75">
      <c r="A4958" s="51">
        <v>44951</v>
      </c>
      <c r="B4958" s="52">
        <v>1306</v>
      </c>
      <c r="C4958" s="8" t="s">
        <v>4375</v>
      </c>
      <c r="D4958" s="8" t="s">
        <v>320</v>
      </c>
      <c r="E4958" s="52">
        <v>55</v>
      </c>
      <c r="F4958" s="13"/>
      <c r="G4958" s="13">
        <v>2065</v>
      </c>
    </row>
    <row r="4959" spans="1:7" hidden="1" x14ac:dyDescent="0.75">
      <c r="A4959" s="51">
        <v>44954</v>
      </c>
      <c r="B4959" s="52">
        <v>1306</v>
      </c>
      <c r="C4959" s="8" t="s">
        <v>4471</v>
      </c>
      <c r="D4959" s="8" t="s">
        <v>320</v>
      </c>
      <c r="E4959" s="52">
        <v>55</v>
      </c>
      <c r="F4959" s="13"/>
      <c r="G4959" s="13">
        <v>1540</v>
      </c>
    </row>
    <row r="4960" spans="1:7" hidden="1" x14ac:dyDescent="0.75">
      <c r="A4960" s="51">
        <v>44954</v>
      </c>
      <c r="B4960" s="52">
        <v>1306</v>
      </c>
      <c r="C4960" s="8" t="s">
        <v>4472</v>
      </c>
      <c r="D4960" s="8" t="s">
        <v>320</v>
      </c>
      <c r="E4960" s="52">
        <v>55</v>
      </c>
      <c r="F4960" s="13"/>
      <c r="G4960" s="13">
        <v>2800</v>
      </c>
    </row>
    <row r="4961" spans="1:7" hidden="1" x14ac:dyDescent="0.75">
      <c r="A4961" s="51">
        <v>44954</v>
      </c>
      <c r="B4961" s="52">
        <v>1306</v>
      </c>
      <c r="C4961" s="8" t="s">
        <v>4473</v>
      </c>
      <c r="D4961" s="8" t="s">
        <v>320</v>
      </c>
      <c r="E4961" s="52">
        <v>55</v>
      </c>
      <c r="F4961" s="13"/>
      <c r="G4961" s="13">
        <v>290</v>
      </c>
    </row>
    <row r="4962" spans="1:7" hidden="1" x14ac:dyDescent="0.75">
      <c r="A4962" s="51">
        <v>44957</v>
      </c>
      <c r="B4962" s="52">
        <v>1306</v>
      </c>
      <c r="C4962" s="8" t="s">
        <v>4534</v>
      </c>
      <c r="D4962" s="8" t="s">
        <v>320</v>
      </c>
      <c r="E4962" s="52">
        <v>55</v>
      </c>
      <c r="F4962" s="13"/>
      <c r="G4962" s="13">
        <v>3655</v>
      </c>
    </row>
    <row r="4963" spans="1:7" hidden="1" x14ac:dyDescent="0.75">
      <c r="A4963" s="51">
        <v>44957</v>
      </c>
      <c r="B4963" s="52">
        <v>1306</v>
      </c>
      <c r="C4963" s="8" t="s">
        <v>4535</v>
      </c>
      <c r="D4963" s="8" t="s">
        <v>320</v>
      </c>
      <c r="E4963" s="52">
        <v>55</v>
      </c>
      <c r="F4963" s="13"/>
      <c r="G4963" s="13">
        <v>2590</v>
      </c>
    </row>
    <row r="4964" spans="1:7" hidden="1" x14ac:dyDescent="0.75">
      <c r="A4964" s="51">
        <v>44928</v>
      </c>
      <c r="B4964" s="52">
        <v>1325</v>
      </c>
      <c r="C4964" s="8" t="s">
        <v>4670</v>
      </c>
      <c r="D4964" s="8" t="s">
        <v>321</v>
      </c>
      <c r="E4964" s="52">
        <v>664</v>
      </c>
      <c r="F4964" s="13"/>
      <c r="G4964" s="13">
        <v>1642</v>
      </c>
    </row>
    <row r="4965" spans="1:7" hidden="1" x14ac:dyDescent="0.75">
      <c r="A4965" s="51">
        <v>44931</v>
      </c>
      <c r="B4965" s="52">
        <v>1325</v>
      </c>
      <c r="C4965" s="8" t="s">
        <v>1560</v>
      </c>
      <c r="D4965" s="8" t="s">
        <v>321</v>
      </c>
      <c r="E4965" s="52">
        <v>8</v>
      </c>
      <c r="F4965" s="13">
        <v>1642</v>
      </c>
      <c r="G4965" s="13"/>
    </row>
    <row r="4966" spans="1:7" hidden="1" x14ac:dyDescent="0.75">
      <c r="A4966" s="51">
        <v>44934</v>
      </c>
      <c r="B4966" s="52">
        <v>1327</v>
      </c>
      <c r="C4966" s="8" t="s">
        <v>4671</v>
      </c>
      <c r="D4966" s="8" t="s">
        <v>323</v>
      </c>
      <c r="E4966" s="52">
        <v>662</v>
      </c>
      <c r="F4966" s="13"/>
      <c r="G4966" s="13">
        <v>834</v>
      </c>
    </row>
    <row r="4967" spans="1:7" hidden="1" x14ac:dyDescent="0.75">
      <c r="A4967" s="51">
        <v>44949</v>
      </c>
      <c r="B4967" s="52">
        <v>1327</v>
      </c>
      <c r="C4967" s="8" t="s">
        <v>1781</v>
      </c>
      <c r="D4967" s="8" t="s">
        <v>323</v>
      </c>
      <c r="E4967" s="52">
        <v>8</v>
      </c>
      <c r="F4967" s="13">
        <v>834</v>
      </c>
      <c r="G4967" s="13"/>
    </row>
    <row r="4968" spans="1:7" hidden="1" x14ac:dyDescent="0.75">
      <c r="A4968" s="51">
        <v>44957</v>
      </c>
      <c r="B4968" s="52">
        <v>1331</v>
      </c>
      <c r="C4968" s="8" t="s">
        <v>4672</v>
      </c>
      <c r="D4968" s="8" t="s">
        <v>325</v>
      </c>
      <c r="E4968" s="52">
        <v>312</v>
      </c>
      <c r="F4968" s="13"/>
      <c r="G4968" s="13">
        <v>13400</v>
      </c>
    </row>
    <row r="4969" spans="1:7" hidden="1" x14ac:dyDescent="0.75">
      <c r="A4969" s="51">
        <v>44928</v>
      </c>
      <c r="B4969" s="52">
        <v>1359</v>
      </c>
      <c r="C4969" s="8" t="s">
        <v>4673</v>
      </c>
      <c r="D4969" s="8" t="s">
        <v>330</v>
      </c>
      <c r="E4969" s="52">
        <v>660</v>
      </c>
      <c r="F4969" s="13"/>
      <c r="G4969" s="13">
        <v>80</v>
      </c>
    </row>
    <row r="4970" spans="1:7" hidden="1" x14ac:dyDescent="0.75">
      <c r="A4970" s="51">
        <v>44950</v>
      </c>
      <c r="B4970" s="52">
        <v>1359</v>
      </c>
      <c r="C4970" s="8" t="s">
        <v>1786</v>
      </c>
      <c r="D4970" s="8" t="s">
        <v>330</v>
      </c>
      <c r="E4970" s="52">
        <v>8</v>
      </c>
      <c r="F4970" s="13">
        <v>400</v>
      </c>
      <c r="G4970" s="13"/>
    </row>
    <row r="4971" spans="1:7" hidden="1" x14ac:dyDescent="0.75">
      <c r="A4971" s="51">
        <v>44957</v>
      </c>
      <c r="B4971" s="52">
        <v>1359</v>
      </c>
      <c r="C4971" s="8" t="s">
        <v>4674</v>
      </c>
      <c r="D4971" s="8" t="s">
        <v>330</v>
      </c>
      <c r="E4971" s="52">
        <v>660</v>
      </c>
      <c r="F4971" s="13"/>
      <c r="G4971" s="13">
        <v>320</v>
      </c>
    </row>
    <row r="4972" spans="1:7" hidden="1" x14ac:dyDescent="0.75">
      <c r="A4972" s="51">
        <v>44928</v>
      </c>
      <c r="B4972" s="52">
        <v>1365</v>
      </c>
      <c r="C4972" s="8" t="s">
        <v>3736</v>
      </c>
      <c r="D4972" s="8" t="s">
        <v>332</v>
      </c>
      <c r="E4972" s="52">
        <v>55</v>
      </c>
      <c r="F4972" s="13"/>
      <c r="G4972" s="13">
        <v>640.6</v>
      </c>
    </row>
    <row r="4973" spans="1:7" hidden="1" x14ac:dyDescent="0.75">
      <c r="A4973" s="51">
        <v>44928</v>
      </c>
      <c r="B4973" s="52">
        <v>1365</v>
      </c>
      <c r="C4973" s="8" t="s">
        <v>1496</v>
      </c>
      <c r="D4973" s="8" t="s">
        <v>332</v>
      </c>
      <c r="E4973" s="52">
        <v>8</v>
      </c>
      <c r="F4973" s="13">
        <v>265</v>
      </c>
      <c r="G4973" s="13"/>
    </row>
    <row r="4974" spans="1:7" hidden="1" x14ac:dyDescent="0.75">
      <c r="A4974" s="51">
        <v>44928</v>
      </c>
      <c r="B4974" s="52">
        <v>1365</v>
      </c>
      <c r="C4974" s="8" t="s">
        <v>1516</v>
      </c>
      <c r="D4974" s="8" t="s">
        <v>332</v>
      </c>
      <c r="E4974" s="52">
        <v>8</v>
      </c>
      <c r="F4974" s="13">
        <v>215</v>
      </c>
      <c r="G4974" s="13"/>
    </row>
    <row r="4975" spans="1:7" hidden="1" x14ac:dyDescent="0.75">
      <c r="A4975" s="51">
        <v>44928</v>
      </c>
      <c r="B4975" s="52">
        <v>1365</v>
      </c>
      <c r="C4975" s="8" t="s">
        <v>1517</v>
      </c>
      <c r="D4975" s="8" t="s">
        <v>332</v>
      </c>
      <c r="E4975" s="52">
        <v>8</v>
      </c>
      <c r="F4975" s="13">
        <v>500</v>
      </c>
      <c r="G4975" s="13"/>
    </row>
    <row r="4976" spans="1:7" hidden="1" x14ac:dyDescent="0.75">
      <c r="A4976" s="51">
        <v>44929</v>
      </c>
      <c r="B4976" s="52">
        <v>1365</v>
      </c>
      <c r="C4976" s="8" t="s">
        <v>3772</v>
      </c>
      <c r="D4976" s="8" t="s">
        <v>332</v>
      </c>
      <c r="E4976" s="52">
        <v>55</v>
      </c>
      <c r="F4976" s="13"/>
      <c r="G4976" s="13">
        <v>480</v>
      </c>
    </row>
    <row r="4977" spans="1:7" hidden="1" x14ac:dyDescent="0.75">
      <c r="A4977" s="51">
        <v>44930</v>
      </c>
      <c r="B4977" s="52">
        <v>1365</v>
      </c>
      <c r="C4977" s="8" t="s">
        <v>1548</v>
      </c>
      <c r="D4977" s="8" t="s">
        <v>332</v>
      </c>
      <c r="E4977" s="52">
        <v>8</v>
      </c>
      <c r="F4977" s="13">
        <v>645</v>
      </c>
      <c r="G4977" s="13"/>
    </row>
    <row r="4978" spans="1:7" hidden="1" x14ac:dyDescent="0.75">
      <c r="A4978" s="51">
        <v>44931</v>
      </c>
      <c r="B4978" s="52">
        <v>1365</v>
      </c>
      <c r="C4978" s="8" t="s">
        <v>1552</v>
      </c>
      <c r="D4978" s="8" t="s">
        <v>332</v>
      </c>
      <c r="E4978" s="52">
        <v>8</v>
      </c>
      <c r="F4978" s="13">
        <v>515</v>
      </c>
      <c r="G4978" s="13"/>
    </row>
    <row r="4979" spans="1:7" hidden="1" x14ac:dyDescent="0.75">
      <c r="A4979" s="51">
        <v>44932</v>
      </c>
      <c r="B4979" s="52">
        <v>1365</v>
      </c>
      <c r="C4979" s="8" t="s">
        <v>3861</v>
      </c>
      <c r="D4979" s="8" t="s">
        <v>332</v>
      </c>
      <c r="E4979" s="52">
        <v>55</v>
      </c>
      <c r="F4979" s="13"/>
      <c r="G4979" s="13">
        <v>328</v>
      </c>
    </row>
    <row r="4980" spans="1:7" hidden="1" x14ac:dyDescent="0.75">
      <c r="A4980" s="51">
        <v>44932</v>
      </c>
      <c r="B4980" s="52">
        <v>1365</v>
      </c>
      <c r="C4980" s="8" t="s">
        <v>1569</v>
      </c>
      <c r="D4980" s="8" t="s">
        <v>332</v>
      </c>
      <c r="E4980" s="52">
        <v>8</v>
      </c>
      <c r="F4980" s="13">
        <v>300</v>
      </c>
      <c r="G4980" s="13"/>
    </row>
    <row r="4981" spans="1:7" hidden="1" x14ac:dyDescent="0.75">
      <c r="A4981" s="51">
        <v>44933</v>
      </c>
      <c r="B4981" s="52">
        <v>1365</v>
      </c>
      <c r="C4981" s="8" t="s">
        <v>3897</v>
      </c>
      <c r="D4981" s="8" t="s">
        <v>332</v>
      </c>
      <c r="E4981" s="52">
        <v>55</v>
      </c>
      <c r="F4981" s="13"/>
      <c r="G4981" s="13">
        <v>624</v>
      </c>
    </row>
    <row r="4982" spans="1:7" hidden="1" x14ac:dyDescent="0.75">
      <c r="A4982" s="51">
        <v>44935</v>
      </c>
      <c r="B4982" s="52">
        <v>1365</v>
      </c>
      <c r="C4982" s="8" t="s">
        <v>3935</v>
      </c>
      <c r="D4982" s="8" t="s">
        <v>332</v>
      </c>
      <c r="E4982" s="52">
        <v>55</v>
      </c>
      <c r="F4982" s="13"/>
      <c r="G4982" s="13">
        <v>385</v>
      </c>
    </row>
    <row r="4983" spans="1:7" hidden="1" x14ac:dyDescent="0.75">
      <c r="A4983" s="51">
        <v>44935</v>
      </c>
      <c r="B4983" s="52">
        <v>1365</v>
      </c>
      <c r="C4983" s="8" t="s">
        <v>1591</v>
      </c>
      <c r="D4983" s="8" t="s">
        <v>332</v>
      </c>
      <c r="E4983" s="52">
        <v>8</v>
      </c>
      <c r="F4983" s="13">
        <v>595</v>
      </c>
      <c r="G4983" s="13"/>
    </row>
    <row r="4984" spans="1:7" hidden="1" x14ac:dyDescent="0.75">
      <c r="A4984" s="51">
        <v>44935</v>
      </c>
      <c r="B4984" s="52">
        <v>1365</v>
      </c>
      <c r="C4984" s="8" t="s">
        <v>1592</v>
      </c>
      <c r="D4984" s="8" t="s">
        <v>332</v>
      </c>
      <c r="E4984" s="52">
        <v>8</v>
      </c>
      <c r="F4984" s="13">
        <v>564</v>
      </c>
      <c r="G4984" s="13"/>
    </row>
    <row r="4985" spans="1:7" hidden="1" x14ac:dyDescent="0.75">
      <c r="A4985" s="51">
        <v>44936</v>
      </c>
      <c r="B4985" s="52">
        <v>1365</v>
      </c>
      <c r="C4985" s="8" t="s">
        <v>3971</v>
      </c>
      <c r="D4985" s="8" t="s">
        <v>332</v>
      </c>
      <c r="E4985" s="52">
        <v>55</v>
      </c>
      <c r="F4985" s="13"/>
      <c r="G4985" s="13">
        <v>552</v>
      </c>
    </row>
    <row r="4986" spans="1:7" hidden="1" x14ac:dyDescent="0.75">
      <c r="A4986" s="51">
        <v>44937</v>
      </c>
      <c r="B4986" s="52">
        <v>1365</v>
      </c>
      <c r="C4986" s="8" t="s">
        <v>1640</v>
      </c>
      <c r="D4986" s="8" t="s">
        <v>332</v>
      </c>
      <c r="E4986" s="52">
        <v>8</v>
      </c>
      <c r="F4986" s="13">
        <v>665</v>
      </c>
      <c r="G4986" s="13"/>
    </row>
    <row r="4987" spans="1:7" hidden="1" x14ac:dyDescent="0.75">
      <c r="A4987" s="51">
        <v>44938</v>
      </c>
      <c r="B4987" s="52">
        <v>1365</v>
      </c>
      <c r="C4987" s="8" t="s">
        <v>1653</v>
      </c>
      <c r="D4987" s="8" t="s">
        <v>332</v>
      </c>
      <c r="E4987" s="52">
        <v>8</v>
      </c>
      <c r="F4987" s="13">
        <v>765</v>
      </c>
      <c r="G4987" s="13"/>
    </row>
    <row r="4988" spans="1:7" hidden="1" x14ac:dyDescent="0.75">
      <c r="A4988" s="51">
        <v>44939</v>
      </c>
      <c r="B4988" s="52">
        <v>1365</v>
      </c>
      <c r="C4988" s="8" t="s">
        <v>4059</v>
      </c>
      <c r="D4988" s="8" t="s">
        <v>332</v>
      </c>
      <c r="E4988" s="52">
        <v>55</v>
      </c>
      <c r="F4988" s="13"/>
      <c r="G4988" s="13">
        <v>1426</v>
      </c>
    </row>
    <row r="4989" spans="1:7" hidden="1" x14ac:dyDescent="0.75">
      <c r="A4989" s="51">
        <v>44939</v>
      </c>
      <c r="B4989" s="52">
        <v>1365</v>
      </c>
      <c r="C4989" s="8" t="s">
        <v>1662</v>
      </c>
      <c r="D4989" s="8" t="s">
        <v>332</v>
      </c>
      <c r="E4989" s="52">
        <v>8</v>
      </c>
      <c r="F4989" s="13">
        <v>500</v>
      </c>
      <c r="G4989" s="13"/>
    </row>
    <row r="4990" spans="1:7" hidden="1" x14ac:dyDescent="0.75">
      <c r="A4990" s="51">
        <v>44940</v>
      </c>
      <c r="B4990" s="52">
        <v>1365</v>
      </c>
      <c r="C4990" s="8" t="s">
        <v>4097</v>
      </c>
      <c r="D4990" s="8" t="s">
        <v>332</v>
      </c>
      <c r="E4990" s="52">
        <v>55</v>
      </c>
      <c r="F4990" s="13"/>
      <c r="G4990" s="13">
        <v>1104</v>
      </c>
    </row>
    <row r="4991" spans="1:7" hidden="1" x14ac:dyDescent="0.75">
      <c r="A4991" s="51">
        <v>44942</v>
      </c>
      <c r="B4991" s="52">
        <v>1365</v>
      </c>
      <c r="C4991" s="8" t="s">
        <v>4125</v>
      </c>
      <c r="D4991" s="8" t="s">
        <v>332</v>
      </c>
      <c r="E4991" s="52">
        <v>55</v>
      </c>
      <c r="F4991" s="13"/>
      <c r="G4991" s="13">
        <v>372</v>
      </c>
    </row>
    <row r="4992" spans="1:7" hidden="1" x14ac:dyDescent="0.75">
      <c r="A4992" s="51">
        <v>44942</v>
      </c>
      <c r="B4992" s="52">
        <v>1365</v>
      </c>
      <c r="C4992" s="8" t="s">
        <v>1692</v>
      </c>
      <c r="D4992" s="8" t="s">
        <v>332</v>
      </c>
      <c r="E4992" s="52">
        <v>8</v>
      </c>
      <c r="F4992" s="13">
        <v>1330</v>
      </c>
      <c r="G4992" s="13"/>
    </row>
    <row r="4993" spans="1:7" hidden="1" x14ac:dyDescent="0.75">
      <c r="A4993" s="51">
        <v>44942</v>
      </c>
      <c r="B4993" s="52">
        <v>1365</v>
      </c>
      <c r="C4993" s="8" t="s">
        <v>1696</v>
      </c>
      <c r="D4993" s="8" t="s">
        <v>332</v>
      </c>
      <c r="E4993" s="52">
        <v>8</v>
      </c>
      <c r="F4993" s="13">
        <v>1250</v>
      </c>
      <c r="G4993" s="13"/>
    </row>
    <row r="4994" spans="1:7" hidden="1" x14ac:dyDescent="0.75">
      <c r="A4994" s="51">
        <v>44944</v>
      </c>
      <c r="B4994" s="52">
        <v>1365</v>
      </c>
      <c r="C4994" s="8" t="s">
        <v>1715</v>
      </c>
      <c r="D4994" s="8" t="s">
        <v>332</v>
      </c>
      <c r="E4994" s="52">
        <v>8</v>
      </c>
      <c r="F4994" s="13">
        <v>655</v>
      </c>
      <c r="G4994" s="13"/>
    </row>
    <row r="4995" spans="1:7" hidden="1" x14ac:dyDescent="0.75">
      <c r="A4995" s="51">
        <v>44946</v>
      </c>
      <c r="B4995" s="52">
        <v>1365</v>
      </c>
      <c r="C4995" s="8" t="s">
        <v>1743</v>
      </c>
      <c r="D4995" s="8" t="s">
        <v>332</v>
      </c>
      <c r="E4995" s="52">
        <v>8</v>
      </c>
      <c r="F4995" s="13">
        <v>250</v>
      </c>
      <c r="G4995" s="13"/>
    </row>
    <row r="4996" spans="1:7" hidden="1" x14ac:dyDescent="0.75">
      <c r="A4996" s="51">
        <v>44947</v>
      </c>
      <c r="B4996" s="52">
        <v>1365</v>
      </c>
      <c r="C4996" s="8" t="s">
        <v>4272</v>
      </c>
      <c r="D4996" s="8" t="s">
        <v>332</v>
      </c>
      <c r="E4996" s="52">
        <v>55</v>
      </c>
      <c r="F4996" s="13"/>
      <c r="G4996" s="13">
        <v>528</v>
      </c>
    </row>
    <row r="4997" spans="1:7" hidden="1" x14ac:dyDescent="0.75">
      <c r="A4997" s="51">
        <v>44949</v>
      </c>
      <c r="B4997" s="52">
        <v>1365</v>
      </c>
      <c r="C4997" s="8" t="s">
        <v>4302</v>
      </c>
      <c r="D4997" s="8" t="s">
        <v>332</v>
      </c>
      <c r="E4997" s="52">
        <v>55</v>
      </c>
      <c r="F4997" s="13"/>
      <c r="G4997" s="13">
        <v>210</v>
      </c>
    </row>
    <row r="4998" spans="1:7" hidden="1" x14ac:dyDescent="0.75">
      <c r="A4998" s="51">
        <v>44949</v>
      </c>
      <c r="B4998" s="52">
        <v>1365</v>
      </c>
      <c r="C4998" s="8" t="s">
        <v>1763</v>
      </c>
      <c r="D4998" s="8" t="s">
        <v>332</v>
      </c>
      <c r="E4998" s="52">
        <v>8</v>
      </c>
      <c r="F4998" s="13">
        <v>750</v>
      </c>
      <c r="G4998" s="13"/>
    </row>
    <row r="4999" spans="1:7" hidden="1" x14ac:dyDescent="0.75">
      <c r="A4999" s="51">
        <v>44949</v>
      </c>
      <c r="B4999" s="52">
        <v>1365</v>
      </c>
      <c r="C4999" s="8" t="s">
        <v>1767</v>
      </c>
      <c r="D4999" s="8" t="s">
        <v>332</v>
      </c>
      <c r="E4999" s="52">
        <v>8</v>
      </c>
      <c r="F4999" s="13">
        <v>455</v>
      </c>
      <c r="G4999" s="13"/>
    </row>
    <row r="5000" spans="1:7" hidden="1" x14ac:dyDescent="0.75">
      <c r="A5000" s="51">
        <v>44950</v>
      </c>
      <c r="B5000" s="52">
        <v>1365</v>
      </c>
      <c r="C5000" s="8" t="s">
        <v>4335</v>
      </c>
      <c r="D5000" s="8" t="s">
        <v>332</v>
      </c>
      <c r="E5000" s="52">
        <v>55</v>
      </c>
      <c r="F5000" s="13"/>
      <c r="G5000" s="13">
        <v>420</v>
      </c>
    </row>
    <row r="5001" spans="1:7" hidden="1" x14ac:dyDescent="0.75">
      <c r="A5001" s="51">
        <v>44951</v>
      </c>
      <c r="B5001" s="52">
        <v>1365</v>
      </c>
      <c r="C5001" s="8" t="s">
        <v>4369</v>
      </c>
      <c r="D5001" s="8" t="s">
        <v>332</v>
      </c>
      <c r="E5001" s="52">
        <v>55</v>
      </c>
      <c r="F5001" s="13"/>
      <c r="G5001" s="13">
        <v>474</v>
      </c>
    </row>
    <row r="5002" spans="1:7" hidden="1" x14ac:dyDescent="0.75">
      <c r="A5002" s="51">
        <v>44951</v>
      </c>
      <c r="B5002" s="52">
        <v>1365</v>
      </c>
      <c r="C5002" s="8" t="s">
        <v>1794</v>
      </c>
      <c r="D5002" s="8" t="s">
        <v>332</v>
      </c>
      <c r="E5002" s="52">
        <v>8</v>
      </c>
      <c r="F5002" s="13">
        <v>408</v>
      </c>
      <c r="G5002" s="13"/>
    </row>
    <row r="5003" spans="1:7" hidden="1" x14ac:dyDescent="0.75">
      <c r="A5003" s="51">
        <v>44952</v>
      </c>
      <c r="B5003" s="52">
        <v>1365</v>
      </c>
      <c r="C5003" s="8" t="s">
        <v>4402</v>
      </c>
      <c r="D5003" s="8" t="s">
        <v>332</v>
      </c>
      <c r="E5003" s="52">
        <v>55</v>
      </c>
      <c r="F5003" s="13"/>
      <c r="G5003" s="13">
        <v>210</v>
      </c>
    </row>
    <row r="5004" spans="1:7" hidden="1" x14ac:dyDescent="0.75">
      <c r="A5004" s="51">
        <v>44952</v>
      </c>
      <c r="B5004" s="52">
        <v>1365</v>
      </c>
      <c r="C5004" s="8" t="s">
        <v>1802</v>
      </c>
      <c r="D5004" s="8" t="s">
        <v>332</v>
      </c>
      <c r="E5004" s="52">
        <v>8</v>
      </c>
      <c r="F5004" s="13">
        <v>568</v>
      </c>
      <c r="G5004" s="13"/>
    </row>
    <row r="5005" spans="1:7" hidden="1" x14ac:dyDescent="0.75">
      <c r="A5005" s="51">
        <v>44953</v>
      </c>
      <c r="B5005" s="52">
        <v>1365</v>
      </c>
      <c r="C5005" s="8" t="s">
        <v>4432</v>
      </c>
      <c r="D5005" s="8" t="s">
        <v>332</v>
      </c>
      <c r="E5005" s="52">
        <v>55</v>
      </c>
      <c r="F5005" s="13"/>
      <c r="G5005" s="13">
        <v>504</v>
      </c>
    </row>
    <row r="5006" spans="1:7" hidden="1" x14ac:dyDescent="0.75">
      <c r="A5006" s="51">
        <v>44954</v>
      </c>
      <c r="B5006" s="52">
        <v>1365</v>
      </c>
      <c r="C5006" s="8" t="s">
        <v>4470</v>
      </c>
      <c r="D5006" s="8" t="s">
        <v>332</v>
      </c>
      <c r="E5006" s="52">
        <v>55</v>
      </c>
      <c r="F5006" s="13"/>
      <c r="G5006" s="13">
        <v>210</v>
      </c>
    </row>
    <row r="5007" spans="1:7" hidden="1" x14ac:dyDescent="0.75">
      <c r="A5007" s="51">
        <v>44956</v>
      </c>
      <c r="B5007" s="52">
        <v>1365</v>
      </c>
      <c r="C5007" s="8" t="s">
        <v>1836</v>
      </c>
      <c r="D5007" s="8" t="s">
        <v>332</v>
      </c>
      <c r="E5007" s="52">
        <v>8</v>
      </c>
      <c r="F5007" s="13">
        <v>360</v>
      </c>
      <c r="G5007" s="13"/>
    </row>
    <row r="5008" spans="1:7" hidden="1" x14ac:dyDescent="0.75">
      <c r="A5008" s="51">
        <v>44928</v>
      </c>
      <c r="B5008" s="52">
        <v>1366</v>
      </c>
      <c r="C5008" s="8" t="s">
        <v>1486</v>
      </c>
      <c r="D5008" s="8" t="s">
        <v>334</v>
      </c>
      <c r="E5008" s="52">
        <v>8</v>
      </c>
      <c r="F5008" s="13">
        <v>863.5</v>
      </c>
      <c r="G5008" s="13"/>
    </row>
    <row r="5009" spans="1:7" hidden="1" x14ac:dyDescent="0.75">
      <c r="A5009" s="51">
        <v>44928</v>
      </c>
      <c r="B5009" s="52">
        <v>1366</v>
      </c>
      <c r="C5009" s="8" t="s">
        <v>1487</v>
      </c>
      <c r="D5009" s="8" t="s">
        <v>334</v>
      </c>
      <c r="E5009" s="52">
        <v>8</v>
      </c>
      <c r="F5009" s="13">
        <v>832</v>
      </c>
      <c r="G5009" s="13"/>
    </row>
    <row r="5010" spans="1:7" hidden="1" x14ac:dyDescent="0.75">
      <c r="A5010" s="51">
        <v>44928</v>
      </c>
      <c r="B5010" s="52">
        <v>1366</v>
      </c>
      <c r="C5010" s="8" t="s">
        <v>1488</v>
      </c>
      <c r="D5010" s="8" t="s">
        <v>334</v>
      </c>
      <c r="E5010" s="52">
        <v>8</v>
      </c>
      <c r="F5010" s="13">
        <v>128</v>
      </c>
      <c r="G5010" s="13"/>
    </row>
    <row r="5011" spans="1:7" hidden="1" x14ac:dyDescent="0.75">
      <c r="A5011" s="51">
        <v>44928</v>
      </c>
      <c r="B5011" s="52">
        <v>1366</v>
      </c>
      <c r="C5011" s="8" t="s">
        <v>1489</v>
      </c>
      <c r="D5011" s="8" t="s">
        <v>334</v>
      </c>
      <c r="E5011" s="52">
        <v>8</v>
      </c>
      <c r="F5011" s="13">
        <v>384</v>
      </c>
      <c r="G5011" s="13"/>
    </row>
    <row r="5012" spans="1:7" hidden="1" x14ac:dyDescent="0.75">
      <c r="A5012" s="51">
        <v>44928</v>
      </c>
      <c r="B5012" s="52">
        <v>1366</v>
      </c>
      <c r="C5012" s="8" t="s">
        <v>1490</v>
      </c>
      <c r="D5012" s="8" t="s">
        <v>334</v>
      </c>
      <c r="E5012" s="52">
        <v>8</v>
      </c>
      <c r="F5012" s="13">
        <v>576</v>
      </c>
      <c r="G5012" s="13"/>
    </row>
    <row r="5013" spans="1:7" hidden="1" x14ac:dyDescent="0.75">
      <c r="A5013" s="51">
        <v>44928</v>
      </c>
      <c r="B5013" s="52">
        <v>1366</v>
      </c>
      <c r="C5013" s="8" t="s">
        <v>1491</v>
      </c>
      <c r="D5013" s="8" t="s">
        <v>334</v>
      </c>
      <c r="E5013" s="52">
        <v>8</v>
      </c>
      <c r="F5013" s="13">
        <v>1200</v>
      </c>
      <c r="G5013" s="13"/>
    </row>
    <row r="5014" spans="1:7" hidden="1" x14ac:dyDescent="0.75">
      <c r="A5014" s="51">
        <v>44930</v>
      </c>
      <c r="B5014" s="52">
        <v>1366</v>
      </c>
      <c r="C5014" s="8" t="s">
        <v>3800</v>
      </c>
      <c r="D5014" s="8" t="s">
        <v>334</v>
      </c>
      <c r="E5014" s="52">
        <v>55</v>
      </c>
      <c r="F5014" s="13"/>
      <c r="G5014" s="13">
        <v>760</v>
      </c>
    </row>
    <row r="5015" spans="1:7" hidden="1" x14ac:dyDescent="0.75">
      <c r="A5015" s="51">
        <v>44930</v>
      </c>
      <c r="B5015" s="52">
        <v>1366</v>
      </c>
      <c r="C5015" s="8" t="s">
        <v>3801</v>
      </c>
      <c r="D5015" s="8" t="s">
        <v>334</v>
      </c>
      <c r="E5015" s="52">
        <v>55</v>
      </c>
      <c r="F5015" s="13"/>
      <c r="G5015" s="13">
        <v>210</v>
      </c>
    </row>
    <row r="5016" spans="1:7" hidden="1" x14ac:dyDescent="0.75">
      <c r="A5016" s="51">
        <v>44930</v>
      </c>
      <c r="B5016" s="52">
        <v>1366</v>
      </c>
      <c r="C5016" s="8" t="s">
        <v>3802</v>
      </c>
      <c r="D5016" s="8" t="s">
        <v>334</v>
      </c>
      <c r="E5016" s="52">
        <v>55</v>
      </c>
      <c r="F5016" s="13"/>
      <c r="G5016" s="13">
        <v>420</v>
      </c>
    </row>
    <row r="5017" spans="1:7" hidden="1" x14ac:dyDescent="0.75">
      <c r="A5017" s="51">
        <v>44933</v>
      </c>
      <c r="B5017" s="52">
        <v>1366</v>
      </c>
      <c r="C5017" s="8" t="s">
        <v>3898</v>
      </c>
      <c r="D5017" s="8" t="s">
        <v>334</v>
      </c>
      <c r="E5017" s="52">
        <v>55</v>
      </c>
      <c r="F5017" s="13"/>
      <c r="G5017" s="13">
        <v>252</v>
      </c>
    </row>
    <row r="5018" spans="1:7" hidden="1" x14ac:dyDescent="0.75">
      <c r="A5018" s="51">
        <v>44933</v>
      </c>
      <c r="B5018" s="52">
        <v>1366</v>
      </c>
      <c r="C5018" s="8" t="s">
        <v>3899</v>
      </c>
      <c r="D5018" s="8" t="s">
        <v>334</v>
      </c>
      <c r="E5018" s="52">
        <v>55</v>
      </c>
      <c r="F5018" s="13"/>
      <c r="G5018" s="13">
        <v>630</v>
      </c>
    </row>
    <row r="5019" spans="1:7" hidden="1" x14ac:dyDescent="0.75">
      <c r="A5019" s="51">
        <v>44933</v>
      </c>
      <c r="B5019" s="52">
        <v>1366</v>
      </c>
      <c r="C5019" s="8" t="s">
        <v>3900</v>
      </c>
      <c r="D5019" s="8" t="s">
        <v>334</v>
      </c>
      <c r="E5019" s="52">
        <v>55</v>
      </c>
      <c r="F5019" s="13"/>
      <c r="G5019" s="13">
        <v>315</v>
      </c>
    </row>
    <row r="5020" spans="1:7" hidden="1" x14ac:dyDescent="0.75">
      <c r="A5020" s="51">
        <v>44936</v>
      </c>
      <c r="B5020" s="52">
        <v>1366</v>
      </c>
      <c r="C5020" s="8" t="s">
        <v>3972</v>
      </c>
      <c r="D5020" s="8" t="s">
        <v>334</v>
      </c>
      <c r="E5020" s="52">
        <v>55</v>
      </c>
      <c r="F5020" s="13"/>
      <c r="G5020" s="13">
        <v>2552.5</v>
      </c>
    </row>
    <row r="5021" spans="1:7" hidden="1" x14ac:dyDescent="0.75">
      <c r="A5021" s="51">
        <v>44936</v>
      </c>
      <c r="B5021" s="52">
        <v>1366</v>
      </c>
      <c r="C5021" s="8" t="s">
        <v>3973</v>
      </c>
      <c r="D5021" s="8" t="s">
        <v>334</v>
      </c>
      <c r="E5021" s="52">
        <v>55</v>
      </c>
      <c r="F5021" s="13"/>
      <c r="G5021" s="13">
        <v>487.5</v>
      </c>
    </row>
    <row r="5022" spans="1:7" hidden="1" x14ac:dyDescent="0.75">
      <c r="A5022" s="51">
        <v>44936</v>
      </c>
      <c r="B5022" s="52">
        <v>1366</v>
      </c>
      <c r="C5022" s="8" t="s">
        <v>1602</v>
      </c>
      <c r="D5022" s="8" t="s">
        <v>334</v>
      </c>
      <c r="E5022" s="52">
        <v>8</v>
      </c>
      <c r="F5022" s="13">
        <v>462.5</v>
      </c>
      <c r="G5022" s="13"/>
    </row>
    <row r="5023" spans="1:7" hidden="1" x14ac:dyDescent="0.75">
      <c r="A5023" s="51">
        <v>44936</v>
      </c>
      <c r="B5023" s="52">
        <v>1366</v>
      </c>
      <c r="C5023" s="8" t="s">
        <v>1603</v>
      </c>
      <c r="D5023" s="8" t="s">
        <v>334</v>
      </c>
      <c r="E5023" s="52">
        <v>8</v>
      </c>
      <c r="F5023" s="13">
        <v>962</v>
      </c>
      <c r="G5023" s="13"/>
    </row>
    <row r="5024" spans="1:7" hidden="1" x14ac:dyDescent="0.75">
      <c r="A5024" s="51">
        <v>44936</v>
      </c>
      <c r="B5024" s="52">
        <v>1366</v>
      </c>
      <c r="C5024" s="8" t="s">
        <v>1604</v>
      </c>
      <c r="D5024" s="8" t="s">
        <v>334</v>
      </c>
      <c r="E5024" s="52">
        <v>8</v>
      </c>
      <c r="F5024" s="13">
        <v>370</v>
      </c>
      <c r="G5024" s="13"/>
    </row>
    <row r="5025" spans="1:7" hidden="1" x14ac:dyDescent="0.75">
      <c r="A5025" s="51">
        <v>44936</v>
      </c>
      <c r="B5025" s="52">
        <v>1366</v>
      </c>
      <c r="C5025" s="8" t="s">
        <v>1605</v>
      </c>
      <c r="D5025" s="8" t="s">
        <v>334</v>
      </c>
      <c r="E5025" s="52">
        <v>8</v>
      </c>
      <c r="F5025" s="13">
        <v>832.5</v>
      </c>
      <c r="G5025" s="13"/>
    </row>
    <row r="5026" spans="1:7" hidden="1" x14ac:dyDescent="0.75">
      <c r="A5026" s="51">
        <v>44936</v>
      </c>
      <c r="B5026" s="52">
        <v>1366</v>
      </c>
      <c r="C5026" s="8" t="s">
        <v>1606</v>
      </c>
      <c r="D5026" s="8" t="s">
        <v>334</v>
      </c>
      <c r="E5026" s="52">
        <v>8</v>
      </c>
      <c r="F5026" s="13">
        <v>888</v>
      </c>
      <c r="G5026" s="13"/>
    </row>
    <row r="5027" spans="1:7" hidden="1" x14ac:dyDescent="0.75">
      <c r="A5027" s="51">
        <v>44936</v>
      </c>
      <c r="B5027" s="52">
        <v>1366</v>
      </c>
      <c r="C5027" s="8" t="s">
        <v>1607</v>
      </c>
      <c r="D5027" s="8" t="s">
        <v>334</v>
      </c>
      <c r="E5027" s="52">
        <v>8</v>
      </c>
      <c r="F5027" s="13">
        <v>518</v>
      </c>
      <c r="G5027" s="13"/>
    </row>
    <row r="5028" spans="1:7" hidden="1" x14ac:dyDescent="0.75">
      <c r="A5028" s="51">
        <v>44936</v>
      </c>
      <c r="B5028" s="52">
        <v>1366</v>
      </c>
      <c r="C5028" s="8" t="s">
        <v>1608</v>
      </c>
      <c r="D5028" s="8" t="s">
        <v>334</v>
      </c>
      <c r="E5028" s="52">
        <v>8</v>
      </c>
      <c r="F5028" s="13">
        <v>200</v>
      </c>
      <c r="G5028" s="13"/>
    </row>
    <row r="5029" spans="1:7" hidden="1" x14ac:dyDescent="0.75">
      <c r="A5029" s="51">
        <v>44936</v>
      </c>
      <c r="B5029" s="52">
        <v>1366</v>
      </c>
      <c r="C5029" s="8" t="s">
        <v>1609</v>
      </c>
      <c r="D5029" s="8" t="s">
        <v>334</v>
      </c>
      <c r="E5029" s="52">
        <v>8</v>
      </c>
      <c r="F5029" s="13">
        <v>850</v>
      </c>
      <c r="G5029" s="13"/>
    </row>
    <row r="5030" spans="1:7" hidden="1" x14ac:dyDescent="0.75">
      <c r="A5030" s="51">
        <v>44937</v>
      </c>
      <c r="B5030" s="52">
        <v>1366</v>
      </c>
      <c r="C5030" s="8" t="s">
        <v>4003</v>
      </c>
      <c r="D5030" s="8" t="s">
        <v>334</v>
      </c>
      <c r="E5030" s="52">
        <v>55</v>
      </c>
      <c r="F5030" s="13"/>
      <c r="G5030" s="13">
        <v>650</v>
      </c>
    </row>
    <row r="5031" spans="1:7" hidden="1" x14ac:dyDescent="0.75">
      <c r="A5031" s="51">
        <v>44940</v>
      </c>
      <c r="B5031" s="52">
        <v>1366</v>
      </c>
      <c r="C5031" s="8" t="s">
        <v>4098</v>
      </c>
      <c r="D5031" s="8" t="s">
        <v>334</v>
      </c>
      <c r="E5031" s="52">
        <v>55</v>
      </c>
      <c r="F5031" s="13"/>
      <c r="G5031" s="13">
        <v>1142.5</v>
      </c>
    </row>
    <row r="5032" spans="1:7" hidden="1" x14ac:dyDescent="0.75">
      <c r="A5032" s="51">
        <v>44940</v>
      </c>
      <c r="B5032" s="52">
        <v>1366</v>
      </c>
      <c r="C5032" s="8" t="s">
        <v>4099</v>
      </c>
      <c r="D5032" s="8" t="s">
        <v>334</v>
      </c>
      <c r="E5032" s="52">
        <v>55</v>
      </c>
      <c r="F5032" s="13"/>
      <c r="G5032" s="13">
        <v>1300</v>
      </c>
    </row>
    <row r="5033" spans="1:7" hidden="1" x14ac:dyDescent="0.75">
      <c r="A5033" s="51">
        <v>44940</v>
      </c>
      <c r="B5033" s="52">
        <v>1366</v>
      </c>
      <c r="C5033" s="8" t="s">
        <v>4100</v>
      </c>
      <c r="D5033" s="8" t="s">
        <v>334</v>
      </c>
      <c r="E5033" s="52">
        <v>55</v>
      </c>
      <c r="F5033" s="13"/>
      <c r="G5033" s="13">
        <v>1137.5</v>
      </c>
    </row>
    <row r="5034" spans="1:7" hidden="1" x14ac:dyDescent="0.75">
      <c r="A5034" s="51">
        <v>44944</v>
      </c>
      <c r="B5034" s="52">
        <v>1366</v>
      </c>
      <c r="C5034" s="8" t="s">
        <v>4182</v>
      </c>
      <c r="D5034" s="8" t="s">
        <v>334</v>
      </c>
      <c r="E5034" s="52">
        <v>55</v>
      </c>
      <c r="F5034" s="13"/>
      <c r="G5034" s="13">
        <v>2244</v>
      </c>
    </row>
    <row r="5035" spans="1:7" hidden="1" x14ac:dyDescent="0.75">
      <c r="A5035" s="51">
        <v>44944</v>
      </c>
      <c r="B5035" s="52">
        <v>1366</v>
      </c>
      <c r="C5035" s="8" t="s">
        <v>4183</v>
      </c>
      <c r="D5035" s="8" t="s">
        <v>334</v>
      </c>
      <c r="E5035" s="52">
        <v>55</v>
      </c>
      <c r="F5035" s="13"/>
      <c r="G5035" s="13">
        <v>415</v>
      </c>
    </row>
    <row r="5036" spans="1:7" hidden="1" x14ac:dyDescent="0.75">
      <c r="A5036" s="51">
        <v>44946</v>
      </c>
      <c r="B5036" s="52">
        <v>1366</v>
      </c>
      <c r="C5036" s="8" t="s">
        <v>4240</v>
      </c>
      <c r="D5036" s="8" t="s">
        <v>334</v>
      </c>
      <c r="E5036" s="52">
        <v>55</v>
      </c>
      <c r="F5036" s="13"/>
      <c r="G5036" s="13">
        <v>622.5</v>
      </c>
    </row>
    <row r="5037" spans="1:7" hidden="1" x14ac:dyDescent="0.75">
      <c r="A5037" s="51">
        <v>44946</v>
      </c>
      <c r="B5037" s="52">
        <v>1366</v>
      </c>
      <c r="C5037" s="8" t="s">
        <v>1729</v>
      </c>
      <c r="D5037" s="8" t="s">
        <v>334</v>
      </c>
      <c r="E5037" s="52">
        <v>8</v>
      </c>
      <c r="F5037" s="13">
        <v>240</v>
      </c>
      <c r="G5037" s="13"/>
    </row>
    <row r="5038" spans="1:7" hidden="1" x14ac:dyDescent="0.75">
      <c r="A5038" s="51">
        <v>44946</v>
      </c>
      <c r="B5038" s="52">
        <v>1366</v>
      </c>
      <c r="C5038" s="8" t="s">
        <v>1730</v>
      </c>
      <c r="D5038" s="8" t="s">
        <v>334</v>
      </c>
      <c r="E5038" s="52">
        <v>8</v>
      </c>
      <c r="F5038" s="13">
        <v>700</v>
      </c>
      <c r="G5038" s="13"/>
    </row>
    <row r="5039" spans="1:7" hidden="1" x14ac:dyDescent="0.75">
      <c r="A5039" s="51">
        <v>44946</v>
      </c>
      <c r="B5039" s="52">
        <v>1366</v>
      </c>
      <c r="C5039" s="8" t="s">
        <v>1731</v>
      </c>
      <c r="D5039" s="8" t="s">
        <v>334</v>
      </c>
      <c r="E5039" s="52">
        <v>8</v>
      </c>
      <c r="F5039" s="13">
        <v>610</v>
      </c>
      <c r="G5039" s="13"/>
    </row>
    <row r="5040" spans="1:7" hidden="1" x14ac:dyDescent="0.75">
      <c r="A5040" s="51">
        <v>44946</v>
      </c>
      <c r="B5040" s="52">
        <v>1366</v>
      </c>
      <c r="C5040" s="8" t="s">
        <v>1732</v>
      </c>
      <c r="D5040" s="8" t="s">
        <v>334</v>
      </c>
      <c r="E5040" s="52">
        <v>8</v>
      </c>
      <c r="F5040" s="13">
        <v>1860</v>
      </c>
      <c r="G5040" s="13"/>
    </row>
    <row r="5041" spans="1:7" hidden="1" x14ac:dyDescent="0.75">
      <c r="A5041" s="51">
        <v>44946</v>
      </c>
      <c r="B5041" s="52">
        <v>1366</v>
      </c>
      <c r="C5041" s="8" t="s">
        <v>1733</v>
      </c>
      <c r="D5041" s="8" t="s">
        <v>334</v>
      </c>
      <c r="E5041" s="52">
        <v>8</v>
      </c>
      <c r="F5041" s="13">
        <v>160</v>
      </c>
      <c r="G5041" s="13"/>
    </row>
    <row r="5042" spans="1:7" hidden="1" x14ac:dyDescent="0.75">
      <c r="A5042" s="51">
        <v>44946</v>
      </c>
      <c r="B5042" s="52">
        <v>1366</v>
      </c>
      <c r="C5042" s="8" t="s">
        <v>1734</v>
      </c>
      <c r="D5042" s="8" t="s">
        <v>334</v>
      </c>
      <c r="E5042" s="52">
        <v>8</v>
      </c>
      <c r="F5042" s="13">
        <v>1950</v>
      </c>
      <c r="G5042" s="13"/>
    </row>
    <row r="5043" spans="1:7" hidden="1" x14ac:dyDescent="0.75">
      <c r="A5043" s="51">
        <v>44946</v>
      </c>
      <c r="B5043" s="52">
        <v>1366</v>
      </c>
      <c r="C5043" s="8" t="s">
        <v>1735</v>
      </c>
      <c r="D5043" s="8" t="s">
        <v>334</v>
      </c>
      <c r="E5043" s="52">
        <v>8</v>
      </c>
      <c r="F5043" s="13">
        <v>300</v>
      </c>
      <c r="G5043" s="13"/>
    </row>
    <row r="5044" spans="1:7" hidden="1" x14ac:dyDescent="0.75">
      <c r="A5044" s="51">
        <v>44946</v>
      </c>
      <c r="B5044" s="52">
        <v>1366</v>
      </c>
      <c r="C5044" s="8" t="s">
        <v>1736</v>
      </c>
      <c r="D5044" s="8" t="s">
        <v>334</v>
      </c>
      <c r="E5044" s="52">
        <v>8</v>
      </c>
      <c r="F5044" s="13">
        <v>800</v>
      </c>
      <c r="G5044" s="13"/>
    </row>
    <row r="5045" spans="1:7" hidden="1" x14ac:dyDescent="0.75">
      <c r="A5045" s="51">
        <v>44946</v>
      </c>
      <c r="B5045" s="52">
        <v>1366</v>
      </c>
      <c r="C5045" s="8" t="s">
        <v>1737</v>
      </c>
      <c r="D5045" s="8" t="s">
        <v>334</v>
      </c>
      <c r="E5045" s="52">
        <v>8</v>
      </c>
      <c r="F5045" s="13">
        <v>1400</v>
      </c>
      <c r="G5045" s="13"/>
    </row>
    <row r="5046" spans="1:7" hidden="1" x14ac:dyDescent="0.75">
      <c r="A5046" s="51">
        <v>44946</v>
      </c>
      <c r="B5046" s="52">
        <v>1366</v>
      </c>
      <c r="C5046" s="8" t="s">
        <v>1738</v>
      </c>
      <c r="D5046" s="8" t="s">
        <v>334</v>
      </c>
      <c r="E5046" s="52">
        <v>8</v>
      </c>
      <c r="F5046" s="13">
        <v>840</v>
      </c>
      <c r="G5046" s="13"/>
    </row>
    <row r="5047" spans="1:7" hidden="1" x14ac:dyDescent="0.75">
      <c r="A5047" s="51">
        <v>44951</v>
      </c>
      <c r="B5047" s="52">
        <v>1366</v>
      </c>
      <c r="C5047" s="8" t="s">
        <v>4370</v>
      </c>
      <c r="D5047" s="8" t="s">
        <v>334</v>
      </c>
      <c r="E5047" s="52">
        <v>55</v>
      </c>
      <c r="F5047" s="13"/>
      <c r="G5047" s="13">
        <v>415</v>
      </c>
    </row>
    <row r="5048" spans="1:7" hidden="1" x14ac:dyDescent="0.75">
      <c r="A5048" s="51">
        <v>44953</v>
      </c>
      <c r="B5048" s="52">
        <v>1366</v>
      </c>
      <c r="C5048" s="8" t="s">
        <v>4433</v>
      </c>
      <c r="D5048" s="8" t="s">
        <v>334</v>
      </c>
      <c r="E5048" s="52">
        <v>55</v>
      </c>
      <c r="F5048" s="13"/>
      <c r="G5048" s="13">
        <v>1160</v>
      </c>
    </row>
    <row r="5049" spans="1:7" hidden="1" x14ac:dyDescent="0.75">
      <c r="A5049" s="51">
        <v>44953</v>
      </c>
      <c r="B5049" s="52">
        <v>1366</v>
      </c>
      <c r="C5049" s="8" t="s">
        <v>4434</v>
      </c>
      <c r="D5049" s="8" t="s">
        <v>334</v>
      </c>
      <c r="E5049" s="52">
        <v>55</v>
      </c>
      <c r="F5049" s="13"/>
      <c r="G5049" s="13">
        <v>375</v>
      </c>
    </row>
    <row r="5050" spans="1:7" hidden="1" x14ac:dyDescent="0.75">
      <c r="A5050" s="51">
        <v>44953</v>
      </c>
      <c r="B5050" s="52">
        <v>1366</v>
      </c>
      <c r="C5050" s="8" t="s">
        <v>4435</v>
      </c>
      <c r="D5050" s="8" t="s">
        <v>334</v>
      </c>
      <c r="E5050" s="52">
        <v>55</v>
      </c>
      <c r="F5050" s="13"/>
      <c r="G5050" s="13">
        <v>1312.5</v>
      </c>
    </row>
    <row r="5051" spans="1:7" hidden="1" x14ac:dyDescent="0.75">
      <c r="A5051" s="51">
        <v>44953</v>
      </c>
      <c r="B5051" s="52">
        <v>1366</v>
      </c>
      <c r="C5051" s="8" t="s">
        <v>4436</v>
      </c>
      <c r="D5051" s="8" t="s">
        <v>334</v>
      </c>
      <c r="E5051" s="52">
        <v>55</v>
      </c>
      <c r="F5051" s="13"/>
      <c r="G5051" s="13">
        <v>635</v>
      </c>
    </row>
    <row r="5052" spans="1:7" hidden="1" x14ac:dyDescent="0.75">
      <c r="A5052" s="51">
        <v>44953</v>
      </c>
      <c r="B5052" s="52">
        <v>1366</v>
      </c>
      <c r="C5052" s="8" t="s">
        <v>4437</v>
      </c>
      <c r="D5052" s="8" t="s">
        <v>334</v>
      </c>
      <c r="E5052" s="52">
        <v>55</v>
      </c>
      <c r="F5052" s="13"/>
      <c r="G5052" s="13">
        <v>450</v>
      </c>
    </row>
    <row r="5053" spans="1:7" hidden="1" x14ac:dyDescent="0.75">
      <c r="A5053" s="51">
        <v>44956</v>
      </c>
      <c r="B5053" s="52">
        <v>1366</v>
      </c>
      <c r="C5053" s="8" t="s">
        <v>4498</v>
      </c>
      <c r="D5053" s="8" t="s">
        <v>334</v>
      </c>
      <c r="E5053" s="52">
        <v>55</v>
      </c>
      <c r="F5053" s="13"/>
      <c r="G5053" s="13">
        <v>300</v>
      </c>
    </row>
    <row r="5054" spans="1:7" hidden="1" x14ac:dyDescent="0.75">
      <c r="A5054" s="51">
        <v>44956</v>
      </c>
      <c r="B5054" s="52">
        <v>1366</v>
      </c>
      <c r="C5054" s="8" t="s">
        <v>1841</v>
      </c>
      <c r="D5054" s="8" t="s">
        <v>334</v>
      </c>
      <c r="E5054" s="52">
        <v>8</v>
      </c>
      <c r="F5054" s="13">
        <v>420</v>
      </c>
      <c r="G5054" s="13"/>
    </row>
    <row r="5055" spans="1:7" hidden="1" x14ac:dyDescent="0.75">
      <c r="A5055" s="51">
        <v>44956</v>
      </c>
      <c r="B5055" s="52">
        <v>1366</v>
      </c>
      <c r="C5055" s="8" t="s">
        <v>1842</v>
      </c>
      <c r="D5055" s="8" t="s">
        <v>334</v>
      </c>
      <c r="E5055" s="52">
        <v>8</v>
      </c>
      <c r="F5055" s="13">
        <v>210</v>
      </c>
      <c r="G5055" s="13"/>
    </row>
    <row r="5056" spans="1:7" hidden="1" x14ac:dyDescent="0.75">
      <c r="A5056" s="51">
        <v>44956</v>
      </c>
      <c r="B5056" s="52">
        <v>1366</v>
      </c>
      <c r="C5056" s="8" t="s">
        <v>1843</v>
      </c>
      <c r="D5056" s="8" t="s">
        <v>334</v>
      </c>
      <c r="E5056" s="52">
        <v>8</v>
      </c>
      <c r="F5056" s="13">
        <v>760</v>
      </c>
      <c r="G5056" s="13"/>
    </row>
    <row r="5057" spans="1:7" hidden="1" x14ac:dyDescent="0.75">
      <c r="A5057" s="51">
        <v>44956</v>
      </c>
      <c r="B5057" s="52">
        <v>1366</v>
      </c>
      <c r="C5057" s="8" t="s">
        <v>1844</v>
      </c>
      <c r="D5057" s="8" t="s">
        <v>334</v>
      </c>
      <c r="E5057" s="52">
        <v>8</v>
      </c>
      <c r="F5057" s="13">
        <v>184</v>
      </c>
      <c r="G5057" s="13"/>
    </row>
    <row r="5058" spans="1:7" hidden="1" x14ac:dyDescent="0.75">
      <c r="A5058" s="51">
        <v>44956</v>
      </c>
      <c r="B5058" s="52">
        <v>1366</v>
      </c>
      <c r="C5058" s="8" t="s">
        <v>1845</v>
      </c>
      <c r="D5058" s="8" t="s">
        <v>334</v>
      </c>
      <c r="E5058" s="52">
        <v>8</v>
      </c>
      <c r="F5058" s="13">
        <v>1610</v>
      </c>
      <c r="G5058" s="13"/>
    </row>
    <row r="5059" spans="1:7" hidden="1" x14ac:dyDescent="0.75">
      <c r="A5059" s="51">
        <v>44956</v>
      </c>
      <c r="B5059" s="52">
        <v>1366</v>
      </c>
      <c r="C5059" s="8" t="s">
        <v>1846</v>
      </c>
      <c r="D5059" s="8" t="s">
        <v>334</v>
      </c>
      <c r="E5059" s="52">
        <v>8</v>
      </c>
      <c r="F5059" s="13">
        <v>460</v>
      </c>
      <c r="G5059" s="13"/>
    </row>
    <row r="5060" spans="1:7" hidden="1" x14ac:dyDescent="0.75">
      <c r="A5060" s="51">
        <v>44956</v>
      </c>
      <c r="B5060" s="52">
        <v>1366</v>
      </c>
      <c r="C5060" s="8" t="s">
        <v>1847</v>
      </c>
      <c r="D5060" s="8" t="s">
        <v>334</v>
      </c>
      <c r="E5060" s="52">
        <v>8</v>
      </c>
      <c r="F5060" s="13">
        <v>1035</v>
      </c>
      <c r="G5060" s="13"/>
    </row>
    <row r="5061" spans="1:7" hidden="1" x14ac:dyDescent="0.75">
      <c r="A5061" s="51">
        <v>44956</v>
      </c>
      <c r="B5061" s="52">
        <v>1366</v>
      </c>
      <c r="C5061" s="8" t="s">
        <v>1848</v>
      </c>
      <c r="D5061" s="8" t="s">
        <v>334</v>
      </c>
      <c r="E5061" s="52">
        <v>8</v>
      </c>
      <c r="F5061" s="13">
        <v>230</v>
      </c>
      <c r="G5061" s="13"/>
    </row>
    <row r="5062" spans="1:7" hidden="1" x14ac:dyDescent="0.75">
      <c r="A5062" s="51">
        <v>44957</v>
      </c>
      <c r="B5062" s="52">
        <v>1366</v>
      </c>
      <c r="C5062" s="8" t="s">
        <v>4532</v>
      </c>
      <c r="D5062" s="8" t="s">
        <v>334</v>
      </c>
      <c r="E5062" s="52">
        <v>55</v>
      </c>
      <c r="F5062" s="13"/>
      <c r="G5062" s="13">
        <v>1585</v>
      </c>
    </row>
    <row r="5063" spans="1:7" hidden="1" x14ac:dyDescent="0.75">
      <c r="A5063" s="51">
        <v>44957</v>
      </c>
      <c r="B5063" s="52">
        <v>1366</v>
      </c>
      <c r="C5063" s="8" t="s">
        <v>4533</v>
      </c>
      <c r="D5063" s="8" t="s">
        <v>334</v>
      </c>
      <c r="E5063" s="52">
        <v>55</v>
      </c>
      <c r="F5063" s="13"/>
      <c r="G5063" s="13">
        <v>350</v>
      </c>
    </row>
    <row r="5064" spans="1:7" hidden="1" x14ac:dyDescent="0.75">
      <c r="A5064" s="51">
        <v>44931</v>
      </c>
      <c r="B5064" s="52">
        <v>1368</v>
      </c>
      <c r="C5064" s="8" t="s">
        <v>4675</v>
      </c>
      <c r="D5064" s="8" t="s">
        <v>335</v>
      </c>
      <c r="E5064" s="52">
        <v>664</v>
      </c>
      <c r="F5064" s="13"/>
      <c r="G5064" s="13">
        <v>119.8</v>
      </c>
    </row>
    <row r="5065" spans="1:7" hidden="1" x14ac:dyDescent="0.75">
      <c r="A5065" s="51">
        <v>44951</v>
      </c>
      <c r="B5065" s="52">
        <v>1368</v>
      </c>
      <c r="C5065" s="8" t="s">
        <v>1789</v>
      </c>
      <c r="D5065" s="8" t="s">
        <v>335</v>
      </c>
      <c r="E5065" s="52">
        <v>8</v>
      </c>
      <c r="F5065" s="13">
        <v>119.8</v>
      </c>
      <c r="G5065" s="13"/>
    </row>
    <row r="5066" spans="1:7" hidden="1" x14ac:dyDescent="0.75">
      <c r="A5066" s="51">
        <v>44928</v>
      </c>
      <c r="B5066" s="52">
        <v>1372</v>
      </c>
      <c r="C5066" s="8" t="s">
        <v>1483</v>
      </c>
      <c r="D5066" s="8" t="s">
        <v>339</v>
      </c>
      <c r="E5066" s="52">
        <v>8</v>
      </c>
      <c r="F5066" s="13">
        <v>2808.27</v>
      </c>
      <c r="G5066" s="13"/>
    </row>
    <row r="5067" spans="1:7" hidden="1" x14ac:dyDescent="0.75">
      <c r="A5067" s="51">
        <v>44929</v>
      </c>
      <c r="B5067" s="52">
        <v>1372</v>
      </c>
      <c r="C5067" s="8" t="s">
        <v>4676</v>
      </c>
      <c r="D5067" s="8" t="s">
        <v>339</v>
      </c>
      <c r="E5067" s="52">
        <v>677</v>
      </c>
      <c r="F5067" s="13"/>
      <c r="G5067" s="13">
        <v>3101.9</v>
      </c>
    </row>
    <row r="5068" spans="1:7" hidden="1" x14ac:dyDescent="0.75">
      <c r="A5068" s="51">
        <v>44932</v>
      </c>
      <c r="B5068" s="52">
        <v>1372</v>
      </c>
      <c r="C5068" s="8" t="s">
        <v>1567</v>
      </c>
      <c r="D5068" s="8" t="s">
        <v>339</v>
      </c>
      <c r="E5068" s="52">
        <v>8</v>
      </c>
      <c r="F5068" s="13">
        <v>3101.9</v>
      </c>
      <c r="G5068" s="13"/>
    </row>
    <row r="5069" spans="1:7" hidden="1" x14ac:dyDescent="0.75">
      <c r="A5069" s="51">
        <v>44935</v>
      </c>
      <c r="B5069" s="52">
        <v>1372</v>
      </c>
      <c r="C5069" s="8" t="s">
        <v>4677</v>
      </c>
      <c r="D5069" s="8" t="s">
        <v>339</v>
      </c>
      <c r="E5069" s="52">
        <v>677</v>
      </c>
      <c r="F5069" s="13"/>
      <c r="G5069" s="13">
        <v>2795.18</v>
      </c>
    </row>
    <row r="5070" spans="1:7" hidden="1" x14ac:dyDescent="0.75">
      <c r="A5070" s="51">
        <v>44939</v>
      </c>
      <c r="B5070" s="52">
        <v>1372</v>
      </c>
      <c r="C5070" s="8" t="s">
        <v>1660</v>
      </c>
      <c r="D5070" s="8" t="s">
        <v>339</v>
      </c>
      <c r="E5070" s="52">
        <v>8</v>
      </c>
      <c r="F5070" s="13">
        <v>2795.18</v>
      </c>
      <c r="G5070" s="13"/>
    </row>
    <row r="5071" spans="1:7" hidden="1" x14ac:dyDescent="0.75">
      <c r="A5071" s="51">
        <v>44942</v>
      </c>
      <c r="B5071" s="52">
        <v>1372</v>
      </c>
      <c r="C5071" s="8" t="s">
        <v>4678</v>
      </c>
      <c r="D5071" s="8" t="s">
        <v>339</v>
      </c>
      <c r="E5071" s="52">
        <v>677</v>
      </c>
      <c r="F5071" s="13"/>
      <c r="G5071" s="13">
        <v>2636.73</v>
      </c>
    </row>
    <row r="5072" spans="1:7" hidden="1" x14ac:dyDescent="0.75">
      <c r="A5072" s="51">
        <v>44946</v>
      </c>
      <c r="B5072" s="52">
        <v>1372</v>
      </c>
      <c r="C5072" s="8" t="s">
        <v>1728</v>
      </c>
      <c r="D5072" s="8" t="s">
        <v>339</v>
      </c>
      <c r="E5072" s="52">
        <v>8</v>
      </c>
      <c r="F5072" s="13">
        <v>2636.73</v>
      </c>
      <c r="G5072" s="13"/>
    </row>
    <row r="5073" spans="1:7" hidden="1" x14ac:dyDescent="0.75">
      <c r="A5073" s="51">
        <v>44949</v>
      </c>
      <c r="B5073" s="52">
        <v>1372</v>
      </c>
      <c r="C5073" s="8" t="s">
        <v>4679</v>
      </c>
      <c r="D5073" s="8" t="s">
        <v>339</v>
      </c>
      <c r="E5073" s="52">
        <v>677</v>
      </c>
      <c r="F5073" s="13"/>
      <c r="G5073" s="13">
        <v>2808.51</v>
      </c>
    </row>
    <row r="5074" spans="1:7" hidden="1" x14ac:dyDescent="0.75">
      <c r="A5074" s="51">
        <v>44953</v>
      </c>
      <c r="B5074" s="52">
        <v>1372</v>
      </c>
      <c r="C5074" s="8" t="s">
        <v>1817</v>
      </c>
      <c r="D5074" s="8" t="s">
        <v>339</v>
      </c>
      <c r="E5074" s="52">
        <v>8</v>
      </c>
      <c r="F5074" s="13">
        <v>2808.51</v>
      </c>
      <c r="G5074" s="13"/>
    </row>
    <row r="5075" spans="1:7" hidden="1" x14ac:dyDescent="0.75">
      <c r="A5075" s="51">
        <v>44956</v>
      </c>
      <c r="B5075" s="52">
        <v>1372</v>
      </c>
      <c r="C5075" s="8" t="s">
        <v>4680</v>
      </c>
      <c r="D5075" s="8" t="s">
        <v>339</v>
      </c>
      <c r="E5075" s="52">
        <v>677</v>
      </c>
      <c r="F5075" s="13"/>
      <c r="G5075" s="13">
        <v>2631.75</v>
      </c>
    </row>
    <row r="5076" spans="1:7" hidden="1" x14ac:dyDescent="0.75">
      <c r="A5076" s="51">
        <v>44928</v>
      </c>
      <c r="B5076" s="52">
        <v>1394</v>
      </c>
      <c r="C5076" s="8" t="s">
        <v>4681</v>
      </c>
      <c r="D5076" s="8" t="s">
        <v>856</v>
      </c>
      <c r="E5076" s="52">
        <v>1474</v>
      </c>
      <c r="F5076" s="13">
        <v>1700</v>
      </c>
      <c r="G5076" s="13"/>
    </row>
    <row r="5077" spans="1:7" hidden="1" x14ac:dyDescent="0.75">
      <c r="A5077" s="51">
        <v>44932</v>
      </c>
      <c r="B5077" s="52">
        <v>1394</v>
      </c>
      <c r="C5077" s="8" t="s">
        <v>4558</v>
      </c>
      <c r="D5077" s="8" t="s">
        <v>856</v>
      </c>
      <c r="E5077" s="52">
        <v>58</v>
      </c>
      <c r="F5077" s="13"/>
      <c r="G5077" s="13">
        <v>662</v>
      </c>
    </row>
    <row r="5078" spans="1:7" hidden="1" x14ac:dyDescent="0.75">
      <c r="A5078" s="51">
        <v>44936</v>
      </c>
      <c r="B5078" s="52">
        <v>1396</v>
      </c>
      <c r="C5078" s="8" t="s">
        <v>1624</v>
      </c>
      <c r="D5078" s="8" t="s">
        <v>345</v>
      </c>
      <c r="E5078" s="52">
        <v>8</v>
      </c>
      <c r="F5078" s="13">
        <v>15430</v>
      </c>
      <c r="G5078" s="13"/>
    </row>
    <row r="5079" spans="1:7" hidden="1" x14ac:dyDescent="0.75">
      <c r="A5079" s="51">
        <v>44953</v>
      </c>
      <c r="B5079" s="52">
        <v>1399</v>
      </c>
      <c r="C5079" s="8" t="s">
        <v>4430</v>
      </c>
      <c r="D5079" s="8" t="s">
        <v>347</v>
      </c>
      <c r="E5079" s="52">
        <v>55</v>
      </c>
      <c r="F5079" s="13"/>
      <c r="G5079" s="13">
        <v>47.6</v>
      </c>
    </row>
    <row r="5080" spans="1:7" hidden="1" x14ac:dyDescent="0.75">
      <c r="A5080" s="51">
        <v>44937</v>
      </c>
      <c r="B5080" s="52">
        <v>1401</v>
      </c>
      <c r="C5080" s="8" t="s">
        <v>4005</v>
      </c>
      <c r="D5080" s="8" t="s">
        <v>351</v>
      </c>
      <c r="E5080" s="52">
        <v>55</v>
      </c>
      <c r="F5080" s="13"/>
      <c r="G5080" s="13">
        <v>185</v>
      </c>
    </row>
    <row r="5081" spans="1:7" hidden="1" x14ac:dyDescent="0.75">
      <c r="A5081" s="51">
        <v>44942</v>
      </c>
      <c r="B5081" s="52">
        <v>1401</v>
      </c>
      <c r="C5081" s="8" t="s">
        <v>1694</v>
      </c>
      <c r="D5081" s="8" t="s">
        <v>351</v>
      </c>
      <c r="E5081" s="52">
        <v>8</v>
      </c>
      <c r="F5081" s="13">
        <v>740</v>
      </c>
      <c r="G5081" s="13"/>
    </row>
    <row r="5082" spans="1:7" hidden="1" x14ac:dyDescent="0.75">
      <c r="A5082" s="51">
        <v>44956</v>
      </c>
      <c r="B5082" s="52">
        <v>1401</v>
      </c>
      <c r="C5082" s="8" t="s">
        <v>1828</v>
      </c>
      <c r="D5082" s="8" t="s">
        <v>351</v>
      </c>
      <c r="E5082" s="52">
        <v>8</v>
      </c>
      <c r="F5082" s="13">
        <v>925</v>
      </c>
      <c r="G5082" s="13"/>
    </row>
    <row r="5083" spans="1:7" hidden="1" x14ac:dyDescent="0.75">
      <c r="A5083" s="51">
        <v>44928</v>
      </c>
      <c r="B5083" s="52">
        <v>1405</v>
      </c>
      <c r="C5083" s="8" t="s">
        <v>3731</v>
      </c>
      <c r="D5083" s="8" t="s">
        <v>355</v>
      </c>
      <c r="E5083" s="52">
        <v>55</v>
      </c>
      <c r="F5083" s="13"/>
      <c r="G5083" s="13">
        <v>2663</v>
      </c>
    </row>
    <row r="5084" spans="1:7" hidden="1" x14ac:dyDescent="0.75">
      <c r="A5084" s="51">
        <v>44928</v>
      </c>
      <c r="B5084" s="52">
        <v>1405</v>
      </c>
      <c r="C5084" s="8" t="s">
        <v>3732</v>
      </c>
      <c r="D5084" s="8" t="s">
        <v>355</v>
      </c>
      <c r="E5084" s="52">
        <v>55</v>
      </c>
      <c r="F5084" s="13"/>
      <c r="G5084" s="13">
        <v>1356</v>
      </c>
    </row>
    <row r="5085" spans="1:7" hidden="1" x14ac:dyDescent="0.75">
      <c r="A5085" s="51">
        <v>44929</v>
      </c>
      <c r="B5085" s="52">
        <v>1405</v>
      </c>
      <c r="C5085" s="8" t="s">
        <v>3754</v>
      </c>
      <c r="D5085" s="8" t="s">
        <v>355</v>
      </c>
      <c r="E5085" s="52">
        <v>55</v>
      </c>
      <c r="F5085" s="13"/>
      <c r="G5085" s="13">
        <v>3825</v>
      </c>
    </row>
    <row r="5086" spans="1:7" hidden="1" x14ac:dyDescent="0.75">
      <c r="A5086" s="51">
        <v>44930</v>
      </c>
      <c r="B5086" s="52">
        <v>1405</v>
      </c>
      <c r="C5086" s="8" t="s">
        <v>3785</v>
      </c>
      <c r="D5086" s="8" t="s">
        <v>355</v>
      </c>
      <c r="E5086" s="52">
        <v>55</v>
      </c>
      <c r="F5086" s="13"/>
      <c r="G5086" s="13">
        <v>2976.5</v>
      </c>
    </row>
    <row r="5087" spans="1:7" hidden="1" x14ac:dyDescent="0.75">
      <c r="A5087" s="51">
        <v>44931</v>
      </c>
      <c r="B5087" s="52">
        <v>1405</v>
      </c>
      <c r="C5087" s="8" t="s">
        <v>3820</v>
      </c>
      <c r="D5087" s="8" t="s">
        <v>355</v>
      </c>
      <c r="E5087" s="52">
        <v>55</v>
      </c>
      <c r="F5087" s="13"/>
      <c r="G5087" s="13">
        <v>1643.2</v>
      </c>
    </row>
    <row r="5088" spans="1:7" hidden="1" x14ac:dyDescent="0.75">
      <c r="A5088" s="51">
        <v>44932</v>
      </c>
      <c r="B5088" s="52">
        <v>1405</v>
      </c>
      <c r="C5088" s="8" t="s">
        <v>3843</v>
      </c>
      <c r="D5088" s="8" t="s">
        <v>355</v>
      </c>
      <c r="E5088" s="52">
        <v>55</v>
      </c>
      <c r="F5088" s="13"/>
      <c r="G5088" s="13">
        <v>4639.8</v>
      </c>
    </row>
    <row r="5089" spans="1:7" hidden="1" x14ac:dyDescent="0.75">
      <c r="A5089" s="51">
        <v>44933</v>
      </c>
      <c r="B5089" s="52">
        <v>1405</v>
      </c>
      <c r="C5089" s="8" t="s">
        <v>3879</v>
      </c>
      <c r="D5089" s="8" t="s">
        <v>355</v>
      </c>
      <c r="E5089" s="52">
        <v>55</v>
      </c>
      <c r="F5089" s="13"/>
      <c r="G5089" s="13">
        <v>1657.5</v>
      </c>
    </row>
    <row r="5090" spans="1:7" hidden="1" x14ac:dyDescent="0.75">
      <c r="A5090" s="51">
        <v>44935</v>
      </c>
      <c r="B5090" s="52">
        <v>1405</v>
      </c>
      <c r="C5090" s="8" t="s">
        <v>3918</v>
      </c>
      <c r="D5090" s="8" t="s">
        <v>355</v>
      </c>
      <c r="E5090" s="52">
        <v>55</v>
      </c>
      <c r="F5090" s="13"/>
      <c r="G5090" s="13">
        <v>1467</v>
      </c>
    </row>
    <row r="5091" spans="1:7" hidden="1" x14ac:dyDescent="0.75">
      <c r="A5091" s="51">
        <v>44935</v>
      </c>
      <c r="B5091" s="52">
        <v>1405</v>
      </c>
      <c r="C5091" s="8" t="s">
        <v>3927</v>
      </c>
      <c r="D5091" s="8" t="s">
        <v>355</v>
      </c>
      <c r="E5091" s="52">
        <v>55</v>
      </c>
      <c r="F5091" s="13"/>
      <c r="G5091" s="13">
        <v>6080.3</v>
      </c>
    </row>
    <row r="5092" spans="1:7" hidden="1" x14ac:dyDescent="0.75">
      <c r="A5092" s="51">
        <v>44936</v>
      </c>
      <c r="B5092" s="52">
        <v>1405</v>
      </c>
      <c r="C5092" s="8" t="s">
        <v>3956</v>
      </c>
      <c r="D5092" s="8" t="s">
        <v>355</v>
      </c>
      <c r="E5092" s="52">
        <v>55</v>
      </c>
      <c r="F5092" s="13"/>
      <c r="G5092" s="13">
        <v>3898.5</v>
      </c>
    </row>
    <row r="5093" spans="1:7" hidden="1" x14ac:dyDescent="0.75">
      <c r="A5093" s="51">
        <v>44936</v>
      </c>
      <c r="B5093" s="52">
        <v>1405</v>
      </c>
      <c r="C5093" s="8" t="s">
        <v>1625</v>
      </c>
      <c r="D5093" s="8" t="s">
        <v>355</v>
      </c>
      <c r="E5093" s="52">
        <v>8</v>
      </c>
      <c r="F5093" s="13">
        <v>19688.599999999999</v>
      </c>
      <c r="G5093" s="13"/>
    </row>
    <row r="5094" spans="1:7" hidden="1" x14ac:dyDescent="0.75">
      <c r="A5094" s="51">
        <v>44936</v>
      </c>
      <c r="B5094" s="52">
        <v>1405</v>
      </c>
      <c r="C5094" s="8" t="s">
        <v>1625</v>
      </c>
      <c r="D5094" s="8" t="s">
        <v>355</v>
      </c>
      <c r="E5094" s="52">
        <v>8</v>
      </c>
      <c r="F5094" s="13">
        <v>18761</v>
      </c>
      <c r="G5094" s="13"/>
    </row>
    <row r="5095" spans="1:7" hidden="1" x14ac:dyDescent="0.75">
      <c r="A5095" s="51">
        <v>44937</v>
      </c>
      <c r="B5095" s="52">
        <v>1405</v>
      </c>
      <c r="C5095" s="8" t="s">
        <v>3994</v>
      </c>
      <c r="D5095" s="8" t="s">
        <v>355</v>
      </c>
      <c r="E5095" s="52">
        <v>55</v>
      </c>
      <c r="F5095" s="13"/>
      <c r="G5095" s="13">
        <v>4466.5</v>
      </c>
    </row>
    <row r="5096" spans="1:7" hidden="1" x14ac:dyDescent="0.75">
      <c r="A5096" s="51">
        <v>44938</v>
      </c>
      <c r="B5096" s="52">
        <v>1405</v>
      </c>
      <c r="C5096" s="8" t="s">
        <v>4021</v>
      </c>
      <c r="D5096" s="8" t="s">
        <v>355</v>
      </c>
      <c r="E5096" s="52">
        <v>55</v>
      </c>
      <c r="F5096" s="13"/>
      <c r="G5096" s="13">
        <v>3209.5</v>
      </c>
    </row>
    <row r="5097" spans="1:7" hidden="1" x14ac:dyDescent="0.75">
      <c r="A5097" s="51">
        <v>44939</v>
      </c>
      <c r="B5097" s="52">
        <v>1405</v>
      </c>
      <c r="C5097" s="8" t="s">
        <v>4051</v>
      </c>
      <c r="D5097" s="8" t="s">
        <v>355</v>
      </c>
      <c r="E5097" s="52">
        <v>55</v>
      </c>
      <c r="F5097" s="13"/>
      <c r="G5097" s="13">
        <v>4160.5</v>
      </c>
    </row>
    <row r="5098" spans="1:7" hidden="1" x14ac:dyDescent="0.75">
      <c r="A5098" s="51">
        <v>44939</v>
      </c>
      <c r="B5098" s="52">
        <v>1405</v>
      </c>
      <c r="C5098" s="8" t="s">
        <v>4071</v>
      </c>
      <c r="D5098" s="8" t="s">
        <v>355</v>
      </c>
      <c r="E5098" s="52">
        <v>55</v>
      </c>
      <c r="F5098" s="13">
        <v>2340</v>
      </c>
      <c r="G5098" s="13"/>
    </row>
    <row r="5099" spans="1:7" hidden="1" x14ac:dyDescent="0.75">
      <c r="A5099" s="51">
        <v>44939</v>
      </c>
      <c r="B5099" s="52">
        <v>1405</v>
      </c>
      <c r="C5099" s="8" t="s">
        <v>4072</v>
      </c>
      <c r="D5099" s="8" t="s">
        <v>355</v>
      </c>
      <c r="E5099" s="52">
        <v>55</v>
      </c>
      <c r="F5099" s="13">
        <v>1170</v>
      </c>
      <c r="G5099" s="13"/>
    </row>
    <row r="5100" spans="1:7" hidden="1" x14ac:dyDescent="0.75">
      <c r="A5100" s="51">
        <v>44939</v>
      </c>
      <c r="B5100" s="52">
        <v>1405</v>
      </c>
      <c r="C5100" s="8" t="s">
        <v>4073</v>
      </c>
      <c r="D5100" s="8" t="s">
        <v>355</v>
      </c>
      <c r="E5100" s="52">
        <v>55</v>
      </c>
      <c r="F5100" s="13">
        <v>1170</v>
      </c>
      <c r="G5100" s="13"/>
    </row>
    <row r="5101" spans="1:7" hidden="1" x14ac:dyDescent="0.75">
      <c r="A5101" s="51">
        <v>44939</v>
      </c>
      <c r="B5101" s="52">
        <v>1405</v>
      </c>
      <c r="C5101" s="8" t="s">
        <v>4074</v>
      </c>
      <c r="D5101" s="8" t="s">
        <v>355</v>
      </c>
      <c r="E5101" s="52">
        <v>55</v>
      </c>
      <c r="F5101" s="13">
        <v>1170</v>
      </c>
      <c r="G5101" s="13"/>
    </row>
    <row r="5102" spans="1:7" hidden="1" x14ac:dyDescent="0.75">
      <c r="A5102" s="51">
        <v>44940</v>
      </c>
      <c r="B5102" s="52">
        <v>1405</v>
      </c>
      <c r="C5102" s="8" t="s">
        <v>4086</v>
      </c>
      <c r="D5102" s="8" t="s">
        <v>355</v>
      </c>
      <c r="E5102" s="52">
        <v>55</v>
      </c>
      <c r="F5102" s="13"/>
      <c r="G5102" s="13">
        <v>1134.5</v>
      </c>
    </row>
    <row r="5103" spans="1:7" hidden="1" x14ac:dyDescent="0.75">
      <c r="A5103" s="51">
        <v>44942</v>
      </c>
      <c r="B5103" s="52">
        <v>1405</v>
      </c>
      <c r="C5103" s="8" t="s">
        <v>4111</v>
      </c>
      <c r="D5103" s="8" t="s">
        <v>355</v>
      </c>
      <c r="E5103" s="52">
        <v>55</v>
      </c>
      <c r="F5103" s="13"/>
      <c r="G5103" s="13">
        <v>6067</v>
      </c>
    </row>
    <row r="5104" spans="1:7" hidden="1" x14ac:dyDescent="0.75">
      <c r="A5104" s="51">
        <v>44943</v>
      </c>
      <c r="B5104" s="52">
        <v>1405</v>
      </c>
      <c r="C5104" s="8" t="s">
        <v>4136</v>
      </c>
      <c r="D5104" s="8" t="s">
        <v>355</v>
      </c>
      <c r="E5104" s="52">
        <v>55</v>
      </c>
      <c r="F5104" s="13"/>
      <c r="G5104" s="13">
        <v>2973.7</v>
      </c>
    </row>
    <row r="5105" spans="1:7" hidden="1" x14ac:dyDescent="0.75">
      <c r="A5105" s="51">
        <v>44944</v>
      </c>
      <c r="B5105" s="52">
        <v>1405</v>
      </c>
      <c r="C5105" s="8" t="s">
        <v>4170</v>
      </c>
      <c r="D5105" s="8" t="s">
        <v>355</v>
      </c>
      <c r="E5105" s="52">
        <v>55</v>
      </c>
      <c r="F5105" s="13"/>
      <c r="G5105" s="13">
        <v>3615</v>
      </c>
    </row>
    <row r="5106" spans="1:7" hidden="1" x14ac:dyDescent="0.75">
      <c r="A5106" s="51">
        <v>44945</v>
      </c>
      <c r="B5106" s="52">
        <v>1405</v>
      </c>
      <c r="C5106" s="8" t="s">
        <v>4198</v>
      </c>
      <c r="D5106" s="8" t="s">
        <v>355</v>
      </c>
      <c r="E5106" s="52">
        <v>55</v>
      </c>
      <c r="F5106" s="13"/>
      <c r="G5106" s="13">
        <v>2703</v>
      </c>
    </row>
    <row r="5107" spans="1:7" hidden="1" x14ac:dyDescent="0.75">
      <c r="A5107" s="51">
        <v>44946</v>
      </c>
      <c r="B5107" s="52">
        <v>1405</v>
      </c>
      <c r="C5107" s="8" t="s">
        <v>4227</v>
      </c>
      <c r="D5107" s="8" t="s">
        <v>355</v>
      </c>
      <c r="E5107" s="52">
        <v>55</v>
      </c>
      <c r="F5107" s="13"/>
      <c r="G5107" s="13">
        <v>3828.3</v>
      </c>
    </row>
    <row r="5108" spans="1:7" hidden="1" x14ac:dyDescent="0.75">
      <c r="A5108" s="51">
        <v>44946</v>
      </c>
      <c r="B5108" s="52">
        <v>1405</v>
      </c>
      <c r="C5108" s="8" t="s">
        <v>1625</v>
      </c>
      <c r="D5108" s="8" t="s">
        <v>355</v>
      </c>
      <c r="E5108" s="52">
        <v>8</v>
      </c>
      <c r="F5108" s="13">
        <v>18566.8</v>
      </c>
      <c r="G5108" s="13"/>
    </row>
    <row r="5109" spans="1:7" hidden="1" x14ac:dyDescent="0.75">
      <c r="A5109" s="51">
        <v>44947</v>
      </c>
      <c r="B5109" s="52">
        <v>1405</v>
      </c>
      <c r="C5109" s="8" t="s">
        <v>4260</v>
      </c>
      <c r="D5109" s="8" t="s">
        <v>355</v>
      </c>
      <c r="E5109" s="52">
        <v>55</v>
      </c>
      <c r="F5109" s="13"/>
      <c r="G5109" s="13">
        <v>591.5</v>
      </c>
    </row>
    <row r="5110" spans="1:7" hidden="1" x14ac:dyDescent="0.75">
      <c r="A5110" s="51">
        <v>44949</v>
      </c>
      <c r="B5110" s="52">
        <v>1405</v>
      </c>
      <c r="C5110" s="8" t="s">
        <v>4287</v>
      </c>
      <c r="D5110" s="8" t="s">
        <v>355</v>
      </c>
      <c r="E5110" s="52">
        <v>55</v>
      </c>
      <c r="F5110" s="13"/>
      <c r="G5110" s="13">
        <v>1437</v>
      </c>
    </row>
    <row r="5111" spans="1:7" hidden="1" x14ac:dyDescent="0.75">
      <c r="A5111" s="51">
        <v>44949</v>
      </c>
      <c r="B5111" s="52">
        <v>1405</v>
      </c>
      <c r="C5111" s="8" t="s">
        <v>4291</v>
      </c>
      <c r="D5111" s="8" t="s">
        <v>355</v>
      </c>
      <c r="E5111" s="52">
        <v>55</v>
      </c>
      <c r="F5111" s="13"/>
      <c r="G5111" s="13">
        <v>3196.5</v>
      </c>
    </row>
    <row r="5112" spans="1:7" hidden="1" x14ac:dyDescent="0.75">
      <c r="A5112" s="51">
        <v>44950</v>
      </c>
      <c r="B5112" s="52">
        <v>1405</v>
      </c>
      <c r="C5112" s="8" t="s">
        <v>4315</v>
      </c>
      <c r="D5112" s="8" t="s">
        <v>355</v>
      </c>
      <c r="E5112" s="52">
        <v>55</v>
      </c>
      <c r="F5112" s="13"/>
      <c r="G5112" s="13">
        <v>2444.5</v>
      </c>
    </row>
    <row r="5113" spans="1:7" hidden="1" x14ac:dyDescent="0.75">
      <c r="A5113" s="51">
        <v>44951</v>
      </c>
      <c r="B5113" s="52">
        <v>1405</v>
      </c>
      <c r="C5113" s="8" t="s">
        <v>4358</v>
      </c>
      <c r="D5113" s="8" t="s">
        <v>355</v>
      </c>
      <c r="E5113" s="52">
        <v>55</v>
      </c>
      <c r="F5113" s="13"/>
      <c r="G5113" s="13">
        <v>3358</v>
      </c>
    </row>
    <row r="5114" spans="1:7" hidden="1" x14ac:dyDescent="0.75">
      <c r="A5114" s="51">
        <v>44952</v>
      </c>
      <c r="B5114" s="52">
        <v>1405</v>
      </c>
      <c r="C5114" s="8" t="s">
        <v>4390</v>
      </c>
      <c r="D5114" s="8" t="s">
        <v>355</v>
      </c>
      <c r="E5114" s="52">
        <v>55</v>
      </c>
      <c r="F5114" s="13"/>
      <c r="G5114" s="13">
        <v>2404.5</v>
      </c>
    </row>
    <row r="5115" spans="1:7" hidden="1" x14ac:dyDescent="0.75">
      <c r="A5115" s="51">
        <v>44953</v>
      </c>
      <c r="B5115" s="52">
        <v>1405</v>
      </c>
      <c r="C5115" s="8" t="s">
        <v>4420</v>
      </c>
      <c r="D5115" s="8" t="s">
        <v>355</v>
      </c>
      <c r="E5115" s="52">
        <v>55</v>
      </c>
      <c r="F5115" s="13"/>
      <c r="G5115" s="13">
        <v>4078.3</v>
      </c>
    </row>
    <row r="5116" spans="1:7" hidden="1" x14ac:dyDescent="0.75">
      <c r="A5116" s="51">
        <v>44954</v>
      </c>
      <c r="B5116" s="52">
        <v>1405</v>
      </c>
      <c r="C5116" s="8" t="s">
        <v>4457</v>
      </c>
      <c r="D5116" s="8" t="s">
        <v>355</v>
      </c>
      <c r="E5116" s="52">
        <v>55</v>
      </c>
      <c r="F5116" s="13"/>
      <c r="G5116" s="13">
        <v>615.5</v>
      </c>
    </row>
    <row r="5117" spans="1:7" hidden="1" x14ac:dyDescent="0.75">
      <c r="A5117" s="51">
        <v>44956</v>
      </c>
      <c r="B5117" s="52">
        <v>1405</v>
      </c>
      <c r="C5117" s="8" t="s">
        <v>4482</v>
      </c>
      <c r="D5117" s="8" t="s">
        <v>355</v>
      </c>
      <c r="E5117" s="52">
        <v>55</v>
      </c>
      <c r="F5117" s="13"/>
      <c r="G5117" s="13">
        <v>587</v>
      </c>
    </row>
    <row r="5118" spans="1:7" hidden="1" x14ac:dyDescent="0.75">
      <c r="A5118" s="51">
        <v>44956</v>
      </c>
      <c r="B5118" s="52">
        <v>1405</v>
      </c>
      <c r="C5118" s="8" t="s">
        <v>4487</v>
      </c>
      <c r="D5118" s="8" t="s">
        <v>355</v>
      </c>
      <c r="E5118" s="52">
        <v>55</v>
      </c>
      <c r="F5118" s="13"/>
      <c r="G5118" s="13">
        <v>2554</v>
      </c>
    </row>
    <row r="5119" spans="1:7" hidden="1" x14ac:dyDescent="0.75">
      <c r="A5119" s="51">
        <v>44956</v>
      </c>
      <c r="B5119" s="52">
        <v>1405</v>
      </c>
      <c r="C5119" s="8" t="s">
        <v>1625</v>
      </c>
      <c r="D5119" s="8" t="s">
        <v>355</v>
      </c>
      <c r="E5119" s="52">
        <v>8</v>
      </c>
      <c r="F5119" s="13">
        <v>19778.5</v>
      </c>
      <c r="G5119" s="13"/>
    </row>
    <row r="5120" spans="1:7" hidden="1" x14ac:dyDescent="0.75">
      <c r="A5120" s="51">
        <v>44957</v>
      </c>
      <c r="B5120" s="52">
        <v>1405</v>
      </c>
      <c r="C5120" s="8" t="s">
        <v>4515</v>
      </c>
      <c r="D5120" s="8" t="s">
        <v>355</v>
      </c>
      <c r="E5120" s="52">
        <v>55</v>
      </c>
      <c r="F5120" s="13"/>
      <c r="G5120" s="13">
        <v>2934.5</v>
      </c>
    </row>
    <row r="5121" spans="1:7" hidden="1" x14ac:dyDescent="0.75">
      <c r="A5121" s="51">
        <v>44928</v>
      </c>
      <c r="B5121" s="52">
        <v>1406</v>
      </c>
      <c r="C5121" s="8" t="s">
        <v>3730</v>
      </c>
      <c r="D5121" s="8" t="s">
        <v>357</v>
      </c>
      <c r="E5121" s="52">
        <v>55</v>
      </c>
      <c r="F5121" s="13"/>
      <c r="G5121" s="13">
        <v>1500.75</v>
      </c>
    </row>
    <row r="5122" spans="1:7" hidden="1" x14ac:dyDescent="0.75">
      <c r="A5122" s="51">
        <v>44928</v>
      </c>
      <c r="B5122" s="52">
        <v>1406</v>
      </c>
      <c r="C5122" s="8" t="s">
        <v>1529</v>
      </c>
      <c r="D5122" s="8" t="s">
        <v>357</v>
      </c>
      <c r="E5122" s="52">
        <v>8</v>
      </c>
      <c r="F5122" s="13">
        <v>10936.75</v>
      </c>
      <c r="G5122" s="13"/>
    </row>
    <row r="5123" spans="1:7" hidden="1" x14ac:dyDescent="0.75">
      <c r="A5123" s="51">
        <v>44930</v>
      </c>
      <c r="B5123" s="52">
        <v>1406</v>
      </c>
      <c r="C5123" s="8" t="s">
        <v>3796</v>
      </c>
      <c r="D5123" s="8" t="s">
        <v>357</v>
      </c>
      <c r="E5123" s="52">
        <v>55</v>
      </c>
      <c r="F5123" s="13"/>
      <c r="G5123" s="13">
        <v>1023.5</v>
      </c>
    </row>
    <row r="5124" spans="1:7" hidden="1" x14ac:dyDescent="0.75">
      <c r="A5124" s="51">
        <v>44932</v>
      </c>
      <c r="B5124" s="52">
        <v>1406</v>
      </c>
      <c r="C5124" s="8" t="s">
        <v>3852</v>
      </c>
      <c r="D5124" s="8" t="s">
        <v>357</v>
      </c>
      <c r="E5124" s="52">
        <v>55</v>
      </c>
      <c r="F5124" s="13"/>
      <c r="G5124" s="13">
        <v>690</v>
      </c>
    </row>
    <row r="5125" spans="1:7" hidden="1" x14ac:dyDescent="0.75">
      <c r="A5125" s="51">
        <v>44935</v>
      </c>
      <c r="B5125" s="52">
        <v>1406</v>
      </c>
      <c r="C5125" s="8" t="s">
        <v>3925</v>
      </c>
      <c r="D5125" s="8" t="s">
        <v>357</v>
      </c>
      <c r="E5125" s="52">
        <v>55</v>
      </c>
      <c r="F5125" s="13"/>
      <c r="G5125" s="13">
        <v>887.5</v>
      </c>
    </row>
    <row r="5126" spans="1:7" hidden="1" x14ac:dyDescent="0.75">
      <c r="A5126" s="51">
        <v>44937</v>
      </c>
      <c r="B5126" s="52">
        <v>1406</v>
      </c>
      <c r="C5126" s="8" t="s">
        <v>3997</v>
      </c>
      <c r="D5126" s="8" t="s">
        <v>357</v>
      </c>
      <c r="E5126" s="52">
        <v>55</v>
      </c>
      <c r="F5126" s="13"/>
      <c r="G5126" s="13">
        <v>1060.25</v>
      </c>
    </row>
    <row r="5127" spans="1:7" hidden="1" x14ac:dyDescent="0.75">
      <c r="A5127" s="51">
        <v>44939</v>
      </c>
      <c r="B5127" s="52">
        <v>1406</v>
      </c>
      <c r="C5127" s="8" t="s">
        <v>4054</v>
      </c>
      <c r="D5127" s="8" t="s">
        <v>357</v>
      </c>
      <c r="E5127" s="52">
        <v>55</v>
      </c>
      <c r="F5127" s="13"/>
      <c r="G5127" s="13">
        <v>1544.5</v>
      </c>
    </row>
    <row r="5128" spans="1:7" hidden="1" x14ac:dyDescent="0.75">
      <c r="A5128" s="51">
        <v>44942</v>
      </c>
      <c r="B5128" s="52">
        <v>1406</v>
      </c>
      <c r="C5128" s="8" t="s">
        <v>4116</v>
      </c>
      <c r="D5128" s="8" t="s">
        <v>357</v>
      </c>
      <c r="E5128" s="52">
        <v>55</v>
      </c>
      <c r="F5128" s="13"/>
      <c r="G5128" s="13">
        <v>1311</v>
      </c>
    </row>
    <row r="5129" spans="1:7" hidden="1" x14ac:dyDescent="0.75">
      <c r="A5129" s="51">
        <v>44942</v>
      </c>
      <c r="B5129" s="52">
        <v>1406</v>
      </c>
      <c r="C5129" s="8" t="s">
        <v>1529</v>
      </c>
      <c r="D5129" s="8" t="s">
        <v>357</v>
      </c>
      <c r="E5129" s="52">
        <v>8</v>
      </c>
      <c r="F5129" s="13">
        <v>6706.5</v>
      </c>
      <c r="G5129" s="13"/>
    </row>
    <row r="5130" spans="1:7" hidden="1" x14ac:dyDescent="0.75">
      <c r="A5130" s="51">
        <v>44944</v>
      </c>
      <c r="B5130" s="52">
        <v>1406</v>
      </c>
      <c r="C5130" s="8" t="s">
        <v>4174</v>
      </c>
      <c r="D5130" s="8" t="s">
        <v>357</v>
      </c>
      <c r="E5130" s="52">
        <v>55</v>
      </c>
      <c r="F5130" s="13"/>
      <c r="G5130" s="13">
        <v>1001</v>
      </c>
    </row>
    <row r="5131" spans="1:7" hidden="1" x14ac:dyDescent="0.75">
      <c r="A5131" s="51">
        <v>44946</v>
      </c>
      <c r="B5131" s="52">
        <v>1406</v>
      </c>
      <c r="C5131" s="8" t="s">
        <v>4234</v>
      </c>
      <c r="D5131" s="8" t="s">
        <v>357</v>
      </c>
      <c r="E5131" s="52">
        <v>55</v>
      </c>
      <c r="F5131" s="13"/>
      <c r="G5131" s="13">
        <v>1331.75</v>
      </c>
    </row>
    <row r="5132" spans="1:7" hidden="1" x14ac:dyDescent="0.75">
      <c r="A5132" s="51">
        <v>44950</v>
      </c>
      <c r="B5132" s="52">
        <v>1406</v>
      </c>
      <c r="C5132" s="8" t="s">
        <v>4323</v>
      </c>
      <c r="D5132" s="8" t="s">
        <v>357</v>
      </c>
      <c r="E5132" s="52">
        <v>55</v>
      </c>
      <c r="F5132" s="13"/>
      <c r="G5132" s="13">
        <v>1516.75</v>
      </c>
    </row>
    <row r="5133" spans="1:7" hidden="1" x14ac:dyDescent="0.75">
      <c r="A5133" s="51">
        <v>44951</v>
      </c>
      <c r="B5133" s="52">
        <v>1406</v>
      </c>
      <c r="C5133" s="8" t="s">
        <v>4363</v>
      </c>
      <c r="D5133" s="8" t="s">
        <v>357</v>
      </c>
      <c r="E5133" s="52">
        <v>55</v>
      </c>
      <c r="F5133" s="13"/>
      <c r="G5133" s="13">
        <v>1566.5</v>
      </c>
    </row>
    <row r="5134" spans="1:7" hidden="1" x14ac:dyDescent="0.75">
      <c r="A5134" s="51">
        <v>44953</v>
      </c>
      <c r="B5134" s="52">
        <v>1406</v>
      </c>
      <c r="C5134" s="8" t="s">
        <v>4428</v>
      </c>
      <c r="D5134" s="8" t="s">
        <v>357</v>
      </c>
      <c r="E5134" s="52">
        <v>55</v>
      </c>
      <c r="F5134" s="13"/>
      <c r="G5134" s="13">
        <v>1250.75</v>
      </c>
    </row>
    <row r="5135" spans="1:7" hidden="1" x14ac:dyDescent="0.75">
      <c r="A5135" s="51">
        <v>44956</v>
      </c>
      <c r="B5135" s="52">
        <v>1406</v>
      </c>
      <c r="C5135" s="8" t="s">
        <v>4491</v>
      </c>
      <c r="D5135" s="8" t="s">
        <v>357</v>
      </c>
      <c r="E5135" s="52">
        <v>55</v>
      </c>
      <c r="F5135" s="13"/>
      <c r="G5135" s="13">
        <v>1050.5</v>
      </c>
    </row>
    <row r="5136" spans="1:7" hidden="1" x14ac:dyDescent="0.75">
      <c r="A5136" s="51">
        <v>44957</v>
      </c>
      <c r="B5136" s="52">
        <v>1406</v>
      </c>
      <c r="C5136" s="8" t="s">
        <v>1529</v>
      </c>
      <c r="D5136" s="8" t="s">
        <v>357</v>
      </c>
      <c r="E5136" s="52">
        <v>8</v>
      </c>
      <c r="F5136" s="13">
        <v>8028.25</v>
      </c>
      <c r="G5136" s="13"/>
    </row>
    <row r="5137" spans="1:7" hidden="1" x14ac:dyDescent="0.75">
      <c r="A5137" s="51">
        <v>44937</v>
      </c>
      <c r="B5137" s="52">
        <v>1413</v>
      </c>
      <c r="C5137" s="8" t="s">
        <v>4008</v>
      </c>
      <c r="D5137" s="8" t="s">
        <v>361</v>
      </c>
      <c r="E5137" s="52">
        <v>55</v>
      </c>
      <c r="F5137" s="13"/>
      <c r="G5137" s="13">
        <v>90</v>
      </c>
    </row>
    <row r="5138" spans="1:7" hidden="1" x14ac:dyDescent="0.75">
      <c r="A5138" s="51">
        <v>44937</v>
      </c>
      <c r="B5138" s="52">
        <v>1413</v>
      </c>
      <c r="C5138" s="8" t="s">
        <v>1400</v>
      </c>
      <c r="D5138" s="8" t="s">
        <v>361</v>
      </c>
      <c r="E5138" s="52">
        <v>5</v>
      </c>
      <c r="F5138" s="13">
        <v>90</v>
      </c>
      <c r="G5138" s="13"/>
    </row>
    <row r="5139" spans="1:7" hidden="1" x14ac:dyDescent="0.75">
      <c r="A5139" s="51">
        <v>44945</v>
      </c>
      <c r="B5139" s="52">
        <v>1413</v>
      </c>
      <c r="C5139" s="8" t="s">
        <v>4213</v>
      </c>
      <c r="D5139" s="8" t="s">
        <v>361</v>
      </c>
      <c r="E5139" s="52">
        <v>55</v>
      </c>
      <c r="F5139" s="13"/>
      <c r="G5139" s="13">
        <v>130</v>
      </c>
    </row>
    <row r="5140" spans="1:7" hidden="1" x14ac:dyDescent="0.75">
      <c r="A5140" s="51">
        <v>44932</v>
      </c>
      <c r="B5140" s="52">
        <v>1419</v>
      </c>
      <c r="C5140" s="8" t="s">
        <v>1571</v>
      </c>
      <c r="D5140" s="8" t="s">
        <v>365</v>
      </c>
      <c r="E5140" s="52">
        <v>8</v>
      </c>
      <c r="F5140" s="13">
        <v>381.05</v>
      </c>
      <c r="G5140" s="13"/>
    </row>
    <row r="5141" spans="1:7" hidden="1" x14ac:dyDescent="0.75">
      <c r="A5141" s="51">
        <v>44943</v>
      </c>
      <c r="B5141" s="52">
        <v>1419</v>
      </c>
      <c r="C5141" s="8" t="s">
        <v>4682</v>
      </c>
      <c r="D5141" s="8" t="s">
        <v>365</v>
      </c>
      <c r="E5141" s="52">
        <v>659</v>
      </c>
      <c r="F5141" s="13"/>
      <c r="G5141" s="13">
        <v>381.05</v>
      </c>
    </row>
    <row r="5142" spans="1:7" hidden="1" x14ac:dyDescent="0.75">
      <c r="A5142" s="51">
        <v>44927</v>
      </c>
      <c r="B5142" s="52">
        <v>1444</v>
      </c>
      <c r="C5142" s="8" t="s">
        <v>4683</v>
      </c>
      <c r="D5142" s="8" t="s">
        <v>367</v>
      </c>
      <c r="E5142" s="52">
        <v>585</v>
      </c>
      <c r="F5142" s="13"/>
      <c r="G5142" s="13">
        <v>175</v>
      </c>
    </row>
    <row r="5143" spans="1:7" hidden="1" x14ac:dyDescent="0.75">
      <c r="A5143" s="51">
        <v>44942</v>
      </c>
      <c r="B5143" s="52">
        <v>1444</v>
      </c>
      <c r="C5143" s="8" t="s">
        <v>1685</v>
      </c>
      <c r="D5143" s="8" t="s">
        <v>367</v>
      </c>
      <c r="E5143" s="52">
        <v>8</v>
      </c>
      <c r="F5143" s="13">
        <v>175</v>
      </c>
      <c r="G5143" s="13"/>
    </row>
    <row r="5144" spans="1:7" hidden="1" x14ac:dyDescent="0.75">
      <c r="A5144" s="51">
        <v>44928</v>
      </c>
      <c r="B5144" s="52">
        <v>1449</v>
      </c>
      <c r="C5144" s="8" t="s">
        <v>4555</v>
      </c>
      <c r="D5144" s="8" t="s">
        <v>369</v>
      </c>
      <c r="E5144" s="52">
        <v>58</v>
      </c>
      <c r="F5144" s="13"/>
      <c r="G5144" s="13">
        <v>275</v>
      </c>
    </row>
    <row r="5145" spans="1:7" hidden="1" x14ac:dyDescent="0.75">
      <c r="A5145" s="51">
        <v>44938</v>
      </c>
      <c r="B5145" s="52">
        <v>1449</v>
      </c>
      <c r="C5145" s="8" t="s">
        <v>1658</v>
      </c>
      <c r="D5145" s="8" t="s">
        <v>369</v>
      </c>
      <c r="E5145" s="52">
        <v>8</v>
      </c>
      <c r="F5145" s="13">
        <v>275</v>
      </c>
      <c r="G5145" s="13"/>
    </row>
    <row r="5146" spans="1:7" hidden="1" x14ac:dyDescent="0.75">
      <c r="A5146" s="51">
        <v>44928</v>
      </c>
      <c r="B5146" s="52">
        <v>1458</v>
      </c>
      <c r="C5146" s="8" t="s">
        <v>4684</v>
      </c>
      <c r="D5146" s="8" t="s">
        <v>371</v>
      </c>
      <c r="E5146" s="52">
        <v>1474</v>
      </c>
      <c r="F5146" s="13">
        <v>1338.2</v>
      </c>
      <c r="G5146" s="13"/>
    </row>
    <row r="5147" spans="1:7" hidden="1" x14ac:dyDescent="0.75">
      <c r="A5147" s="51">
        <v>44928</v>
      </c>
      <c r="B5147" s="52">
        <v>1483</v>
      </c>
      <c r="C5147" s="8" t="s">
        <v>1518</v>
      </c>
      <c r="D5147" s="8" t="s">
        <v>377</v>
      </c>
      <c r="E5147" s="52">
        <v>8</v>
      </c>
      <c r="F5147" s="13">
        <v>600</v>
      </c>
      <c r="G5147" s="13"/>
    </row>
    <row r="5148" spans="1:7" hidden="1" x14ac:dyDescent="0.75">
      <c r="A5148" s="51">
        <v>44940</v>
      </c>
      <c r="B5148" s="52">
        <v>1483</v>
      </c>
      <c r="C5148" s="8" t="s">
        <v>4685</v>
      </c>
      <c r="D5148" s="8" t="s">
        <v>377</v>
      </c>
      <c r="E5148" s="52">
        <v>312</v>
      </c>
      <c r="F5148" s="13"/>
      <c r="G5148" s="13">
        <v>600</v>
      </c>
    </row>
    <row r="5149" spans="1:7" hidden="1" x14ac:dyDescent="0.75">
      <c r="A5149" s="51">
        <v>44942</v>
      </c>
      <c r="B5149" s="52">
        <v>1483</v>
      </c>
      <c r="C5149" s="8" t="s">
        <v>4686</v>
      </c>
      <c r="D5149" s="8" t="s">
        <v>377</v>
      </c>
      <c r="E5149" s="52">
        <v>312</v>
      </c>
      <c r="F5149" s="13"/>
      <c r="G5149" s="13">
        <v>1750</v>
      </c>
    </row>
    <row r="5150" spans="1:7" hidden="1" x14ac:dyDescent="0.75">
      <c r="A5150" s="51">
        <v>44945</v>
      </c>
      <c r="B5150" s="52">
        <v>1483</v>
      </c>
      <c r="C5150" s="8" t="s">
        <v>4687</v>
      </c>
      <c r="D5150" s="8" t="s">
        <v>377</v>
      </c>
      <c r="E5150" s="52">
        <v>312</v>
      </c>
      <c r="F5150" s="13"/>
      <c r="G5150" s="13">
        <v>600</v>
      </c>
    </row>
    <row r="5151" spans="1:7" hidden="1" x14ac:dyDescent="0.75">
      <c r="A5151" s="51">
        <v>44946</v>
      </c>
      <c r="B5151" s="52">
        <v>1483</v>
      </c>
      <c r="C5151" s="8" t="s">
        <v>1749</v>
      </c>
      <c r="D5151" s="8" t="s">
        <v>377</v>
      </c>
      <c r="E5151" s="52">
        <v>8</v>
      </c>
      <c r="F5151" s="13">
        <v>2700</v>
      </c>
      <c r="G5151" s="13"/>
    </row>
    <row r="5152" spans="1:7" hidden="1" x14ac:dyDescent="0.75">
      <c r="A5152" s="51">
        <v>44953</v>
      </c>
      <c r="B5152" s="52">
        <v>1483</v>
      </c>
      <c r="C5152" s="8" t="s">
        <v>4688</v>
      </c>
      <c r="D5152" s="8" t="s">
        <v>377</v>
      </c>
      <c r="E5152" s="52">
        <v>312</v>
      </c>
      <c r="F5152" s="13"/>
      <c r="G5152" s="13">
        <v>900</v>
      </c>
    </row>
    <row r="5153" spans="1:7" hidden="1" x14ac:dyDescent="0.75">
      <c r="A5153" s="51">
        <v>44931</v>
      </c>
      <c r="B5153" s="52">
        <v>1500</v>
      </c>
      <c r="C5153" s="8" t="s">
        <v>4689</v>
      </c>
      <c r="D5153" s="8" t="s">
        <v>381</v>
      </c>
      <c r="E5153" s="52">
        <v>312</v>
      </c>
      <c r="F5153" s="13"/>
      <c r="G5153" s="13">
        <v>24000</v>
      </c>
    </row>
    <row r="5154" spans="1:7" hidden="1" x14ac:dyDescent="0.75">
      <c r="A5154" s="51">
        <v>44936</v>
      </c>
      <c r="B5154" s="52">
        <v>1500</v>
      </c>
      <c r="C5154" s="8" t="s">
        <v>1623</v>
      </c>
      <c r="D5154" s="8" t="s">
        <v>381</v>
      </c>
      <c r="E5154" s="52">
        <v>8</v>
      </c>
      <c r="F5154" s="13">
        <v>24000</v>
      </c>
      <c r="G5154" s="13"/>
    </row>
    <row r="5155" spans="1:7" hidden="1" x14ac:dyDescent="0.75">
      <c r="A5155" s="51">
        <v>44928</v>
      </c>
      <c r="B5155" s="52">
        <v>1503</v>
      </c>
      <c r="C5155" s="8" t="s">
        <v>3729</v>
      </c>
      <c r="D5155" s="8" t="s">
        <v>383</v>
      </c>
      <c r="E5155" s="52">
        <v>55</v>
      </c>
      <c r="F5155" s="13"/>
      <c r="G5155" s="13">
        <v>1074</v>
      </c>
    </row>
    <row r="5156" spans="1:7" hidden="1" x14ac:dyDescent="0.75">
      <c r="A5156" s="51">
        <v>44929</v>
      </c>
      <c r="B5156" s="52">
        <v>1503</v>
      </c>
      <c r="C5156" s="8" t="s">
        <v>3756</v>
      </c>
      <c r="D5156" s="8" t="s">
        <v>383</v>
      </c>
      <c r="E5156" s="52">
        <v>55</v>
      </c>
      <c r="F5156" s="13"/>
      <c r="G5156" s="13">
        <v>1500</v>
      </c>
    </row>
    <row r="5157" spans="1:7" hidden="1" x14ac:dyDescent="0.75">
      <c r="A5157" s="51">
        <v>44930</v>
      </c>
      <c r="B5157" s="52">
        <v>1503</v>
      </c>
      <c r="C5157" s="8" t="s">
        <v>3787</v>
      </c>
      <c r="D5157" s="8" t="s">
        <v>383</v>
      </c>
      <c r="E5157" s="52">
        <v>55</v>
      </c>
      <c r="F5157" s="13"/>
      <c r="G5157" s="13">
        <v>1062</v>
      </c>
    </row>
    <row r="5158" spans="1:7" hidden="1" x14ac:dyDescent="0.75">
      <c r="A5158" s="51">
        <v>44931</v>
      </c>
      <c r="B5158" s="52">
        <v>1503</v>
      </c>
      <c r="C5158" s="8" t="s">
        <v>3822</v>
      </c>
      <c r="D5158" s="8" t="s">
        <v>383</v>
      </c>
      <c r="E5158" s="52">
        <v>55</v>
      </c>
      <c r="F5158" s="13"/>
      <c r="G5158" s="13">
        <v>1365</v>
      </c>
    </row>
    <row r="5159" spans="1:7" hidden="1" x14ac:dyDescent="0.75">
      <c r="A5159" s="51">
        <v>44932</v>
      </c>
      <c r="B5159" s="52">
        <v>1503</v>
      </c>
      <c r="C5159" s="8" t="s">
        <v>3850</v>
      </c>
      <c r="D5159" s="8" t="s">
        <v>383</v>
      </c>
      <c r="E5159" s="52">
        <v>55</v>
      </c>
      <c r="F5159" s="13"/>
      <c r="G5159" s="13">
        <v>180</v>
      </c>
    </row>
    <row r="5160" spans="1:7" hidden="1" x14ac:dyDescent="0.75">
      <c r="A5160" s="51">
        <v>44935</v>
      </c>
      <c r="B5160" s="52">
        <v>1503</v>
      </c>
      <c r="C5160" s="8" t="s">
        <v>3923</v>
      </c>
      <c r="D5160" s="8" t="s">
        <v>383</v>
      </c>
      <c r="E5160" s="52">
        <v>55</v>
      </c>
      <c r="F5160" s="13"/>
      <c r="G5160" s="13">
        <v>1488</v>
      </c>
    </row>
    <row r="5161" spans="1:7" hidden="1" x14ac:dyDescent="0.75">
      <c r="A5161" s="51">
        <v>44936</v>
      </c>
      <c r="B5161" s="52">
        <v>1503</v>
      </c>
      <c r="C5161" s="8" t="s">
        <v>3958</v>
      </c>
      <c r="D5161" s="8" t="s">
        <v>383</v>
      </c>
      <c r="E5161" s="52">
        <v>55</v>
      </c>
      <c r="F5161" s="13"/>
      <c r="G5161" s="13">
        <v>930</v>
      </c>
    </row>
    <row r="5162" spans="1:7" hidden="1" x14ac:dyDescent="0.75">
      <c r="A5162" s="51">
        <v>44936</v>
      </c>
      <c r="B5162" s="52">
        <v>1503</v>
      </c>
      <c r="C5162" s="8" t="s">
        <v>1635</v>
      </c>
      <c r="D5162" s="8" t="s">
        <v>383</v>
      </c>
      <c r="E5162" s="52">
        <v>8</v>
      </c>
      <c r="F5162" s="13">
        <v>20308.400000000001</v>
      </c>
      <c r="G5162" s="13"/>
    </row>
    <row r="5163" spans="1:7" hidden="1" x14ac:dyDescent="0.75">
      <c r="A5163" s="51">
        <v>44937</v>
      </c>
      <c r="B5163" s="52">
        <v>1503</v>
      </c>
      <c r="C5163" s="8" t="s">
        <v>3987</v>
      </c>
      <c r="D5163" s="8" t="s">
        <v>383</v>
      </c>
      <c r="E5163" s="52">
        <v>55</v>
      </c>
      <c r="F5163" s="13"/>
      <c r="G5163" s="13">
        <v>1472.5</v>
      </c>
    </row>
    <row r="5164" spans="1:7" hidden="1" x14ac:dyDescent="0.75">
      <c r="A5164" s="51">
        <v>44938</v>
      </c>
      <c r="B5164" s="52">
        <v>1503</v>
      </c>
      <c r="C5164" s="8" t="s">
        <v>4023</v>
      </c>
      <c r="D5164" s="8" t="s">
        <v>383</v>
      </c>
      <c r="E5164" s="52">
        <v>55</v>
      </c>
      <c r="F5164" s="13"/>
      <c r="G5164" s="13">
        <v>744</v>
      </c>
    </row>
    <row r="5165" spans="1:7" hidden="1" x14ac:dyDescent="0.75">
      <c r="A5165" s="51">
        <v>44939</v>
      </c>
      <c r="B5165" s="52">
        <v>1503</v>
      </c>
      <c r="C5165" s="8" t="s">
        <v>4045</v>
      </c>
      <c r="D5165" s="8" t="s">
        <v>383</v>
      </c>
      <c r="E5165" s="52">
        <v>55</v>
      </c>
      <c r="F5165" s="13"/>
      <c r="G5165" s="13">
        <v>976.5</v>
      </c>
    </row>
    <row r="5166" spans="1:7" hidden="1" x14ac:dyDescent="0.75">
      <c r="A5166" s="51">
        <v>44942</v>
      </c>
      <c r="B5166" s="52">
        <v>1503</v>
      </c>
      <c r="C5166" s="8" t="s">
        <v>4114</v>
      </c>
      <c r="D5166" s="8" t="s">
        <v>383</v>
      </c>
      <c r="E5166" s="52">
        <v>55</v>
      </c>
      <c r="F5166" s="13"/>
      <c r="G5166" s="13">
        <v>1865.6</v>
      </c>
    </row>
    <row r="5167" spans="1:7" hidden="1" x14ac:dyDescent="0.75">
      <c r="A5167" s="51">
        <v>44943</v>
      </c>
      <c r="B5167" s="52">
        <v>1503</v>
      </c>
      <c r="C5167" s="8" t="s">
        <v>4137</v>
      </c>
      <c r="D5167" s="8" t="s">
        <v>383</v>
      </c>
      <c r="E5167" s="52">
        <v>55</v>
      </c>
      <c r="F5167" s="13"/>
      <c r="G5167" s="13">
        <v>1920</v>
      </c>
    </row>
    <row r="5168" spans="1:7" hidden="1" x14ac:dyDescent="0.75">
      <c r="A5168" s="51">
        <v>44944</v>
      </c>
      <c r="B5168" s="52">
        <v>1503</v>
      </c>
      <c r="C5168" s="8" t="s">
        <v>4173</v>
      </c>
      <c r="D5168" s="8" t="s">
        <v>383</v>
      </c>
      <c r="E5168" s="52">
        <v>55</v>
      </c>
      <c r="F5168" s="13"/>
      <c r="G5168" s="13">
        <v>1340.8</v>
      </c>
    </row>
    <row r="5169" spans="1:7" hidden="1" x14ac:dyDescent="0.75">
      <c r="A5169" s="51">
        <v>44945</v>
      </c>
      <c r="B5169" s="52">
        <v>1503</v>
      </c>
      <c r="C5169" s="8" t="s">
        <v>4200</v>
      </c>
      <c r="D5169" s="8" t="s">
        <v>383</v>
      </c>
      <c r="E5169" s="52">
        <v>55</v>
      </c>
      <c r="F5169" s="13"/>
      <c r="G5169" s="13">
        <v>2240</v>
      </c>
    </row>
    <row r="5170" spans="1:7" hidden="1" x14ac:dyDescent="0.75">
      <c r="A5170" s="51">
        <v>44946</v>
      </c>
      <c r="B5170" s="52">
        <v>1503</v>
      </c>
      <c r="C5170" s="8" t="s">
        <v>4228</v>
      </c>
      <c r="D5170" s="8" t="s">
        <v>383</v>
      </c>
      <c r="E5170" s="52">
        <v>55</v>
      </c>
      <c r="F5170" s="13"/>
      <c r="G5170" s="13">
        <v>1753.6</v>
      </c>
    </row>
    <row r="5171" spans="1:7" hidden="1" x14ac:dyDescent="0.75">
      <c r="A5171" s="51">
        <v>44949</v>
      </c>
      <c r="B5171" s="52">
        <v>1503</v>
      </c>
      <c r="C5171" s="8" t="s">
        <v>4295</v>
      </c>
      <c r="D5171" s="8" t="s">
        <v>383</v>
      </c>
      <c r="E5171" s="52">
        <v>55</v>
      </c>
      <c r="F5171" s="13"/>
      <c r="G5171" s="13">
        <v>1768</v>
      </c>
    </row>
    <row r="5172" spans="1:7" hidden="1" x14ac:dyDescent="0.75">
      <c r="A5172" s="51">
        <v>44950</v>
      </c>
      <c r="B5172" s="52">
        <v>1503</v>
      </c>
      <c r="C5172" s="8" t="s">
        <v>4317</v>
      </c>
      <c r="D5172" s="8" t="s">
        <v>383</v>
      </c>
      <c r="E5172" s="52">
        <v>55</v>
      </c>
      <c r="F5172" s="13"/>
      <c r="G5172" s="13">
        <v>1360</v>
      </c>
    </row>
    <row r="5173" spans="1:7" hidden="1" x14ac:dyDescent="0.75">
      <c r="A5173" s="51">
        <v>44951</v>
      </c>
      <c r="B5173" s="52">
        <v>1503</v>
      </c>
      <c r="C5173" s="8" t="s">
        <v>4360</v>
      </c>
      <c r="D5173" s="8" t="s">
        <v>383</v>
      </c>
      <c r="E5173" s="52">
        <v>55</v>
      </c>
      <c r="F5173" s="13"/>
      <c r="G5173" s="13">
        <v>1768</v>
      </c>
    </row>
    <row r="5174" spans="1:7" hidden="1" x14ac:dyDescent="0.75">
      <c r="A5174" s="51">
        <v>44952</v>
      </c>
      <c r="B5174" s="52">
        <v>1503</v>
      </c>
      <c r="C5174" s="8" t="s">
        <v>4392</v>
      </c>
      <c r="D5174" s="8" t="s">
        <v>383</v>
      </c>
      <c r="E5174" s="52">
        <v>55</v>
      </c>
      <c r="F5174" s="13"/>
      <c r="G5174" s="13">
        <v>1700</v>
      </c>
    </row>
    <row r="5175" spans="1:7" hidden="1" x14ac:dyDescent="0.75">
      <c r="A5175" s="51">
        <v>44953</v>
      </c>
      <c r="B5175" s="52">
        <v>1503</v>
      </c>
      <c r="C5175" s="8" t="s">
        <v>4422</v>
      </c>
      <c r="D5175" s="8" t="s">
        <v>383</v>
      </c>
      <c r="E5175" s="52">
        <v>55</v>
      </c>
      <c r="F5175" s="13"/>
      <c r="G5175" s="13">
        <v>792.2</v>
      </c>
    </row>
    <row r="5176" spans="1:7" hidden="1" x14ac:dyDescent="0.75">
      <c r="A5176" s="51">
        <v>44956</v>
      </c>
      <c r="B5176" s="52">
        <v>1503</v>
      </c>
      <c r="C5176" s="8" t="s">
        <v>4484</v>
      </c>
      <c r="D5176" s="8" t="s">
        <v>383</v>
      </c>
      <c r="E5176" s="52">
        <v>55</v>
      </c>
      <c r="F5176" s="13"/>
      <c r="G5176" s="13">
        <v>1842.8</v>
      </c>
    </row>
    <row r="5177" spans="1:7" hidden="1" x14ac:dyDescent="0.75">
      <c r="A5177" s="51">
        <v>44930</v>
      </c>
      <c r="B5177" s="52">
        <v>1518</v>
      </c>
      <c r="C5177" s="8" t="s">
        <v>3788</v>
      </c>
      <c r="D5177" s="8" t="s">
        <v>393</v>
      </c>
      <c r="E5177" s="52">
        <v>55</v>
      </c>
      <c r="F5177" s="13"/>
      <c r="G5177" s="13">
        <v>37.5</v>
      </c>
    </row>
    <row r="5178" spans="1:7" hidden="1" x14ac:dyDescent="0.75">
      <c r="A5178" s="51">
        <v>44931</v>
      </c>
      <c r="B5178" s="52">
        <v>1518</v>
      </c>
      <c r="C5178" s="8" t="s">
        <v>3823</v>
      </c>
      <c r="D5178" s="8" t="s">
        <v>393</v>
      </c>
      <c r="E5178" s="52">
        <v>55</v>
      </c>
      <c r="F5178" s="13"/>
      <c r="G5178" s="13">
        <v>40.5</v>
      </c>
    </row>
    <row r="5179" spans="1:7" hidden="1" x14ac:dyDescent="0.75">
      <c r="A5179" s="51">
        <v>44932</v>
      </c>
      <c r="B5179" s="52">
        <v>1518</v>
      </c>
      <c r="C5179" s="8" t="s">
        <v>3845</v>
      </c>
      <c r="D5179" s="8" t="s">
        <v>393</v>
      </c>
      <c r="E5179" s="52">
        <v>55</v>
      </c>
      <c r="F5179" s="13"/>
      <c r="G5179" s="13">
        <v>7.5</v>
      </c>
    </row>
    <row r="5180" spans="1:7" hidden="1" x14ac:dyDescent="0.75">
      <c r="A5180" s="51">
        <v>44933</v>
      </c>
      <c r="B5180" s="52">
        <v>1518</v>
      </c>
      <c r="C5180" s="8" t="s">
        <v>3881</v>
      </c>
      <c r="D5180" s="8" t="s">
        <v>393</v>
      </c>
      <c r="E5180" s="52">
        <v>55</v>
      </c>
      <c r="F5180" s="13"/>
      <c r="G5180" s="13">
        <v>9</v>
      </c>
    </row>
    <row r="5181" spans="1:7" hidden="1" x14ac:dyDescent="0.75">
      <c r="A5181" s="51">
        <v>44933</v>
      </c>
      <c r="B5181" s="52">
        <v>1518</v>
      </c>
      <c r="C5181" s="8" t="s">
        <v>3889</v>
      </c>
      <c r="D5181" s="8" t="s">
        <v>393</v>
      </c>
      <c r="E5181" s="52">
        <v>55</v>
      </c>
      <c r="F5181" s="13"/>
      <c r="G5181" s="13">
        <v>30</v>
      </c>
    </row>
    <row r="5182" spans="1:7" hidden="1" x14ac:dyDescent="0.75">
      <c r="A5182" s="51">
        <v>44935</v>
      </c>
      <c r="B5182" s="52">
        <v>1518</v>
      </c>
      <c r="C5182" s="8" t="s">
        <v>3926</v>
      </c>
      <c r="D5182" s="8" t="s">
        <v>393</v>
      </c>
      <c r="E5182" s="52">
        <v>55</v>
      </c>
      <c r="F5182" s="13"/>
      <c r="G5182" s="13">
        <v>73.5</v>
      </c>
    </row>
    <row r="5183" spans="1:7" hidden="1" x14ac:dyDescent="0.75">
      <c r="A5183" s="51">
        <v>44936</v>
      </c>
      <c r="B5183" s="52">
        <v>1518</v>
      </c>
      <c r="C5183" s="8" t="s">
        <v>3959</v>
      </c>
      <c r="D5183" s="8" t="s">
        <v>393</v>
      </c>
      <c r="E5183" s="52">
        <v>55</v>
      </c>
      <c r="F5183" s="13"/>
      <c r="G5183" s="13">
        <v>19.5</v>
      </c>
    </row>
    <row r="5184" spans="1:7" hidden="1" x14ac:dyDescent="0.75">
      <c r="A5184" s="51">
        <v>44937</v>
      </c>
      <c r="B5184" s="52">
        <v>1518</v>
      </c>
      <c r="C5184" s="8" t="s">
        <v>3988</v>
      </c>
      <c r="D5184" s="8" t="s">
        <v>393</v>
      </c>
      <c r="E5184" s="52">
        <v>55</v>
      </c>
      <c r="F5184" s="13"/>
      <c r="G5184" s="13">
        <v>37.5</v>
      </c>
    </row>
    <row r="5185" spans="1:7" hidden="1" x14ac:dyDescent="0.75">
      <c r="A5185" s="51">
        <v>44937</v>
      </c>
      <c r="B5185" s="52">
        <v>1518</v>
      </c>
      <c r="C5185" s="8" t="s">
        <v>1638</v>
      </c>
      <c r="D5185" s="8" t="s">
        <v>393</v>
      </c>
      <c r="E5185" s="52">
        <v>8</v>
      </c>
      <c r="F5185" s="13">
        <v>1132.4000000000001</v>
      </c>
      <c r="G5185" s="13"/>
    </row>
    <row r="5186" spans="1:7" hidden="1" x14ac:dyDescent="0.75">
      <c r="A5186" s="51">
        <v>44939</v>
      </c>
      <c r="B5186" s="52">
        <v>1518</v>
      </c>
      <c r="C5186" s="8" t="s">
        <v>4046</v>
      </c>
      <c r="D5186" s="8" t="s">
        <v>393</v>
      </c>
      <c r="E5186" s="52">
        <v>55</v>
      </c>
      <c r="F5186" s="13"/>
      <c r="G5186" s="13">
        <v>37.5</v>
      </c>
    </row>
    <row r="5187" spans="1:7" hidden="1" x14ac:dyDescent="0.75">
      <c r="A5187" s="51">
        <v>44940</v>
      </c>
      <c r="B5187" s="52">
        <v>1518</v>
      </c>
      <c r="C5187" s="8" t="s">
        <v>4084</v>
      </c>
      <c r="D5187" s="8" t="s">
        <v>393</v>
      </c>
      <c r="E5187" s="52">
        <v>55</v>
      </c>
      <c r="F5187" s="13"/>
      <c r="G5187" s="13">
        <v>24</v>
      </c>
    </row>
    <row r="5188" spans="1:7" hidden="1" x14ac:dyDescent="0.75">
      <c r="A5188" s="51">
        <v>44942</v>
      </c>
      <c r="B5188" s="52">
        <v>1518</v>
      </c>
      <c r="C5188" s="8" t="s">
        <v>4115</v>
      </c>
      <c r="D5188" s="8" t="s">
        <v>393</v>
      </c>
      <c r="E5188" s="52">
        <v>55</v>
      </c>
      <c r="F5188" s="13"/>
      <c r="G5188" s="13">
        <v>48</v>
      </c>
    </row>
    <row r="5189" spans="1:7" hidden="1" x14ac:dyDescent="0.75">
      <c r="A5189" s="51">
        <v>44943</v>
      </c>
      <c r="B5189" s="52">
        <v>1518</v>
      </c>
      <c r="C5189" s="8" t="s">
        <v>4139</v>
      </c>
      <c r="D5189" s="8" t="s">
        <v>393</v>
      </c>
      <c r="E5189" s="52">
        <v>55</v>
      </c>
      <c r="F5189" s="13"/>
      <c r="G5189" s="13">
        <v>13.5</v>
      </c>
    </row>
    <row r="5190" spans="1:7" hidden="1" x14ac:dyDescent="0.75">
      <c r="A5190" s="51">
        <v>44945</v>
      </c>
      <c r="B5190" s="52">
        <v>1518</v>
      </c>
      <c r="C5190" s="8" t="s">
        <v>4201</v>
      </c>
      <c r="D5190" s="8" t="s">
        <v>393</v>
      </c>
      <c r="E5190" s="52">
        <v>55</v>
      </c>
      <c r="F5190" s="13"/>
      <c r="G5190" s="13">
        <v>43.5</v>
      </c>
    </row>
    <row r="5191" spans="1:7" hidden="1" x14ac:dyDescent="0.75">
      <c r="A5191" s="51">
        <v>44946</v>
      </c>
      <c r="B5191" s="52">
        <v>1518</v>
      </c>
      <c r="C5191" s="8" t="s">
        <v>4229</v>
      </c>
      <c r="D5191" s="8" t="s">
        <v>393</v>
      </c>
      <c r="E5191" s="52">
        <v>55</v>
      </c>
      <c r="F5191" s="13"/>
      <c r="G5191" s="13">
        <v>60</v>
      </c>
    </row>
    <row r="5192" spans="1:7" hidden="1" x14ac:dyDescent="0.75">
      <c r="A5192" s="51">
        <v>44947</v>
      </c>
      <c r="B5192" s="52">
        <v>1518</v>
      </c>
      <c r="C5192" s="8" t="s">
        <v>4263</v>
      </c>
      <c r="D5192" s="8" t="s">
        <v>393</v>
      </c>
      <c r="E5192" s="52">
        <v>55</v>
      </c>
      <c r="F5192" s="13"/>
      <c r="G5192" s="13">
        <v>39</v>
      </c>
    </row>
    <row r="5193" spans="1:7" hidden="1" x14ac:dyDescent="0.75">
      <c r="A5193" s="51">
        <v>44950</v>
      </c>
      <c r="B5193" s="52">
        <v>1518</v>
      </c>
      <c r="C5193" s="8" t="s">
        <v>4318</v>
      </c>
      <c r="D5193" s="8" t="s">
        <v>393</v>
      </c>
      <c r="E5193" s="52">
        <v>55</v>
      </c>
      <c r="F5193" s="13"/>
      <c r="G5193" s="13">
        <v>12</v>
      </c>
    </row>
    <row r="5194" spans="1:7" hidden="1" x14ac:dyDescent="0.75">
      <c r="A5194" s="51">
        <v>44950</v>
      </c>
      <c r="B5194" s="52">
        <v>1518</v>
      </c>
      <c r="C5194" s="8" t="s">
        <v>4322</v>
      </c>
      <c r="D5194" s="8" t="s">
        <v>393</v>
      </c>
      <c r="E5194" s="52">
        <v>55</v>
      </c>
      <c r="F5194" s="13"/>
      <c r="G5194" s="13">
        <v>27</v>
      </c>
    </row>
    <row r="5195" spans="1:7" hidden="1" x14ac:dyDescent="0.75">
      <c r="A5195" s="51">
        <v>44951</v>
      </c>
      <c r="B5195" s="52">
        <v>1518</v>
      </c>
      <c r="C5195" s="8" t="s">
        <v>4361</v>
      </c>
      <c r="D5195" s="8" t="s">
        <v>393</v>
      </c>
      <c r="E5195" s="52">
        <v>55</v>
      </c>
      <c r="F5195" s="13"/>
      <c r="G5195" s="13">
        <v>30</v>
      </c>
    </row>
    <row r="5196" spans="1:7" hidden="1" x14ac:dyDescent="0.75">
      <c r="A5196" s="51">
        <v>44952</v>
      </c>
      <c r="B5196" s="52">
        <v>1518</v>
      </c>
      <c r="C5196" s="8" t="s">
        <v>4393</v>
      </c>
      <c r="D5196" s="8" t="s">
        <v>393</v>
      </c>
      <c r="E5196" s="52">
        <v>55</v>
      </c>
      <c r="F5196" s="13"/>
      <c r="G5196" s="13">
        <v>45</v>
      </c>
    </row>
    <row r="5197" spans="1:7" hidden="1" x14ac:dyDescent="0.75">
      <c r="A5197" s="51">
        <v>44953</v>
      </c>
      <c r="B5197" s="52">
        <v>1518</v>
      </c>
      <c r="C5197" s="8" t="s">
        <v>4423</v>
      </c>
      <c r="D5197" s="8" t="s">
        <v>393</v>
      </c>
      <c r="E5197" s="52">
        <v>55</v>
      </c>
      <c r="F5197" s="13"/>
      <c r="G5197" s="13">
        <v>30</v>
      </c>
    </row>
    <row r="5198" spans="1:7" hidden="1" x14ac:dyDescent="0.75">
      <c r="A5198" s="51">
        <v>44954</v>
      </c>
      <c r="B5198" s="52">
        <v>1518</v>
      </c>
      <c r="C5198" s="8" t="s">
        <v>4458</v>
      </c>
      <c r="D5198" s="8" t="s">
        <v>393</v>
      </c>
      <c r="E5198" s="52">
        <v>55</v>
      </c>
      <c r="F5198" s="13"/>
      <c r="G5198" s="13">
        <v>30</v>
      </c>
    </row>
    <row r="5199" spans="1:7" hidden="1" x14ac:dyDescent="0.75">
      <c r="A5199" s="51">
        <v>44956</v>
      </c>
      <c r="B5199" s="52">
        <v>1518</v>
      </c>
      <c r="C5199" s="8" t="s">
        <v>4485</v>
      </c>
      <c r="D5199" s="8" t="s">
        <v>393</v>
      </c>
      <c r="E5199" s="52">
        <v>55</v>
      </c>
      <c r="F5199" s="13"/>
      <c r="G5199" s="13">
        <v>14.4</v>
      </c>
    </row>
    <row r="5200" spans="1:7" hidden="1" x14ac:dyDescent="0.75">
      <c r="A5200" s="51">
        <v>44957</v>
      </c>
      <c r="B5200" s="52">
        <v>1518</v>
      </c>
      <c r="C5200" s="8" t="s">
        <v>4514</v>
      </c>
      <c r="D5200" s="8" t="s">
        <v>393</v>
      </c>
      <c r="E5200" s="52">
        <v>55</v>
      </c>
      <c r="F5200" s="13"/>
      <c r="G5200" s="13">
        <v>40</v>
      </c>
    </row>
    <row r="5201" spans="1:7" hidden="1" x14ac:dyDescent="0.75">
      <c r="A5201" s="51">
        <v>44931</v>
      </c>
      <c r="B5201" s="52">
        <v>1534</v>
      </c>
      <c r="C5201" s="8" t="s">
        <v>3833</v>
      </c>
      <c r="D5201" s="8" t="s">
        <v>397</v>
      </c>
      <c r="E5201" s="52">
        <v>55</v>
      </c>
      <c r="F5201" s="13"/>
      <c r="G5201" s="13">
        <v>1362.32</v>
      </c>
    </row>
    <row r="5202" spans="1:7" hidden="1" x14ac:dyDescent="0.75">
      <c r="A5202" s="51">
        <v>44945</v>
      </c>
      <c r="B5202" s="52">
        <v>1534</v>
      </c>
      <c r="C5202" s="8" t="s">
        <v>4212</v>
      </c>
      <c r="D5202" s="8" t="s">
        <v>397</v>
      </c>
      <c r="E5202" s="52">
        <v>55</v>
      </c>
      <c r="F5202" s="13"/>
      <c r="G5202" s="13">
        <v>2397.7199999999998</v>
      </c>
    </row>
    <row r="5203" spans="1:7" hidden="1" x14ac:dyDescent="0.75">
      <c r="A5203" s="51">
        <v>44946</v>
      </c>
      <c r="B5203" s="52">
        <v>1534</v>
      </c>
      <c r="C5203" s="8" t="s">
        <v>1745</v>
      </c>
      <c r="D5203" s="8" t="s">
        <v>397</v>
      </c>
      <c r="E5203" s="52">
        <v>8</v>
      </c>
      <c r="F5203" s="13">
        <v>2491.52</v>
      </c>
      <c r="G5203" s="13"/>
    </row>
    <row r="5204" spans="1:7" hidden="1" x14ac:dyDescent="0.75">
      <c r="A5204" s="51">
        <v>44946</v>
      </c>
      <c r="B5204" s="52">
        <v>1534</v>
      </c>
      <c r="C5204" s="8" t="s">
        <v>1746</v>
      </c>
      <c r="D5204" s="8" t="s">
        <v>397</v>
      </c>
      <c r="E5204" s="52">
        <v>8</v>
      </c>
      <c r="F5204" s="13">
        <v>2150.04</v>
      </c>
      <c r="G5204" s="13"/>
    </row>
    <row r="5205" spans="1:7" hidden="1" x14ac:dyDescent="0.75">
      <c r="A5205" s="51">
        <v>44938</v>
      </c>
      <c r="B5205" s="52">
        <v>1551</v>
      </c>
      <c r="C5205" s="8" t="s">
        <v>1655</v>
      </c>
      <c r="D5205" s="8" t="s">
        <v>860</v>
      </c>
      <c r="E5205" s="52">
        <v>8</v>
      </c>
      <c r="F5205" s="13">
        <v>950</v>
      </c>
      <c r="G5205" s="13"/>
    </row>
    <row r="5206" spans="1:7" hidden="1" x14ac:dyDescent="0.75">
      <c r="A5206" s="51">
        <v>44929</v>
      </c>
      <c r="B5206" s="52">
        <v>1558</v>
      </c>
      <c r="C5206" s="8" t="s">
        <v>3764</v>
      </c>
      <c r="D5206" s="8" t="s">
        <v>405</v>
      </c>
      <c r="E5206" s="52">
        <v>55</v>
      </c>
      <c r="F5206" s="13"/>
      <c r="G5206" s="13">
        <v>186.88</v>
      </c>
    </row>
    <row r="5207" spans="1:7" hidden="1" x14ac:dyDescent="0.75">
      <c r="A5207" s="51">
        <v>44929</v>
      </c>
      <c r="B5207" s="52">
        <v>1558</v>
      </c>
      <c r="C5207" s="8" t="s">
        <v>1535</v>
      </c>
      <c r="D5207" s="8" t="s">
        <v>405</v>
      </c>
      <c r="E5207" s="52">
        <v>8</v>
      </c>
      <c r="F5207" s="13">
        <v>842.2</v>
      </c>
      <c r="G5207" s="13"/>
    </row>
    <row r="5208" spans="1:7" hidden="1" x14ac:dyDescent="0.75">
      <c r="A5208" s="51">
        <v>44931</v>
      </c>
      <c r="B5208" s="52">
        <v>1558</v>
      </c>
      <c r="C5208" s="8" t="s">
        <v>3824</v>
      </c>
      <c r="D5208" s="8" t="s">
        <v>405</v>
      </c>
      <c r="E5208" s="52">
        <v>55</v>
      </c>
      <c r="F5208" s="13"/>
      <c r="G5208" s="13">
        <v>311.25</v>
      </c>
    </row>
    <row r="5209" spans="1:7" hidden="1" x14ac:dyDescent="0.75">
      <c r="A5209" s="51">
        <v>44932</v>
      </c>
      <c r="B5209" s="52">
        <v>1558</v>
      </c>
      <c r="C5209" s="8" t="s">
        <v>3851</v>
      </c>
      <c r="D5209" s="8" t="s">
        <v>405</v>
      </c>
      <c r="E5209" s="52">
        <v>55</v>
      </c>
      <c r="F5209" s="13"/>
      <c r="G5209" s="13">
        <v>154.43</v>
      </c>
    </row>
    <row r="5210" spans="1:7" hidden="1" x14ac:dyDescent="0.75">
      <c r="A5210" s="51">
        <v>44936</v>
      </c>
      <c r="B5210" s="52">
        <v>1558</v>
      </c>
      <c r="C5210" s="8" t="s">
        <v>3960</v>
      </c>
      <c r="D5210" s="8" t="s">
        <v>405</v>
      </c>
      <c r="E5210" s="52">
        <v>55</v>
      </c>
      <c r="F5210" s="13"/>
      <c r="G5210" s="13">
        <v>268.75</v>
      </c>
    </row>
    <row r="5211" spans="1:7" hidden="1" x14ac:dyDescent="0.75">
      <c r="A5211" s="51">
        <v>44936</v>
      </c>
      <c r="B5211" s="52">
        <v>1558</v>
      </c>
      <c r="C5211" s="8" t="s">
        <v>1535</v>
      </c>
      <c r="D5211" s="8" t="s">
        <v>405</v>
      </c>
      <c r="E5211" s="52">
        <v>8</v>
      </c>
      <c r="F5211" s="13">
        <v>652.55999999999995</v>
      </c>
      <c r="G5211" s="13"/>
    </row>
    <row r="5212" spans="1:7" hidden="1" x14ac:dyDescent="0.75">
      <c r="A5212" s="51">
        <v>44937</v>
      </c>
      <c r="B5212" s="52">
        <v>1558</v>
      </c>
      <c r="C5212" s="8" t="s">
        <v>3996</v>
      </c>
      <c r="D5212" s="8" t="s">
        <v>405</v>
      </c>
      <c r="E5212" s="52">
        <v>55</v>
      </c>
      <c r="F5212" s="13"/>
      <c r="G5212" s="13">
        <v>87.5</v>
      </c>
    </row>
    <row r="5213" spans="1:7" hidden="1" x14ac:dyDescent="0.75">
      <c r="A5213" s="51">
        <v>44938</v>
      </c>
      <c r="B5213" s="52">
        <v>1558</v>
      </c>
      <c r="C5213" s="8" t="s">
        <v>4024</v>
      </c>
      <c r="D5213" s="8" t="s">
        <v>405</v>
      </c>
      <c r="E5213" s="52">
        <v>55</v>
      </c>
      <c r="F5213" s="13"/>
      <c r="G5213" s="13">
        <v>302.63</v>
      </c>
    </row>
    <row r="5214" spans="1:7" hidden="1" x14ac:dyDescent="0.75">
      <c r="A5214" s="51">
        <v>44939</v>
      </c>
      <c r="B5214" s="52">
        <v>1558</v>
      </c>
      <c r="C5214" s="8" t="s">
        <v>4047</v>
      </c>
      <c r="D5214" s="8" t="s">
        <v>405</v>
      </c>
      <c r="E5214" s="52">
        <v>55</v>
      </c>
      <c r="F5214" s="13"/>
      <c r="G5214" s="13">
        <v>220.63</v>
      </c>
    </row>
    <row r="5215" spans="1:7" hidden="1" x14ac:dyDescent="0.75">
      <c r="A5215" s="51">
        <v>44940</v>
      </c>
      <c r="B5215" s="52">
        <v>1558</v>
      </c>
      <c r="C5215" s="8" t="s">
        <v>4085</v>
      </c>
      <c r="D5215" s="8" t="s">
        <v>405</v>
      </c>
      <c r="E5215" s="52">
        <v>55</v>
      </c>
      <c r="F5215" s="13"/>
      <c r="G5215" s="13">
        <v>161.5</v>
      </c>
    </row>
    <row r="5216" spans="1:7" hidden="1" x14ac:dyDescent="0.75">
      <c r="A5216" s="51">
        <v>44943</v>
      </c>
      <c r="B5216" s="52">
        <v>1558</v>
      </c>
      <c r="C5216" s="8" t="s">
        <v>4146</v>
      </c>
      <c r="D5216" s="8" t="s">
        <v>405</v>
      </c>
      <c r="E5216" s="52">
        <v>55</v>
      </c>
      <c r="F5216" s="13"/>
      <c r="G5216" s="13">
        <v>300</v>
      </c>
    </row>
    <row r="5217" spans="1:7" hidden="1" x14ac:dyDescent="0.75">
      <c r="A5217" s="51">
        <v>44943</v>
      </c>
      <c r="B5217" s="52">
        <v>1558</v>
      </c>
      <c r="C5217" s="8" t="s">
        <v>1535</v>
      </c>
      <c r="D5217" s="8" t="s">
        <v>405</v>
      </c>
      <c r="E5217" s="52">
        <v>8</v>
      </c>
      <c r="F5217" s="13">
        <v>1041.01</v>
      </c>
      <c r="G5217" s="13"/>
    </row>
    <row r="5218" spans="1:7" hidden="1" x14ac:dyDescent="0.75">
      <c r="A5218" s="51">
        <v>44946</v>
      </c>
      <c r="B5218" s="52">
        <v>1558</v>
      </c>
      <c r="C5218" s="8" t="s">
        <v>4230</v>
      </c>
      <c r="D5218" s="8" t="s">
        <v>405</v>
      </c>
      <c r="E5218" s="52">
        <v>55</v>
      </c>
      <c r="F5218" s="13"/>
      <c r="G5218" s="13">
        <v>139.75</v>
      </c>
    </row>
    <row r="5219" spans="1:7" hidden="1" x14ac:dyDescent="0.75">
      <c r="A5219" s="51">
        <v>44950</v>
      </c>
      <c r="B5219" s="52">
        <v>1558</v>
      </c>
      <c r="C5219" s="8" t="s">
        <v>4327</v>
      </c>
      <c r="D5219" s="8" t="s">
        <v>405</v>
      </c>
      <c r="E5219" s="52">
        <v>55</v>
      </c>
      <c r="F5219" s="13"/>
      <c r="G5219" s="13">
        <v>608.25</v>
      </c>
    </row>
    <row r="5220" spans="1:7" hidden="1" x14ac:dyDescent="0.75">
      <c r="A5220" s="51">
        <v>44950</v>
      </c>
      <c r="B5220" s="52">
        <v>1558</v>
      </c>
      <c r="C5220" s="8" t="s">
        <v>1535</v>
      </c>
      <c r="D5220" s="8" t="s">
        <v>405</v>
      </c>
      <c r="E5220" s="52">
        <v>8</v>
      </c>
      <c r="F5220" s="13">
        <v>439.75</v>
      </c>
      <c r="G5220" s="13"/>
    </row>
    <row r="5221" spans="1:7" hidden="1" x14ac:dyDescent="0.75">
      <c r="A5221" s="51">
        <v>44951</v>
      </c>
      <c r="B5221" s="52">
        <v>1558</v>
      </c>
      <c r="C5221" s="8" t="s">
        <v>4362</v>
      </c>
      <c r="D5221" s="8" t="s">
        <v>405</v>
      </c>
      <c r="E5221" s="52">
        <v>55</v>
      </c>
      <c r="F5221" s="13"/>
      <c r="G5221" s="13">
        <v>392.63</v>
      </c>
    </row>
    <row r="5222" spans="1:7" hidden="1" x14ac:dyDescent="0.75">
      <c r="A5222" s="51">
        <v>44952</v>
      </c>
      <c r="B5222" s="52">
        <v>1558</v>
      </c>
      <c r="C5222" s="8" t="s">
        <v>4394</v>
      </c>
      <c r="D5222" s="8" t="s">
        <v>405</v>
      </c>
      <c r="E5222" s="52">
        <v>55</v>
      </c>
      <c r="F5222" s="13"/>
      <c r="G5222" s="13">
        <v>279</v>
      </c>
    </row>
    <row r="5223" spans="1:7" hidden="1" x14ac:dyDescent="0.75">
      <c r="A5223" s="51">
        <v>44953</v>
      </c>
      <c r="B5223" s="52">
        <v>1558</v>
      </c>
      <c r="C5223" s="8" t="s">
        <v>4424</v>
      </c>
      <c r="D5223" s="8" t="s">
        <v>405</v>
      </c>
      <c r="E5223" s="52">
        <v>55</v>
      </c>
      <c r="F5223" s="13"/>
      <c r="G5223" s="13">
        <v>105</v>
      </c>
    </row>
    <row r="5224" spans="1:7" hidden="1" x14ac:dyDescent="0.75">
      <c r="A5224" s="51">
        <v>44954</v>
      </c>
      <c r="B5224" s="52">
        <v>1558</v>
      </c>
      <c r="C5224" s="8" t="s">
        <v>4459</v>
      </c>
      <c r="D5224" s="8" t="s">
        <v>405</v>
      </c>
      <c r="E5224" s="52">
        <v>55</v>
      </c>
      <c r="F5224" s="13"/>
      <c r="G5224" s="13">
        <v>207.5</v>
      </c>
    </row>
    <row r="5225" spans="1:7" hidden="1" x14ac:dyDescent="0.75">
      <c r="A5225" s="51">
        <v>44956</v>
      </c>
      <c r="B5225" s="52">
        <v>1558</v>
      </c>
      <c r="C5225" s="8" t="s">
        <v>4486</v>
      </c>
      <c r="D5225" s="8" t="s">
        <v>405</v>
      </c>
      <c r="E5225" s="52">
        <v>55</v>
      </c>
      <c r="F5225" s="13"/>
      <c r="G5225" s="13">
        <v>236.75</v>
      </c>
    </row>
    <row r="5226" spans="1:7" hidden="1" x14ac:dyDescent="0.75">
      <c r="A5226" s="51">
        <v>44957</v>
      </c>
      <c r="B5226" s="52">
        <v>1558</v>
      </c>
      <c r="C5226" s="8" t="s">
        <v>1535</v>
      </c>
      <c r="D5226" s="8" t="s">
        <v>405</v>
      </c>
      <c r="E5226" s="52">
        <v>8</v>
      </c>
      <c r="F5226" s="13">
        <v>1592.38</v>
      </c>
      <c r="G5226" s="13"/>
    </row>
    <row r="5227" spans="1:7" hidden="1" x14ac:dyDescent="0.75">
      <c r="A5227" s="51">
        <v>44945</v>
      </c>
      <c r="B5227" s="52">
        <v>1573</v>
      </c>
      <c r="C5227" s="8" t="s">
        <v>4690</v>
      </c>
      <c r="D5227" s="8" t="s">
        <v>409</v>
      </c>
      <c r="E5227" s="52">
        <v>585</v>
      </c>
      <c r="F5227" s="13"/>
      <c r="G5227" s="13">
        <v>80</v>
      </c>
    </row>
    <row r="5228" spans="1:7" hidden="1" x14ac:dyDescent="0.75">
      <c r="A5228" s="51">
        <v>44950</v>
      </c>
      <c r="B5228" s="52">
        <v>1593</v>
      </c>
      <c r="C5228" s="8" t="s">
        <v>4333</v>
      </c>
      <c r="D5228" s="8" t="s">
        <v>417</v>
      </c>
      <c r="E5228" s="52">
        <v>55</v>
      </c>
      <c r="F5228" s="13"/>
      <c r="G5228" s="13">
        <v>72</v>
      </c>
    </row>
    <row r="5229" spans="1:7" hidden="1" x14ac:dyDescent="0.75">
      <c r="A5229" s="51">
        <v>44936</v>
      </c>
      <c r="B5229" s="52">
        <v>1619</v>
      </c>
      <c r="C5229" s="8" t="s">
        <v>1634</v>
      </c>
      <c r="D5229" s="8" t="s">
        <v>968</v>
      </c>
      <c r="E5229" s="52">
        <v>8</v>
      </c>
      <c r="F5229" s="13">
        <v>11734.1</v>
      </c>
      <c r="G5229" s="13"/>
    </row>
    <row r="5230" spans="1:7" hidden="1" x14ac:dyDescent="0.75">
      <c r="A5230" s="51">
        <v>44938</v>
      </c>
      <c r="B5230" s="52">
        <v>1619</v>
      </c>
      <c r="C5230" s="8" t="s">
        <v>4013</v>
      </c>
      <c r="D5230" s="8" t="s">
        <v>968</v>
      </c>
      <c r="E5230" s="52">
        <v>55</v>
      </c>
      <c r="F5230" s="13"/>
      <c r="G5230" s="13">
        <v>11734.1</v>
      </c>
    </row>
    <row r="5231" spans="1:7" hidden="1" x14ac:dyDescent="0.75">
      <c r="A5231" s="51">
        <v>44932</v>
      </c>
      <c r="B5231" s="52">
        <v>1637</v>
      </c>
      <c r="C5231" s="8" t="s">
        <v>4691</v>
      </c>
      <c r="D5231" s="8" t="s">
        <v>423</v>
      </c>
      <c r="E5231" s="52">
        <v>585</v>
      </c>
      <c r="F5231" s="13"/>
      <c r="G5231" s="13">
        <v>184.9</v>
      </c>
    </row>
    <row r="5232" spans="1:7" hidden="1" x14ac:dyDescent="0.75">
      <c r="A5232" s="51">
        <v>44936</v>
      </c>
      <c r="B5232" s="52">
        <v>1641</v>
      </c>
      <c r="C5232" s="8" t="s">
        <v>1610</v>
      </c>
      <c r="D5232" s="8" t="s">
        <v>427</v>
      </c>
      <c r="E5232" s="52">
        <v>8</v>
      </c>
      <c r="F5232" s="13">
        <v>7500</v>
      </c>
      <c r="G5232" s="13"/>
    </row>
    <row r="5233" spans="1:7" hidden="1" x14ac:dyDescent="0.75">
      <c r="A5233" s="51">
        <v>44953</v>
      </c>
      <c r="B5233" s="52">
        <v>1641</v>
      </c>
      <c r="C5233" s="8" t="s">
        <v>4692</v>
      </c>
      <c r="D5233" s="8" t="s">
        <v>427</v>
      </c>
      <c r="E5233" s="52">
        <v>662</v>
      </c>
      <c r="F5233" s="13"/>
      <c r="G5233" s="13">
        <v>7500</v>
      </c>
    </row>
    <row r="5234" spans="1:7" hidden="1" x14ac:dyDescent="0.75">
      <c r="A5234" s="51">
        <v>44953</v>
      </c>
      <c r="B5234" s="52">
        <v>1641</v>
      </c>
      <c r="C5234" s="8" t="s">
        <v>4693</v>
      </c>
      <c r="D5234" s="8" t="s">
        <v>427</v>
      </c>
      <c r="E5234" s="52">
        <v>662</v>
      </c>
      <c r="F5234" s="13"/>
      <c r="G5234" s="13">
        <v>1250</v>
      </c>
    </row>
    <row r="5235" spans="1:7" hidden="1" x14ac:dyDescent="0.75">
      <c r="A5235" s="51">
        <v>44931</v>
      </c>
      <c r="B5235" s="52">
        <v>1642</v>
      </c>
      <c r="C5235" s="8" t="s">
        <v>1556</v>
      </c>
      <c r="D5235" s="8" t="s">
        <v>429</v>
      </c>
      <c r="E5235" s="52">
        <v>8</v>
      </c>
      <c r="F5235" s="13">
        <v>3850</v>
      </c>
      <c r="G5235" s="13"/>
    </row>
    <row r="5236" spans="1:7" hidden="1" x14ac:dyDescent="0.75">
      <c r="A5236" s="51">
        <v>44957</v>
      </c>
      <c r="B5236" s="52">
        <v>1642</v>
      </c>
      <c r="C5236" s="8" t="s">
        <v>4694</v>
      </c>
      <c r="D5236" s="8" t="s">
        <v>429</v>
      </c>
      <c r="E5236" s="52">
        <v>662</v>
      </c>
      <c r="F5236" s="13"/>
      <c r="G5236" s="13">
        <v>3850</v>
      </c>
    </row>
    <row r="5237" spans="1:7" hidden="1" x14ac:dyDescent="0.75">
      <c r="A5237" s="51">
        <v>44938</v>
      </c>
      <c r="B5237" s="52">
        <v>1655</v>
      </c>
      <c r="C5237" s="8" t="s">
        <v>4560</v>
      </c>
      <c r="D5237" s="8" t="s">
        <v>431</v>
      </c>
      <c r="E5237" s="52">
        <v>58</v>
      </c>
      <c r="F5237" s="13"/>
      <c r="G5237" s="13">
        <v>995</v>
      </c>
    </row>
    <row r="5238" spans="1:7" hidden="1" x14ac:dyDescent="0.75">
      <c r="A5238" s="51">
        <v>44931</v>
      </c>
      <c r="B5238" s="52">
        <v>1672</v>
      </c>
      <c r="C5238" s="8" t="s">
        <v>4557</v>
      </c>
      <c r="D5238" s="8" t="s">
        <v>439</v>
      </c>
      <c r="E5238" s="52">
        <v>58</v>
      </c>
      <c r="F5238" s="13"/>
      <c r="G5238" s="13">
        <v>60</v>
      </c>
    </row>
    <row r="5239" spans="1:7" hidden="1" x14ac:dyDescent="0.75">
      <c r="A5239" s="51">
        <v>44932</v>
      </c>
      <c r="B5239" s="52">
        <v>1672</v>
      </c>
      <c r="C5239" s="8" t="s">
        <v>1575</v>
      </c>
      <c r="D5239" s="8" t="s">
        <v>439</v>
      </c>
      <c r="E5239" s="52">
        <v>8</v>
      </c>
      <c r="F5239" s="13">
        <v>60</v>
      </c>
      <c r="G5239" s="13"/>
    </row>
    <row r="5240" spans="1:7" hidden="1" x14ac:dyDescent="0.75">
      <c r="A5240" s="51">
        <v>44938</v>
      </c>
      <c r="B5240" s="52">
        <v>1672</v>
      </c>
      <c r="C5240" s="8" t="s">
        <v>4562</v>
      </c>
      <c r="D5240" s="8" t="s">
        <v>439</v>
      </c>
      <c r="E5240" s="52">
        <v>58</v>
      </c>
      <c r="F5240" s="13"/>
      <c r="G5240" s="13">
        <v>60</v>
      </c>
    </row>
    <row r="5241" spans="1:7" hidden="1" x14ac:dyDescent="0.75">
      <c r="A5241" s="51">
        <v>44938</v>
      </c>
      <c r="B5241" s="52">
        <v>1672</v>
      </c>
      <c r="C5241" s="8" t="s">
        <v>1657</v>
      </c>
      <c r="D5241" s="8" t="s">
        <v>439</v>
      </c>
      <c r="E5241" s="52">
        <v>8</v>
      </c>
      <c r="F5241" s="13">
        <v>60</v>
      </c>
      <c r="G5241" s="13"/>
    </row>
    <row r="5242" spans="1:7" hidden="1" x14ac:dyDescent="0.75">
      <c r="A5242" s="51">
        <v>44928</v>
      </c>
      <c r="B5242" s="52">
        <v>1677</v>
      </c>
      <c r="C5242" s="8" t="s">
        <v>4695</v>
      </c>
      <c r="D5242" s="8" t="s">
        <v>445</v>
      </c>
      <c r="E5242" s="52">
        <v>664</v>
      </c>
      <c r="F5242" s="13"/>
      <c r="G5242" s="13">
        <v>178.2</v>
      </c>
    </row>
    <row r="5243" spans="1:7" hidden="1" x14ac:dyDescent="0.75">
      <c r="A5243" s="51">
        <v>44942</v>
      </c>
      <c r="B5243" s="52">
        <v>1677</v>
      </c>
      <c r="C5243" s="8" t="s">
        <v>1708</v>
      </c>
      <c r="D5243" s="8" t="s">
        <v>445</v>
      </c>
      <c r="E5243" s="52">
        <v>8</v>
      </c>
      <c r="F5243" s="13">
        <v>178.2</v>
      </c>
      <c r="G5243" s="13"/>
    </row>
    <row r="5244" spans="1:7" hidden="1" x14ac:dyDescent="0.75">
      <c r="A5244" s="51">
        <v>44928</v>
      </c>
      <c r="B5244" s="52">
        <v>1679</v>
      </c>
      <c r="C5244" s="8" t="s">
        <v>4696</v>
      </c>
      <c r="D5244" s="8" t="s">
        <v>448</v>
      </c>
      <c r="E5244" s="52">
        <v>1385</v>
      </c>
      <c r="F5244" s="13"/>
      <c r="G5244" s="13">
        <v>6600</v>
      </c>
    </row>
    <row r="5245" spans="1:7" hidden="1" x14ac:dyDescent="0.75">
      <c r="A5245" s="51">
        <v>44936</v>
      </c>
      <c r="B5245" s="52">
        <v>1679</v>
      </c>
      <c r="C5245" s="8" t="s">
        <v>1601</v>
      </c>
      <c r="D5245" s="8" t="s">
        <v>448</v>
      </c>
      <c r="E5245" s="52">
        <v>8</v>
      </c>
      <c r="F5245" s="13">
        <v>6600</v>
      </c>
      <c r="G5245" s="13"/>
    </row>
    <row r="5246" spans="1:7" hidden="1" x14ac:dyDescent="0.75">
      <c r="A5246" s="51">
        <v>44928</v>
      </c>
      <c r="B5246" s="52">
        <v>1684</v>
      </c>
      <c r="C5246" s="8" t="s">
        <v>3740</v>
      </c>
      <c r="D5246" s="8" t="s">
        <v>452</v>
      </c>
      <c r="E5246" s="52">
        <v>55</v>
      </c>
      <c r="F5246" s="13"/>
      <c r="G5246" s="13">
        <v>373.7</v>
      </c>
    </row>
    <row r="5247" spans="1:7" hidden="1" x14ac:dyDescent="0.75">
      <c r="A5247" s="51">
        <v>44929</v>
      </c>
      <c r="B5247" s="52">
        <v>1684</v>
      </c>
      <c r="C5247" s="8" t="s">
        <v>3778</v>
      </c>
      <c r="D5247" s="8" t="s">
        <v>452</v>
      </c>
      <c r="E5247" s="52">
        <v>55</v>
      </c>
      <c r="F5247" s="13"/>
      <c r="G5247" s="13">
        <v>110</v>
      </c>
    </row>
    <row r="5248" spans="1:7" hidden="1" x14ac:dyDescent="0.75">
      <c r="A5248" s="51">
        <v>44930</v>
      </c>
      <c r="B5248" s="52">
        <v>1684</v>
      </c>
      <c r="C5248" s="8" t="s">
        <v>3806</v>
      </c>
      <c r="D5248" s="8" t="s">
        <v>452</v>
      </c>
      <c r="E5248" s="52">
        <v>55</v>
      </c>
      <c r="F5248" s="13"/>
      <c r="G5248" s="13">
        <v>232.2</v>
      </c>
    </row>
    <row r="5249" spans="1:7" hidden="1" x14ac:dyDescent="0.75">
      <c r="A5249" s="51">
        <v>44931</v>
      </c>
      <c r="B5249" s="52">
        <v>1684</v>
      </c>
      <c r="C5249" s="8" t="s">
        <v>3834</v>
      </c>
      <c r="D5249" s="8" t="s">
        <v>452</v>
      </c>
      <c r="E5249" s="52">
        <v>55</v>
      </c>
      <c r="F5249" s="13"/>
      <c r="G5249" s="13">
        <v>251</v>
      </c>
    </row>
    <row r="5250" spans="1:7" hidden="1" x14ac:dyDescent="0.75">
      <c r="A5250" s="51">
        <v>44932</v>
      </c>
      <c r="B5250" s="52">
        <v>1684</v>
      </c>
      <c r="C5250" s="8" t="s">
        <v>3868</v>
      </c>
      <c r="D5250" s="8" t="s">
        <v>452</v>
      </c>
      <c r="E5250" s="52">
        <v>55</v>
      </c>
      <c r="F5250" s="13"/>
      <c r="G5250" s="13">
        <v>259.2</v>
      </c>
    </row>
    <row r="5251" spans="1:7" hidden="1" x14ac:dyDescent="0.75">
      <c r="A5251" s="51">
        <v>44933</v>
      </c>
      <c r="B5251" s="52">
        <v>1684</v>
      </c>
      <c r="C5251" s="8" t="s">
        <v>3904</v>
      </c>
      <c r="D5251" s="8" t="s">
        <v>452</v>
      </c>
      <c r="E5251" s="52">
        <v>55</v>
      </c>
      <c r="F5251" s="13"/>
      <c r="G5251" s="13">
        <v>282</v>
      </c>
    </row>
    <row r="5252" spans="1:7" hidden="1" x14ac:dyDescent="0.75">
      <c r="A5252" s="51">
        <v>44935</v>
      </c>
      <c r="B5252" s="52">
        <v>1684</v>
      </c>
      <c r="C5252" s="8" t="s">
        <v>3939</v>
      </c>
      <c r="D5252" s="8" t="s">
        <v>452</v>
      </c>
      <c r="E5252" s="52">
        <v>55</v>
      </c>
      <c r="F5252" s="13"/>
      <c r="G5252" s="13">
        <v>289.25</v>
      </c>
    </row>
    <row r="5253" spans="1:7" hidden="1" x14ac:dyDescent="0.75">
      <c r="A5253" s="51">
        <v>44936</v>
      </c>
      <c r="B5253" s="52">
        <v>1684</v>
      </c>
      <c r="C5253" s="8" t="s">
        <v>3977</v>
      </c>
      <c r="D5253" s="8" t="s">
        <v>452</v>
      </c>
      <c r="E5253" s="52">
        <v>55</v>
      </c>
      <c r="F5253" s="13"/>
      <c r="G5253" s="13">
        <v>187.75</v>
      </c>
    </row>
    <row r="5254" spans="1:7" hidden="1" x14ac:dyDescent="0.75">
      <c r="A5254" s="51">
        <v>44936</v>
      </c>
      <c r="B5254" s="52">
        <v>1684</v>
      </c>
      <c r="C5254" s="8" t="s">
        <v>1633</v>
      </c>
      <c r="D5254" s="8" t="s">
        <v>452</v>
      </c>
      <c r="E5254" s="52">
        <v>8</v>
      </c>
      <c r="F5254" s="13">
        <v>2470.65</v>
      </c>
      <c r="G5254" s="13"/>
    </row>
    <row r="5255" spans="1:7" hidden="1" x14ac:dyDescent="0.75">
      <c r="A5255" s="51">
        <v>44936</v>
      </c>
      <c r="B5255" s="52">
        <v>1684</v>
      </c>
      <c r="C5255" s="8" t="s">
        <v>1633</v>
      </c>
      <c r="D5255" s="8" t="s">
        <v>452</v>
      </c>
      <c r="E5255" s="52">
        <v>8</v>
      </c>
      <c r="F5255" s="13">
        <v>1278.8499999999999</v>
      </c>
      <c r="G5255" s="13"/>
    </row>
    <row r="5256" spans="1:7" hidden="1" x14ac:dyDescent="0.75">
      <c r="A5256" s="51">
        <v>44938</v>
      </c>
      <c r="B5256" s="52">
        <v>1684</v>
      </c>
      <c r="C5256" s="8" t="s">
        <v>4031</v>
      </c>
      <c r="D5256" s="8" t="s">
        <v>452</v>
      </c>
      <c r="E5256" s="52">
        <v>55</v>
      </c>
      <c r="F5256" s="13"/>
      <c r="G5256" s="13">
        <v>127.5</v>
      </c>
    </row>
    <row r="5257" spans="1:7" hidden="1" x14ac:dyDescent="0.75">
      <c r="A5257" s="51">
        <v>44939</v>
      </c>
      <c r="B5257" s="52">
        <v>1684</v>
      </c>
      <c r="C5257" s="8" t="s">
        <v>4063</v>
      </c>
      <c r="D5257" s="8" t="s">
        <v>452</v>
      </c>
      <c r="E5257" s="52">
        <v>55</v>
      </c>
      <c r="F5257" s="13"/>
      <c r="G5257" s="13">
        <v>60</v>
      </c>
    </row>
    <row r="5258" spans="1:7" hidden="1" x14ac:dyDescent="0.75">
      <c r="A5258" s="51">
        <v>44940</v>
      </c>
      <c r="B5258" s="52">
        <v>1684</v>
      </c>
      <c r="C5258" s="8" t="s">
        <v>4103</v>
      </c>
      <c r="D5258" s="8" t="s">
        <v>452</v>
      </c>
      <c r="E5258" s="52">
        <v>55</v>
      </c>
      <c r="F5258" s="13"/>
      <c r="G5258" s="13">
        <v>279.5</v>
      </c>
    </row>
    <row r="5259" spans="1:7" hidden="1" x14ac:dyDescent="0.75">
      <c r="A5259" s="51">
        <v>44942</v>
      </c>
      <c r="B5259" s="52">
        <v>1684</v>
      </c>
      <c r="C5259" s="8" t="s">
        <v>4129</v>
      </c>
      <c r="D5259" s="8" t="s">
        <v>452</v>
      </c>
      <c r="E5259" s="52">
        <v>55</v>
      </c>
      <c r="F5259" s="13"/>
      <c r="G5259" s="13">
        <v>507</v>
      </c>
    </row>
    <row r="5260" spans="1:7" hidden="1" x14ac:dyDescent="0.75">
      <c r="A5260" s="51">
        <v>44943</v>
      </c>
      <c r="B5260" s="52">
        <v>1684</v>
      </c>
      <c r="C5260" s="8" t="s">
        <v>4155</v>
      </c>
      <c r="D5260" s="8" t="s">
        <v>452</v>
      </c>
      <c r="E5260" s="52">
        <v>55</v>
      </c>
      <c r="F5260" s="13"/>
      <c r="G5260" s="13">
        <v>202.45</v>
      </c>
    </row>
    <row r="5261" spans="1:7" hidden="1" x14ac:dyDescent="0.75">
      <c r="A5261" s="51">
        <v>44944</v>
      </c>
      <c r="B5261" s="52">
        <v>1684</v>
      </c>
      <c r="C5261" s="8" t="s">
        <v>4190</v>
      </c>
      <c r="D5261" s="8" t="s">
        <v>452</v>
      </c>
      <c r="E5261" s="52">
        <v>55</v>
      </c>
      <c r="F5261" s="13"/>
      <c r="G5261" s="13">
        <v>195</v>
      </c>
    </row>
    <row r="5262" spans="1:7" hidden="1" x14ac:dyDescent="0.75">
      <c r="A5262" s="51">
        <v>44945</v>
      </c>
      <c r="B5262" s="52">
        <v>1684</v>
      </c>
      <c r="C5262" s="8" t="s">
        <v>4214</v>
      </c>
      <c r="D5262" s="8" t="s">
        <v>452</v>
      </c>
      <c r="E5262" s="52">
        <v>55</v>
      </c>
      <c r="F5262" s="13"/>
      <c r="G5262" s="13">
        <v>322</v>
      </c>
    </row>
    <row r="5263" spans="1:7" hidden="1" x14ac:dyDescent="0.75">
      <c r="A5263" s="51">
        <v>44946</v>
      </c>
      <c r="B5263" s="52">
        <v>1684</v>
      </c>
      <c r="C5263" s="8" t="s">
        <v>4243</v>
      </c>
      <c r="D5263" s="8" t="s">
        <v>452</v>
      </c>
      <c r="E5263" s="52">
        <v>55</v>
      </c>
      <c r="F5263" s="13"/>
      <c r="G5263" s="13">
        <v>339</v>
      </c>
    </row>
    <row r="5264" spans="1:7" hidden="1" x14ac:dyDescent="0.75">
      <c r="A5264" s="51">
        <v>44946</v>
      </c>
      <c r="B5264" s="52">
        <v>1684</v>
      </c>
      <c r="C5264" s="8" t="s">
        <v>1633</v>
      </c>
      <c r="D5264" s="8" t="s">
        <v>452</v>
      </c>
      <c r="E5264" s="52">
        <v>8</v>
      </c>
      <c r="F5264" s="13">
        <v>1604</v>
      </c>
      <c r="G5264" s="13"/>
    </row>
    <row r="5265" spans="1:7" hidden="1" x14ac:dyDescent="0.75">
      <c r="A5265" s="51">
        <v>44947</v>
      </c>
      <c r="B5265" s="52">
        <v>1684</v>
      </c>
      <c r="C5265" s="8" t="s">
        <v>4276</v>
      </c>
      <c r="D5265" s="8" t="s">
        <v>452</v>
      </c>
      <c r="E5265" s="52">
        <v>55</v>
      </c>
      <c r="F5265" s="13"/>
      <c r="G5265" s="13">
        <v>494.5</v>
      </c>
    </row>
    <row r="5266" spans="1:7" hidden="1" x14ac:dyDescent="0.75">
      <c r="A5266" s="51">
        <v>44950</v>
      </c>
      <c r="B5266" s="52">
        <v>1684</v>
      </c>
      <c r="C5266" s="8" t="s">
        <v>4337</v>
      </c>
      <c r="D5266" s="8" t="s">
        <v>452</v>
      </c>
      <c r="E5266" s="52">
        <v>55</v>
      </c>
      <c r="F5266" s="13"/>
      <c r="G5266" s="13">
        <v>570.75</v>
      </c>
    </row>
    <row r="5267" spans="1:7" hidden="1" x14ac:dyDescent="0.75">
      <c r="A5267" s="51">
        <v>44950</v>
      </c>
      <c r="B5267" s="52">
        <v>1684</v>
      </c>
      <c r="C5267" s="8" t="s">
        <v>4338</v>
      </c>
      <c r="D5267" s="8" t="s">
        <v>452</v>
      </c>
      <c r="E5267" s="52">
        <v>55</v>
      </c>
      <c r="F5267" s="13"/>
      <c r="G5267" s="13">
        <v>261.75</v>
      </c>
    </row>
    <row r="5268" spans="1:7" hidden="1" x14ac:dyDescent="0.75">
      <c r="A5268" s="51">
        <v>44951</v>
      </c>
      <c r="B5268" s="52">
        <v>1684</v>
      </c>
      <c r="C5268" s="8" t="s">
        <v>4376</v>
      </c>
      <c r="D5268" s="8" t="s">
        <v>452</v>
      </c>
      <c r="E5268" s="52">
        <v>55</v>
      </c>
      <c r="F5268" s="13"/>
      <c r="G5268" s="13">
        <v>255</v>
      </c>
    </row>
    <row r="5269" spans="1:7" hidden="1" x14ac:dyDescent="0.75">
      <c r="A5269" s="51">
        <v>44952</v>
      </c>
      <c r="B5269" s="52">
        <v>1684</v>
      </c>
      <c r="C5269" s="8" t="s">
        <v>4403</v>
      </c>
      <c r="D5269" s="8" t="s">
        <v>452</v>
      </c>
      <c r="E5269" s="52">
        <v>55</v>
      </c>
      <c r="F5269" s="13"/>
      <c r="G5269" s="13">
        <v>244.5</v>
      </c>
    </row>
    <row r="5270" spans="1:7" hidden="1" x14ac:dyDescent="0.75">
      <c r="A5270" s="51">
        <v>44953</v>
      </c>
      <c r="B5270" s="52">
        <v>1684</v>
      </c>
      <c r="C5270" s="8" t="s">
        <v>4440</v>
      </c>
      <c r="D5270" s="8" t="s">
        <v>452</v>
      </c>
      <c r="E5270" s="52">
        <v>55</v>
      </c>
      <c r="F5270" s="13"/>
      <c r="G5270" s="13">
        <v>210</v>
      </c>
    </row>
    <row r="5271" spans="1:7" hidden="1" x14ac:dyDescent="0.75">
      <c r="A5271" s="51">
        <v>44954</v>
      </c>
      <c r="B5271" s="52">
        <v>1684</v>
      </c>
      <c r="C5271" s="8" t="s">
        <v>4474</v>
      </c>
      <c r="D5271" s="8" t="s">
        <v>452</v>
      </c>
      <c r="E5271" s="52">
        <v>55</v>
      </c>
      <c r="F5271" s="13"/>
      <c r="G5271" s="13">
        <v>228.75</v>
      </c>
    </row>
    <row r="5272" spans="1:7" hidden="1" x14ac:dyDescent="0.75">
      <c r="A5272" s="51">
        <v>44956</v>
      </c>
      <c r="B5272" s="52">
        <v>1684</v>
      </c>
      <c r="C5272" s="8" t="s">
        <v>4501</v>
      </c>
      <c r="D5272" s="8" t="s">
        <v>452</v>
      </c>
      <c r="E5272" s="52">
        <v>55</v>
      </c>
      <c r="F5272" s="13"/>
      <c r="G5272" s="13">
        <v>361.7</v>
      </c>
    </row>
    <row r="5273" spans="1:7" hidden="1" x14ac:dyDescent="0.75">
      <c r="A5273" s="51">
        <v>44956</v>
      </c>
      <c r="B5273" s="52">
        <v>1684</v>
      </c>
      <c r="C5273" s="8" t="s">
        <v>1633</v>
      </c>
      <c r="D5273" s="8" t="s">
        <v>452</v>
      </c>
      <c r="E5273" s="52">
        <v>8</v>
      </c>
      <c r="F5273" s="13">
        <v>1858.2</v>
      </c>
      <c r="G5273" s="13"/>
    </row>
    <row r="5274" spans="1:7" hidden="1" x14ac:dyDescent="0.75">
      <c r="A5274" s="51">
        <v>44956</v>
      </c>
      <c r="B5274" s="52">
        <v>1684</v>
      </c>
      <c r="C5274" s="8" t="s">
        <v>1633</v>
      </c>
      <c r="D5274" s="8" t="s">
        <v>452</v>
      </c>
      <c r="E5274" s="52">
        <v>8</v>
      </c>
      <c r="F5274" s="13">
        <v>1113.25</v>
      </c>
      <c r="G5274" s="13"/>
    </row>
    <row r="5275" spans="1:7" hidden="1" x14ac:dyDescent="0.75">
      <c r="A5275" s="51">
        <v>44957</v>
      </c>
      <c r="B5275" s="52">
        <v>1684</v>
      </c>
      <c r="C5275" s="8" t="s">
        <v>4536</v>
      </c>
      <c r="D5275" s="8" t="s">
        <v>452</v>
      </c>
      <c r="E5275" s="52">
        <v>55</v>
      </c>
      <c r="F5275" s="13"/>
      <c r="G5275" s="13">
        <v>239.35</v>
      </c>
    </row>
    <row r="5276" spans="1:7" hidden="1" x14ac:dyDescent="0.75">
      <c r="A5276" s="51">
        <v>44942</v>
      </c>
      <c r="B5276" s="52">
        <v>1711</v>
      </c>
      <c r="C5276" s="8" t="s">
        <v>1422</v>
      </c>
      <c r="D5276" s="8" t="s">
        <v>462</v>
      </c>
      <c r="E5276" s="52">
        <v>5</v>
      </c>
      <c r="F5276" s="13">
        <v>400</v>
      </c>
      <c r="G5276" s="13"/>
    </row>
    <row r="5277" spans="1:7" hidden="1" x14ac:dyDescent="0.75">
      <c r="A5277" s="51">
        <v>44946</v>
      </c>
      <c r="B5277" s="52">
        <v>1711</v>
      </c>
      <c r="C5277" s="8" t="s">
        <v>4697</v>
      </c>
      <c r="D5277" s="8" t="s">
        <v>462</v>
      </c>
      <c r="E5277" s="52">
        <v>585</v>
      </c>
      <c r="F5277" s="13"/>
      <c r="G5277" s="13">
        <v>500</v>
      </c>
    </row>
    <row r="5278" spans="1:7" hidden="1" x14ac:dyDescent="0.75">
      <c r="A5278" s="51">
        <v>44946</v>
      </c>
      <c r="B5278" s="52">
        <v>1711</v>
      </c>
      <c r="C5278" s="8" t="s">
        <v>4698</v>
      </c>
      <c r="D5278" s="8" t="s">
        <v>462</v>
      </c>
      <c r="E5278" s="52">
        <v>585</v>
      </c>
      <c r="F5278" s="13"/>
      <c r="G5278" s="13">
        <v>400</v>
      </c>
    </row>
    <row r="5279" spans="1:7" hidden="1" x14ac:dyDescent="0.75">
      <c r="A5279" s="51">
        <v>44952</v>
      </c>
      <c r="B5279" s="52">
        <v>1711</v>
      </c>
      <c r="C5279" s="8" t="s">
        <v>1799</v>
      </c>
      <c r="D5279" s="8" t="s">
        <v>462</v>
      </c>
      <c r="E5279" s="52">
        <v>8</v>
      </c>
      <c r="F5279" s="13">
        <v>500</v>
      </c>
      <c r="G5279" s="13"/>
    </row>
    <row r="5280" spans="1:7" hidden="1" x14ac:dyDescent="0.75">
      <c r="A5280" s="51">
        <v>44928</v>
      </c>
      <c r="B5280" s="52">
        <v>1721</v>
      </c>
      <c r="C5280" s="8" t="s">
        <v>3741</v>
      </c>
      <c r="D5280" s="8" t="s">
        <v>470</v>
      </c>
      <c r="E5280" s="52">
        <v>55</v>
      </c>
      <c r="F5280" s="13"/>
      <c r="G5280" s="13">
        <v>1405</v>
      </c>
    </row>
    <row r="5281" spans="1:7" hidden="1" x14ac:dyDescent="0.75">
      <c r="A5281" s="51">
        <v>44928</v>
      </c>
      <c r="B5281" s="52">
        <v>1721</v>
      </c>
      <c r="C5281" s="8" t="s">
        <v>3744</v>
      </c>
      <c r="D5281" s="8" t="s">
        <v>470</v>
      </c>
      <c r="E5281" s="52">
        <v>55</v>
      </c>
      <c r="F5281" s="13">
        <v>450</v>
      </c>
      <c r="G5281" s="13"/>
    </row>
    <row r="5282" spans="1:7" hidden="1" x14ac:dyDescent="0.75">
      <c r="A5282" s="51">
        <v>44928</v>
      </c>
      <c r="B5282" s="52">
        <v>1721</v>
      </c>
      <c r="C5282" s="8" t="s">
        <v>1484</v>
      </c>
      <c r="D5282" s="8" t="s">
        <v>470</v>
      </c>
      <c r="E5282" s="52">
        <v>8</v>
      </c>
      <c r="F5282" s="13">
        <v>405</v>
      </c>
      <c r="G5282" s="13"/>
    </row>
    <row r="5283" spans="1:7" hidden="1" x14ac:dyDescent="0.75">
      <c r="A5283" s="51">
        <v>44928</v>
      </c>
      <c r="B5283" s="52">
        <v>1721</v>
      </c>
      <c r="C5283" s="8" t="s">
        <v>1500</v>
      </c>
      <c r="D5283" s="8" t="s">
        <v>470</v>
      </c>
      <c r="E5283" s="52">
        <v>8</v>
      </c>
      <c r="F5283" s="13">
        <v>879</v>
      </c>
      <c r="G5283" s="13"/>
    </row>
    <row r="5284" spans="1:7" hidden="1" x14ac:dyDescent="0.75">
      <c r="A5284" s="51">
        <v>44928</v>
      </c>
      <c r="B5284" s="52">
        <v>1721</v>
      </c>
      <c r="C5284" s="8" t="s">
        <v>1501</v>
      </c>
      <c r="D5284" s="8" t="s">
        <v>470</v>
      </c>
      <c r="E5284" s="52">
        <v>8</v>
      </c>
      <c r="F5284" s="13">
        <v>431</v>
      </c>
      <c r="G5284" s="13"/>
    </row>
    <row r="5285" spans="1:7" hidden="1" x14ac:dyDescent="0.75">
      <c r="A5285" s="51">
        <v>44928</v>
      </c>
      <c r="B5285" s="52">
        <v>1721</v>
      </c>
      <c r="C5285" s="8" t="s">
        <v>1502</v>
      </c>
      <c r="D5285" s="8" t="s">
        <v>470</v>
      </c>
      <c r="E5285" s="52">
        <v>8</v>
      </c>
      <c r="F5285" s="13">
        <v>563.79999999999995</v>
      </c>
      <c r="G5285" s="13"/>
    </row>
    <row r="5286" spans="1:7" hidden="1" x14ac:dyDescent="0.75">
      <c r="A5286" s="51">
        <v>44928</v>
      </c>
      <c r="B5286" s="52">
        <v>1721</v>
      </c>
      <c r="C5286" s="8" t="s">
        <v>1503</v>
      </c>
      <c r="D5286" s="8" t="s">
        <v>470</v>
      </c>
      <c r="E5286" s="52">
        <v>8</v>
      </c>
      <c r="F5286" s="13">
        <v>1559</v>
      </c>
      <c r="G5286" s="13"/>
    </row>
    <row r="5287" spans="1:7" hidden="1" x14ac:dyDescent="0.75">
      <c r="A5287" s="51">
        <v>44929</v>
      </c>
      <c r="B5287" s="52">
        <v>1721</v>
      </c>
      <c r="C5287" s="8" t="s">
        <v>3779</v>
      </c>
      <c r="D5287" s="8" t="s">
        <v>470</v>
      </c>
      <c r="E5287" s="52">
        <v>55</v>
      </c>
      <c r="F5287" s="13"/>
      <c r="G5287" s="13">
        <v>1475</v>
      </c>
    </row>
    <row r="5288" spans="1:7" hidden="1" x14ac:dyDescent="0.75">
      <c r="A5288" s="51">
        <v>44931</v>
      </c>
      <c r="B5288" s="52">
        <v>1721</v>
      </c>
      <c r="C5288" s="8" t="s">
        <v>3835</v>
      </c>
      <c r="D5288" s="8" t="s">
        <v>470</v>
      </c>
      <c r="E5288" s="52">
        <v>55</v>
      </c>
      <c r="F5288" s="13"/>
      <c r="G5288" s="13">
        <v>2385</v>
      </c>
    </row>
    <row r="5289" spans="1:7" hidden="1" x14ac:dyDescent="0.75">
      <c r="A5289" s="51">
        <v>44931</v>
      </c>
      <c r="B5289" s="52">
        <v>1721</v>
      </c>
      <c r="C5289" s="8" t="s">
        <v>1557</v>
      </c>
      <c r="D5289" s="8" t="s">
        <v>470</v>
      </c>
      <c r="E5289" s="52">
        <v>8</v>
      </c>
      <c r="F5289" s="13">
        <v>606</v>
      </c>
      <c r="G5289" s="13"/>
    </row>
    <row r="5290" spans="1:7" hidden="1" x14ac:dyDescent="0.75">
      <c r="A5290" s="51">
        <v>44931</v>
      </c>
      <c r="B5290" s="52">
        <v>1721</v>
      </c>
      <c r="C5290" s="8" t="s">
        <v>1558</v>
      </c>
      <c r="D5290" s="8" t="s">
        <v>470</v>
      </c>
      <c r="E5290" s="52">
        <v>8</v>
      </c>
      <c r="F5290" s="13">
        <v>250</v>
      </c>
      <c r="G5290" s="13"/>
    </row>
    <row r="5291" spans="1:7" hidden="1" x14ac:dyDescent="0.75">
      <c r="A5291" s="51">
        <v>44932</v>
      </c>
      <c r="B5291" s="52">
        <v>1721</v>
      </c>
      <c r="C5291" s="8" t="s">
        <v>3869</v>
      </c>
      <c r="D5291" s="8" t="s">
        <v>470</v>
      </c>
      <c r="E5291" s="52">
        <v>55</v>
      </c>
      <c r="F5291" s="13"/>
      <c r="G5291" s="13">
        <v>1515</v>
      </c>
    </row>
    <row r="5292" spans="1:7" hidden="1" x14ac:dyDescent="0.75">
      <c r="A5292" s="51">
        <v>44933</v>
      </c>
      <c r="B5292" s="52">
        <v>1721</v>
      </c>
      <c r="C5292" s="8" t="s">
        <v>3905</v>
      </c>
      <c r="D5292" s="8" t="s">
        <v>470</v>
      </c>
      <c r="E5292" s="52">
        <v>55</v>
      </c>
      <c r="F5292" s="13"/>
      <c r="G5292" s="13">
        <v>765</v>
      </c>
    </row>
    <row r="5293" spans="1:7" hidden="1" x14ac:dyDescent="0.75">
      <c r="A5293" s="51">
        <v>44935</v>
      </c>
      <c r="B5293" s="52">
        <v>1721</v>
      </c>
      <c r="C5293" s="8" t="s">
        <v>3940</v>
      </c>
      <c r="D5293" s="8" t="s">
        <v>470</v>
      </c>
      <c r="E5293" s="52">
        <v>55</v>
      </c>
      <c r="F5293" s="13"/>
      <c r="G5293" s="13">
        <v>1215</v>
      </c>
    </row>
    <row r="5294" spans="1:7" hidden="1" x14ac:dyDescent="0.75">
      <c r="A5294" s="51">
        <v>44935</v>
      </c>
      <c r="B5294" s="52">
        <v>1721</v>
      </c>
      <c r="C5294" s="8" t="s">
        <v>3941</v>
      </c>
      <c r="D5294" s="8" t="s">
        <v>470</v>
      </c>
      <c r="E5294" s="52">
        <v>55</v>
      </c>
      <c r="F5294" s="13"/>
      <c r="G5294" s="13">
        <v>1215</v>
      </c>
    </row>
    <row r="5295" spans="1:7" hidden="1" x14ac:dyDescent="0.75">
      <c r="A5295" s="51">
        <v>44936</v>
      </c>
      <c r="B5295" s="52">
        <v>1721</v>
      </c>
      <c r="C5295" s="8" t="s">
        <v>3978</v>
      </c>
      <c r="D5295" s="8" t="s">
        <v>470</v>
      </c>
      <c r="E5295" s="52">
        <v>55</v>
      </c>
      <c r="F5295" s="13"/>
      <c r="G5295" s="13">
        <v>1310</v>
      </c>
    </row>
    <row r="5296" spans="1:7" hidden="1" x14ac:dyDescent="0.75">
      <c r="A5296" s="51">
        <v>44936</v>
      </c>
      <c r="B5296" s="52">
        <v>1721</v>
      </c>
      <c r="C5296" s="8" t="s">
        <v>1615</v>
      </c>
      <c r="D5296" s="8" t="s">
        <v>470</v>
      </c>
      <c r="E5296" s="52">
        <v>8</v>
      </c>
      <c r="F5296" s="13">
        <v>965</v>
      </c>
      <c r="G5296" s="13"/>
    </row>
    <row r="5297" spans="1:7" hidden="1" x14ac:dyDescent="0.75">
      <c r="A5297" s="51">
        <v>44937</v>
      </c>
      <c r="B5297" s="52">
        <v>1721</v>
      </c>
      <c r="C5297" s="8" t="s">
        <v>4009</v>
      </c>
      <c r="D5297" s="8" t="s">
        <v>470</v>
      </c>
      <c r="E5297" s="52">
        <v>55</v>
      </c>
      <c r="F5297" s="13"/>
      <c r="G5297" s="13">
        <v>390</v>
      </c>
    </row>
    <row r="5298" spans="1:7" hidden="1" x14ac:dyDescent="0.75">
      <c r="A5298" s="51">
        <v>44937</v>
      </c>
      <c r="B5298" s="52">
        <v>1721</v>
      </c>
      <c r="C5298" s="8" t="s">
        <v>4011</v>
      </c>
      <c r="D5298" s="8" t="s">
        <v>470</v>
      </c>
      <c r="E5298" s="52">
        <v>55</v>
      </c>
      <c r="F5298" s="13">
        <v>1215</v>
      </c>
      <c r="G5298" s="13"/>
    </row>
    <row r="5299" spans="1:7" hidden="1" x14ac:dyDescent="0.75">
      <c r="A5299" s="51">
        <v>44938</v>
      </c>
      <c r="B5299" s="52">
        <v>1721</v>
      </c>
      <c r="C5299" s="8" t="s">
        <v>4032</v>
      </c>
      <c r="D5299" s="8" t="s">
        <v>470</v>
      </c>
      <c r="E5299" s="52">
        <v>55</v>
      </c>
      <c r="F5299" s="13"/>
      <c r="G5299" s="13">
        <v>975</v>
      </c>
    </row>
    <row r="5300" spans="1:7" hidden="1" x14ac:dyDescent="0.75">
      <c r="A5300" s="51">
        <v>44939</v>
      </c>
      <c r="B5300" s="52">
        <v>1721</v>
      </c>
      <c r="C5300" s="8" t="s">
        <v>4064</v>
      </c>
      <c r="D5300" s="8" t="s">
        <v>470</v>
      </c>
      <c r="E5300" s="52">
        <v>55</v>
      </c>
      <c r="F5300" s="13"/>
      <c r="G5300" s="13">
        <v>800</v>
      </c>
    </row>
    <row r="5301" spans="1:7" hidden="1" x14ac:dyDescent="0.75">
      <c r="A5301" s="51">
        <v>44939</v>
      </c>
      <c r="B5301" s="52">
        <v>1721</v>
      </c>
      <c r="C5301" s="8" t="s">
        <v>1661</v>
      </c>
      <c r="D5301" s="8" t="s">
        <v>470</v>
      </c>
      <c r="E5301" s="52">
        <v>8</v>
      </c>
      <c r="F5301" s="13">
        <v>690</v>
      </c>
      <c r="G5301" s="13"/>
    </row>
    <row r="5302" spans="1:7" hidden="1" x14ac:dyDescent="0.75">
      <c r="A5302" s="51">
        <v>44939</v>
      </c>
      <c r="B5302" s="52">
        <v>1721</v>
      </c>
      <c r="C5302" s="8" t="s">
        <v>1663</v>
      </c>
      <c r="D5302" s="8" t="s">
        <v>470</v>
      </c>
      <c r="E5302" s="52">
        <v>8</v>
      </c>
      <c r="F5302" s="13">
        <v>1012</v>
      </c>
      <c r="G5302" s="13"/>
    </row>
    <row r="5303" spans="1:7" hidden="1" x14ac:dyDescent="0.75">
      <c r="A5303" s="51">
        <v>44939</v>
      </c>
      <c r="B5303" s="52">
        <v>1721</v>
      </c>
      <c r="C5303" s="8" t="s">
        <v>1664</v>
      </c>
      <c r="D5303" s="8" t="s">
        <v>470</v>
      </c>
      <c r="E5303" s="52">
        <v>8</v>
      </c>
      <c r="F5303" s="13">
        <v>708.5</v>
      </c>
      <c r="G5303" s="13"/>
    </row>
    <row r="5304" spans="1:7" hidden="1" x14ac:dyDescent="0.75">
      <c r="A5304" s="51">
        <v>44940</v>
      </c>
      <c r="B5304" s="52">
        <v>1721</v>
      </c>
      <c r="C5304" s="8" t="s">
        <v>4104</v>
      </c>
      <c r="D5304" s="8" t="s">
        <v>470</v>
      </c>
      <c r="E5304" s="52">
        <v>55</v>
      </c>
      <c r="F5304" s="13"/>
      <c r="G5304" s="13">
        <v>1108</v>
      </c>
    </row>
    <row r="5305" spans="1:7" hidden="1" x14ac:dyDescent="0.75">
      <c r="A5305" s="51">
        <v>44942</v>
      </c>
      <c r="B5305" s="52">
        <v>1721</v>
      </c>
      <c r="C5305" s="8" t="s">
        <v>4130</v>
      </c>
      <c r="D5305" s="8" t="s">
        <v>470</v>
      </c>
      <c r="E5305" s="52">
        <v>55</v>
      </c>
      <c r="F5305" s="13"/>
      <c r="G5305" s="13">
        <v>960</v>
      </c>
    </row>
    <row r="5306" spans="1:7" hidden="1" x14ac:dyDescent="0.75">
      <c r="A5306" s="51">
        <v>44942</v>
      </c>
      <c r="B5306" s="52">
        <v>1721</v>
      </c>
      <c r="C5306" s="8" t="s">
        <v>1683</v>
      </c>
      <c r="D5306" s="8" t="s">
        <v>470</v>
      </c>
      <c r="E5306" s="52">
        <v>8</v>
      </c>
      <c r="F5306" s="13">
        <v>310</v>
      </c>
      <c r="G5306" s="13"/>
    </row>
    <row r="5307" spans="1:7" hidden="1" x14ac:dyDescent="0.75">
      <c r="A5307" s="51">
        <v>44942</v>
      </c>
      <c r="B5307" s="52">
        <v>1721</v>
      </c>
      <c r="C5307" s="8" t="s">
        <v>1688</v>
      </c>
      <c r="D5307" s="8" t="s">
        <v>470</v>
      </c>
      <c r="E5307" s="52">
        <v>8</v>
      </c>
      <c r="F5307" s="13">
        <v>2965</v>
      </c>
      <c r="G5307" s="13"/>
    </row>
    <row r="5308" spans="1:7" hidden="1" x14ac:dyDescent="0.75">
      <c r="A5308" s="51">
        <v>44942</v>
      </c>
      <c r="B5308" s="52">
        <v>1721</v>
      </c>
      <c r="C5308" s="8" t="s">
        <v>1689</v>
      </c>
      <c r="D5308" s="8" t="s">
        <v>470</v>
      </c>
      <c r="E5308" s="52">
        <v>8</v>
      </c>
      <c r="F5308" s="13">
        <v>2405</v>
      </c>
      <c r="G5308" s="13"/>
    </row>
    <row r="5309" spans="1:7" hidden="1" x14ac:dyDescent="0.75">
      <c r="A5309" s="51">
        <v>44942</v>
      </c>
      <c r="B5309" s="52">
        <v>1721</v>
      </c>
      <c r="C5309" s="8" t="s">
        <v>1690</v>
      </c>
      <c r="D5309" s="8" t="s">
        <v>470</v>
      </c>
      <c r="E5309" s="52">
        <v>8</v>
      </c>
      <c r="F5309" s="13">
        <v>1350</v>
      </c>
      <c r="G5309" s="13"/>
    </row>
    <row r="5310" spans="1:7" hidden="1" x14ac:dyDescent="0.75">
      <c r="A5310" s="51">
        <v>44942</v>
      </c>
      <c r="B5310" s="52">
        <v>1721</v>
      </c>
      <c r="C5310" s="8" t="s">
        <v>1701</v>
      </c>
      <c r="D5310" s="8" t="s">
        <v>470</v>
      </c>
      <c r="E5310" s="52">
        <v>8</v>
      </c>
      <c r="F5310" s="13">
        <v>1145</v>
      </c>
      <c r="G5310" s="13"/>
    </row>
    <row r="5311" spans="1:7" hidden="1" x14ac:dyDescent="0.75">
      <c r="A5311" s="51">
        <v>44943</v>
      </c>
      <c r="B5311" s="52">
        <v>1721</v>
      </c>
      <c r="C5311" s="8" t="s">
        <v>4156</v>
      </c>
      <c r="D5311" s="8" t="s">
        <v>470</v>
      </c>
      <c r="E5311" s="52">
        <v>55</v>
      </c>
      <c r="F5311" s="13"/>
      <c r="G5311" s="13">
        <v>1089</v>
      </c>
    </row>
    <row r="5312" spans="1:7" hidden="1" x14ac:dyDescent="0.75">
      <c r="A5312" s="51">
        <v>44944</v>
      </c>
      <c r="B5312" s="52">
        <v>1721</v>
      </c>
      <c r="C5312" s="8" t="s">
        <v>4191</v>
      </c>
      <c r="D5312" s="8" t="s">
        <v>470</v>
      </c>
      <c r="E5312" s="52">
        <v>55</v>
      </c>
      <c r="F5312" s="13"/>
      <c r="G5312" s="13">
        <v>268</v>
      </c>
    </row>
    <row r="5313" spans="1:7" hidden="1" x14ac:dyDescent="0.75">
      <c r="A5313" s="51">
        <v>44945</v>
      </c>
      <c r="B5313" s="52">
        <v>1721</v>
      </c>
      <c r="C5313" s="8" t="s">
        <v>4215</v>
      </c>
      <c r="D5313" s="8" t="s">
        <v>470</v>
      </c>
      <c r="E5313" s="52">
        <v>55</v>
      </c>
      <c r="F5313" s="13"/>
      <c r="G5313" s="13">
        <v>1072</v>
      </c>
    </row>
    <row r="5314" spans="1:7" hidden="1" x14ac:dyDescent="0.75">
      <c r="A5314" s="51">
        <v>44945</v>
      </c>
      <c r="B5314" s="52">
        <v>1721</v>
      </c>
      <c r="C5314" s="8" t="s">
        <v>4216</v>
      </c>
      <c r="D5314" s="8" t="s">
        <v>470</v>
      </c>
      <c r="E5314" s="52">
        <v>55</v>
      </c>
      <c r="F5314" s="13"/>
      <c r="G5314" s="13">
        <v>500</v>
      </c>
    </row>
    <row r="5315" spans="1:7" hidden="1" x14ac:dyDescent="0.75">
      <c r="A5315" s="51">
        <v>44946</v>
      </c>
      <c r="B5315" s="52">
        <v>1721</v>
      </c>
      <c r="C5315" s="8" t="s">
        <v>4244</v>
      </c>
      <c r="D5315" s="8" t="s">
        <v>470</v>
      </c>
      <c r="E5315" s="52">
        <v>55</v>
      </c>
      <c r="F5315" s="13"/>
      <c r="G5315" s="13">
        <v>444</v>
      </c>
    </row>
    <row r="5316" spans="1:7" hidden="1" x14ac:dyDescent="0.75">
      <c r="A5316" s="51">
        <v>44946</v>
      </c>
      <c r="B5316" s="52">
        <v>1721</v>
      </c>
      <c r="C5316" s="8" t="s">
        <v>1739</v>
      </c>
      <c r="D5316" s="8" t="s">
        <v>470</v>
      </c>
      <c r="E5316" s="52">
        <v>8</v>
      </c>
      <c r="F5316" s="13">
        <v>1150</v>
      </c>
      <c r="G5316" s="13"/>
    </row>
    <row r="5317" spans="1:7" hidden="1" x14ac:dyDescent="0.75">
      <c r="A5317" s="51">
        <v>44946</v>
      </c>
      <c r="B5317" s="52">
        <v>1721</v>
      </c>
      <c r="C5317" s="8" t="s">
        <v>1740</v>
      </c>
      <c r="D5317" s="8" t="s">
        <v>470</v>
      </c>
      <c r="E5317" s="52">
        <v>8</v>
      </c>
      <c r="F5317" s="13">
        <v>1105</v>
      </c>
      <c r="G5317" s="13"/>
    </row>
    <row r="5318" spans="1:7" hidden="1" x14ac:dyDescent="0.75">
      <c r="A5318" s="51">
        <v>44947</v>
      </c>
      <c r="B5318" s="52">
        <v>1721</v>
      </c>
      <c r="C5318" s="8" t="s">
        <v>4277</v>
      </c>
      <c r="D5318" s="8" t="s">
        <v>470</v>
      </c>
      <c r="E5318" s="52">
        <v>55</v>
      </c>
      <c r="F5318" s="13"/>
      <c r="G5318" s="13">
        <v>632.5</v>
      </c>
    </row>
    <row r="5319" spans="1:7" hidden="1" x14ac:dyDescent="0.75">
      <c r="A5319" s="51">
        <v>44949</v>
      </c>
      <c r="B5319" s="52">
        <v>1721</v>
      </c>
      <c r="C5319" s="8" t="s">
        <v>4306</v>
      </c>
      <c r="D5319" s="8" t="s">
        <v>470</v>
      </c>
      <c r="E5319" s="52">
        <v>55</v>
      </c>
      <c r="F5319" s="13"/>
      <c r="G5319" s="13">
        <v>480</v>
      </c>
    </row>
    <row r="5320" spans="1:7" hidden="1" x14ac:dyDescent="0.75">
      <c r="A5320" s="51">
        <v>44949</v>
      </c>
      <c r="B5320" s="52">
        <v>1721</v>
      </c>
      <c r="C5320" s="8" t="s">
        <v>1758</v>
      </c>
      <c r="D5320" s="8" t="s">
        <v>470</v>
      </c>
      <c r="E5320" s="52">
        <v>8</v>
      </c>
      <c r="F5320" s="13">
        <v>1222</v>
      </c>
      <c r="G5320" s="13"/>
    </row>
    <row r="5321" spans="1:7" hidden="1" x14ac:dyDescent="0.75">
      <c r="A5321" s="51">
        <v>44949</v>
      </c>
      <c r="B5321" s="52">
        <v>1721</v>
      </c>
      <c r="C5321" s="8" t="s">
        <v>1759</v>
      </c>
      <c r="D5321" s="8" t="s">
        <v>470</v>
      </c>
      <c r="E5321" s="52">
        <v>8</v>
      </c>
      <c r="F5321" s="13">
        <v>840</v>
      </c>
      <c r="G5321" s="13"/>
    </row>
    <row r="5322" spans="1:7" hidden="1" x14ac:dyDescent="0.75">
      <c r="A5322" s="51">
        <v>44949</v>
      </c>
      <c r="B5322" s="52">
        <v>1721</v>
      </c>
      <c r="C5322" s="8" t="s">
        <v>1760</v>
      </c>
      <c r="D5322" s="8" t="s">
        <v>470</v>
      </c>
      <c r="E5322" s="52">
        <v>8</v>
      </c>
      <c r="F5322" s="13">
        <v>255</v>
      </c>
      <c r="G5322" s="13"/>
    </row>
    <row r="5323" spans="1:7" hidden="1" x14ac:dyDescent="0.75">
      <c r="A5323" s="51">
        <v>44949</v>
      </c>
      <c r="B5323" s="52">
        <v>1721</v>
      </c>
      <c r="C5323" s="8" t="s">
        <v>1770</v>
      </c>
      <c r="D5323" s="8" t="s">
        <v>470</v>
      </c>
      <c r="E5323" s="52">
        <v>8</v>
      </c>
      <c r="F5323" s="13">
        <v>1660</v>
      </c>
      <c r="G5323" s="13"/>
    </row>
    <row r="5324" spans="1:7" hidden="1" x14ac:dyDescent="0.75">
      <c r="A5324" s="51">
        <v>44950</v>
      </c>
      <c r="B5324" s="52">
        <v>1721</v>
      </c>
      <c r="C5324" s="8" t="s">
        <v>4339</v>
      </c>
      <c r="D5324" s="8" t="s">
        <v>470</v>
      </c>
      <c r="E5324" s="52">
        <v>55</v>
      </c>
      <c r="F5324" s="13"/>
      <c r="G5324" s="13">
        <v>550</v>
      </c>
    </row>
    <row r="5325" spans="1:7" hidden="1" x14ac:dyDescent="0.75">
      <c r="A5325" s="51">
        <v>44950</v>
      </c>
      <c r="B5325" s="52">
        <v>1721</v>
      </c>
      <c r="C5325" s="8" t="s">
        <v>4340</v>
      </c>
      <c r="D5325" s="8" t="s">
        <v>470</v>
      </c>
      <c r="E5325" s="52">
        <v>55</v>
      </c>
      <c r="F5325" s="13"/>
      <c r="G5325" s="13">
        <v>210</v>
      </c>
    </row>
    <row r="5326" spans="1:7" hidden="1" x14ac:dyDescent="0.75">
      <c r="A5326" s="51">
        <v>44951</v>
      </c>
      <c r="B5326" s="52">
        <v>1721</v>
      </c>
      <c r="C5326" s="8" t="s">
        <v>4377</v>
      </c>
      <c r="D5326" s="8" t="s">
        <v>470</v>
      </c>
      <c r="E5326" s="52">
        <v>55</v>
      </c>
      <c r="F5326" s="13"/>
      <c r="G5326" s="13">
        <v>925</v>
      </c>
    </row>
    <row r="5327" spans="1:7" hidden="1" x14ac:dyDescent="0.75">
      <c r="A5327" s="51">
        <v>44951</v>
      </c>
      <c r="B5327" s="52">
        <v>1721</v>
      </c>
      <c r="C5327" s="8" t="s">
        <v>4379</v>
      </c>
      <c r="D5327" s="8" t="s">
        <v>470</v>
      </c>
      <c r="E5327" s="52">
        <v>55</v>
      </c>
      <c r="F5327" s="13">
        <v>400</v>
      </c>
      <c r="G5327" s="13"/>
    </row>
    <row r="5328" spans="1:7" hidden="1" x14ac:dyDescent="0.75">
      <c r="A5328" s="51">
        <v>44952</v>
      </c>
      <c r="B5328" s="52">
        <v>1721</v>
      </c>
      <c r="C5328" s="8" t="s">
        <v>4404</v>
      </c>
      <c r="D5328" s="8" t="s">
        <v>470</v>
      </c>
      <c r="E5328" s="52">
        <v>55</v>
      </c>
      <c r="F5328" s="13"/>
      <c r="G5328" s="13">
        <v>470</v>
      </c>
    </row>
    <row r="5329" spans="1:7" hidden="1" x14ac:dyDescent="0.75">
      <c r="A5329" s="51">
        <v>44953</v>
      </c>
      <c r="B5329" s="52">
        <v>1721</v>
      </c>
      <c r="C5329" s="8" t="s">
        <v>1812</v>
      </c>
      <c r="D5329" s="8" t="s">
        <v>470</v>
      </c>
      <c r="E5329" s="52">
        <v>8</v>
      </c>
      <c r="F5329" s="13">
        <v>1210</v>
      </c>
      <c r="G5329" s="13"/>
    </row>
    <row r="5330" spans="1:7" hidden="1" x14ac:dyDescent="0.75">
      <c r="A5330" s="51">
        <v>44953</v>
      </c>
      <c r="B5330" s="52">
        <v>1721</v>
      </c>
      <c r="C5330" s="8" t="s">
        <v>1813</v>
      </c>
      <c r="D5330" s="8" t="s">
        <v>470</v>
      </c>
      <c r="E5330" s="52">
        <v>8</v>
      </c>
      <c r="F5330" s="13">
        <v>1220</v>
      </c>
      <c r="G5330" s="13"/>
    </row>
    <row r="5331" spans="1:7" hidden="1" x14ac:dyDescent="0.75">
      <c r="A5331" s="51">
        <v>44953</v>
      </c>
      <c r="B5331" s="52">
        <v>1721</v>
      </c>
      <c r="C5331" s="8" t="s">
        <v>1814</v>
      </c>
      <c r="D5331" s="8" t="s">
        <v>470</v>
      </c>
      <c r="E5331" s="52">
        <v>8</v>
      </c>
      <c r="F5331" s="13">
        <v>610</v>
      </c>
      <c r="G5331" s="13"/>
    </row>
    <row r="5332" spans="1:7" hidden="1" x14ac:dyDescent="0.75">
      <c r="A5332" s="51">
        <v>44954</v>
      </c>
      <c r="B5332" s="52">
        <v>1721</v>
      </c>
      <c r="C5332" s="8" t="s">
        <v>4475</v>
      </c>
      <c r="D5332" s="8" t="s">
        <v>470</v>
      </c>
      <c r="E5332" s="52">
        <v>55</v>
      </c>
      <c r="F5332" s="13"/>
      <c r="G5332" s="13">
        <v>550</v>
      </c>
    </row>
    <row r="5333" spans="1:7" hidden="1" x14ac:dyDescent="0.75">
      <c r="A5333" s="51">
        <v>44954</v>
      </c>
      <c r="B5333" s="52">
        <v>1721</v>
      </c>
      <c r="C5333" s="8" t="s">
        <v>4477</v>
      </c>
      <c r="D5333" s="8" t="s">
        <v>470</v>
      </c>
      <c r="E5333" s="52">
        <v>55</v>
      </c>
      <c r="F5333" s="13">
        <v>41.4</v>
      </c>
      <c r="G5333" s="13"/>
    </row>
    <row r="5334" spans="1:7" hidden="1" x14ac:dyDescent="0.75">
      <c r="A5334" s="51">
        <v>44956</v>
      </c>
      <c r="B5334" s="52">
        <v>1721</v>
      </c>
      <c r="C5334" s="8" t="s">
        <v>4502</v>
      </c>
      <c r="D5334" s="8" t="s">
        <v>470</v>
      </c>
      <c r="E5334" s="52">
        <v>55</v>
      </c>
      <c r="F5334" s="13"/>
      <c r="G5334" s="13">
        <v>1675</v>
      </c>
    </row>
    <row r="5335" spans="1:7" hidden="1" x14ac:dyDescent="0.75">
      <c r="A5335" s="51">
        <v>44956</v>
      </c>
      <c r="B5335" s="52">
        <v>1721</v>
      </c>
      <c r="C5335" s="8" t="s">
        <v>1830</v>
      </c>
      <c r="D5335" s="8" t="s">
        <v>470</v>
      </c>
      <c r="E5335" s="52">
        <v>8</v>
      </c>
      <c r="F5335" s="13">
        <v>740</v>
      </c>
      <c r="G5335" s="13"/>
    </row>
    <row r="5336" spans="1:7" hidden="1" x14ac:dyDescent="0.75">
      <c r="A5336" s="51">
        <v>44957</v>
      </c>
      <c r="B5336" s="52">
        <v>1721</v>
      </c>
      <c r="C5336" s="8" t="s">
        <v>4537</v>
      </c>
      <c r="D5336" s="8" t="s">
        <v>470</v>
      </c>
      <c r="E5336" s="52">
        <v>55</v>
      </c>
      <c r="F5336" s="13"/>
      <c r="G5336" s="13">
        <v>935</v>
      </c>
    </row>
    <row r="5337" spans="1:7" hidden="1" x14ac:dyDescent="0.75">
      <c r="A5337" s="51">
        <v>44957</v>
      </c>
      <c r="B5337" s="52">
        <v>1721</v>
      </c>
      <c r="C5337" s="8" t="s">
        <v>1859</v>
      </c>
      <c r="D5337" s="8" t="s">
        <v>470</v>
      </c>
      <c r="E5337" s="52">
        <v>8</v>
      </c>
      <c r="F5337" s="13">
        <v>955</v>
      </c>
      <c r="G5337" s="13"/>
    </row>
    <row r="5338" spans="1:7" hidden="1" x14ac:dyDescent="0.75">
      <c r="A5338" s="51">
        <v>44932</v>
      </c>
      <c r="B5338" s="52">
        <v>1777</v>
      </c>
      <c r="C5338" s="8" t="s">
        <v>4699</v>
      </c>
      <c r="D5338" s="8" t="s">
        <v>1347</v>
      </c>
      <c r="E5338" s="52">
        <v>1385</v>
      </c>
      <c r="F5338" s="13"/>
      <c r="G5338" s="13">
        <v>6175.49</v>
      </c>
    </row>
    <row r="5339" spans="1:7" hidden="1" x14ac:dyDescent="0.75">
      <c r="A5339" s="51">
        <v>44936</v>
      </c>
      <c r="B5339" s="52">
        <v>1777</v>
      </c>
      <c r="C5339" s="8" t="s">
        <v>1620</v>
      </c>
      <c r="D5339" s="8" t="s">
        <v>1347</v>
      </c>
      <c r="E5339" s="52">
        <v>8</v>
      </c>
      <c r="F5339" s="13">
        <v>6175.49</v>
      </c>
      <c r="G5339" s="13"/>
    </row>
    <row r="5340" spans="1:7" hidden="1" x14ac:dyDescent="0.75">
      <c r="A5340" s="51">
        <v>44928</v>
      </c>
      <c r="B5340" s="52">
        <v>1794</v>
      </c>
      <c r="C5340" s="8" t="s">
        <v>3728</v>
      </c>
      <c r="D5340" s="8" t="s">
        <v>484</v>
      </c>
      <c r="E5340" s="52">
        <v>55</v>
      </c>
      <c r="F5340" s="13"/>
      <c r="G5340" s="13">
        <v>770.2</v>
      </c>
    </row>
    <row r="5341" spans="1:7" hidden="1" x14ac:dyDescent="0.75">
      <c r="A5341" s="51">
        <v>44928</v>
      </c>
      <c r="B5341" s="52">
        <v>1794</v>
      </c>
      <c r="C5341" s="8" t="s">
        <v>1522</v>
      </c>
      <c r="D5341" s="8" t="s">
        <v>484</v>
      </c>
      <c r="E5341" s="52">
        <v>8</v>
      </c>
      <c r="F5341" s="13">
        <v>9808.6</v>
      </c>
      <c r="G5341" s="13"/>
    </row>
    <row r="5342" spans="1:7" hidden="1" x14ac:dyDescent="0.75">
      <c r="A5342" s="51">
        <v>44929</v>
      </c>
      <c r="B5342" s="52">
        <v>1794</v>
      </c>
      <c r="C5342" s="8" t="s">
        <v>3763</v>
      </c>
      <c r="D5342" s="8" t="s">
        <v>484</v>
      </c>
      <c r="E5342" s="52">
        <v>55</v>
      </c>
      <c r="F5342" s="13"/>
      <c r="G5342" s="13">
        <v>510</v>
      </c>
    </row>
    <row r="5343" spans="1:7" hidden="1" x14ac:dyDescent="0.75">
      <c r="A5343" s="51">
        <v>44930</v>
      </c>
      <c r="B5343" s="52">
        <v>1794</v>
      </c>
      <c r="C5343" s="8" t="s">
        <v>3786</v>
      </c>
      <c r="D5343" s="8" t="s">
        <v>484</v>
      </c>
      <c r="E5343" s="52">
        <v>55</v>
      </c>
      <c r="F5343" s="13"/>
      <c r="G5343" s="13">
        <v>292</v>
      </c>
    </row>
    <row r="5344" spans="1:7" hidden="1" x14ac:dyDescent="0.75">
      <c r="A5344" s="51">
        <v>44931</v>
      </c>
      <c r="B5344" s="52">
        <v>1794</v>
      </c>
      <c r="C5344" s="8" t="s">
        <v>3826</v>
      </c>
      <c r="D5344" s="8" t="s">
        <v>484</v>
      </c>
      <c r="E5344" s="52">
        <v>55</v>
      </c>
      <c r="F5344" s="13"/>
      <c r="G5344" s="13">
        <v>610</v>
      </c>
    </row>
    <row r="5345" spans="1:7" hidden="1" x14ac:dyDescent="0.75">
      <c r="A5345" s="51">
        <v>44932</v>
      </c>
      <c r="B5345" s="52">
        <v>1794</v>
      </c>
      <c r="C5345" s="8" t="s">
        <v>3849</v>
      </c>
      <c r="D5345" s="8" t="s">
        <v>484</v>
      </c>
      <c r="E5345" s="52">
        <v>55</v>
      </c>
      <c r="F5345" s="13"/>
      <c r="G5345" s="13">
        <v>1515</v>
      </c>
    </row>
    <row r="5346" spans="1:7" hidden="1" x14ac:dyDescent="0.75">
      <c r="A5346" s="51">
        <v>44935</v>
      </c>
      <c r="B5346" s="52">
        <v>1794</v>
      </c>
      <c r="C5346" s="8" t="s">
        <v>3924</v>
      </c>
      <c r="D5346" s="8" t="s">
        <v>484</v>
      </c>
      <c r="E5346" s="52">
        <v>55</v>
      </c>
      <c r="F5346" s="13"/>
      <c r="G5346" s="13">
        <v>1304.2</v>
      </c>
    </row>
    <row r="5347" spans="1:7" hidden="1" x14ac:dyDescent="0.75">
      <c r="A5347" s="51">
        <v>44936</v>
      </c>
      <c r="B5347" s="52">
        <v>1794</v>
      </c>
      <c r="C5347" s="8" t="s">
        <v>3964</v>
      </c>
      <c r="D5347" s="8" t="s">
        <v>484</v>
      </c>
      <c r="E5347" s="52">
        <v>55</v>
      </c>
      <c r="F5347" s="13"/>
      <c r="G5347" s="13">
        <v>689.5</v>
      </c>
    </row>
    <row r="5348" spans="1:7" hidden="1" x14ac:dyDescent="0.75">
      <c r="A5348" s="51">
        <v>44937</v>
      </c>
      <c r="B5348" s="52">
        <v>1794</v>
      </c>
      <c r="C5348" s="8" t="s">
        <v>3995</v>
      </c>
      <c r="D5348" s="8" t="s">
        <v>484</v>
      </c>
      <c r="E5348" s="52">
        <v>55</v>
      </c>
      <c r="F5348" s="13"/>
      <c r="G5348" s="13">
        <v>300</v>
      </c>
    </row>
    <row r="5349" spans="1:7" hidden="1" x14ac:dyDescent="0.75">
      <c r="A5349" s="51">
        <v>44938</v>
      </c>
      <c r="B5349" s="52">
        <v>1794</v>
      </c>
      <c r="C5349" s="8" t="s">
        <v>4025</v>
      </c>
      <c r="D5349" s="8" t="s">
        <v>484</v>
      </c>
      <c r="E5349" s="52">
        <v>55</v>
      </c>
      <c r="F5349" s="13"/>
      <c r="G5349" s="13">
        <v>350</v>
      </c>
    </row>
    <row r="5350" spans="1:7" hidden="1" x14ac:dyDescent="0.75">
      <c r="A5350" s="51">
        <v>44939</v>
      </c>
      <c r="B5350" s="52">
        <v>1794</v>
      </c>
      <c r="C5350" s="8" t="s">
        <v>4053</v>
      </c>
      <c r="D5350" s="8" t="s">
        <v>484</v>
      </c>
      <c r="E5350" s="52">
        <v>55</v>
      </c>
      <c r="F5350" s="13"/>
      <c r="G5350" s="13">
        <v>999.5</v>
      </c>
    </row>
    <row r="5351" spans="1:7" hidden="1" x14ac:dyDescent="0.75">
      <c r="A5351" s="51">
        <v>44942</v>
      </c>
      <c r="B5351" s="52">
        <v>1794</v>
      </c>
      <c r="C5351" s="8" t="s">
        <v>4118</v>
      </c>
      <c r="D5351" s="8" t="s">
        <v>484</v>
      </c>
      <c r="E5351" s="52">
        <v>55</v>
      </c>
      <c r="F5351" s="13"/>
      <c r="G5351" s="13">
        <v>1424</v>
      </c>
    </row>
    <row r="5352" spans="1:7" hidden="1" x14ac:dyDescent="0.75">
      <c r="A5352" s="51">
        <v>44942</v>
      </c>
      <c r="B5352" s="52">
        <v>1794</v>
      </c>
      <c r="C5352" s="8" t="s">
        <v>1522</v>
      </c>
      <c r="D5352" s="8" t="s">
        <v>484</v>
      </c>
      <c r="E5352" s="52">
        <v>8</v>
      </c>
      <c r="F5352" s="13">
        <v>7340.4</v>
      </c>
      <c r="G5352" s="13"/>
    </row>
    <row r="5353" spans="1:7" hidden="1" x14ac:dyDescent="0.75">
      <c r="A5353" s="51">
        <v>44943</v>
      </c>
      <c r="B5353" s="52">
        <v>1794</v>
      </c>
      <c r="C5353" s="8" t="s">
        <v>4145</v>
      </c>
      <c r="D5353" s="8" t="s">
        <v>484</v>
      </c>
      <c r="E5353" s="52">
        <v>55</v>
      </c>
      <c r="F5353" s="13"/>
      <c r="G5353" s="13">
        <v>580</v>
      </c>
    </row>
    <row r="5354" spans="1:7" hidden="1" x14ac:dyDescent="0.75">
      <c r="A5354" s="51">
        <v>44944</v>
      </c>
      <c r="B5354" s="52">
        <v>1794</v>
      </c>
      <c r="C5354" s="8" t="s">
        <v>4178</v>
      </c>
      <c r="D5354" s="8" t="s">
        <v>484</v>
      </c>
      <c r="E5354" s="52">
        <v>55</v>
      </c>
      <c r="F5354" s="13"/>
      <c r="G5354" s="13">
        <v>400</v>
      </c>
    </row>
    <row r="5355" spans="1:7" hidden="1" x14ac:dyDescent="0.75">
      <c r="A5355" s="51">
        <v>44945</v>
      </c>
      <c r="B5355" s="52">
        <v>1794</v>
      </c>
      <c r="C5355" s="8" t="s">
        <v>4206</v>
      </c>
      <c r="D5355" s="8" t="s">
        <v>484</v>
      </c>
      <c r="E5355" s="52">
        <v>55</v>
      </c>
      <c r="F5355" s="13"/>
      <c r="G5355" s="13">
        <v>596</v>
      </c>
    </row>
    <row r="5356" spans="1:7" hidden="1" x14ac:dyDescent="0.75">
      <c r="A5356" s="51">
        <v>44946</v>
      </c>
      <c r="B5356" s="52">
        <v>1794</v>
      </c>
      <c r="C5356" s="8" t="s">
        <v>4231</v>
      </c>
      <c r="D5356" s="8" t="s">
        <v>484</v>
      </c>
      <c r="E5356" s="52">
        <v>55</v>
      </c>
      <c r="F5356" s="13"/>
      <c r="G5356" s="13">
        <v>1221</v>
      </c>
    </row>
    <row r="5357" spans="1:7" hidden="1" x14ac:dyDescent="0.75">
      <c r="A5357" s="51">
        <v>44947</v>
      </c>
      <c r="B5357" s="52">
        <v>1794</v>
      </c>
      <c r="C5357" s="8" t="s">
        <v>4262</v>
      </c>
      <c r="D5357" s="8" t="s">
        <v>484</v>
      </c>
      <c r="E5357" s="52">
        <v>55</v>
      </c>
      <c r="F5357" s="13"/>
      <c r="G5357" s="13">
        <v>630</v>
      </c>
    </row>
    <row r="5358" spans="1:7" hidden="1" x14ac:dyDescent="0.75">
      <c r="A5358" s="51">
        <v>44949</v>
      </c>
      <c r="B5358" s="52">
        <v>1794</v>
      </c>
      <c r="C5358" s="8" t="s">
        <v>4294</v>
      </c>
      <c r="D5358" s="8" t="s">
        <v>484</v>
      </c>
      <c r="E5358" s="52">
        <v>55</v>
      </c>
      <c r="F5358" s="13"/>
      <c r="G5358" s="13">
        <v>934.2</v>
      </c>
    </row>
    <row r="5359" spans="1:7" hidden="1" x14ac:dyDescent="0.75">
      <c r="A5359" s="51">
        <v>44950</v>
      </c>
      <c r="B5359" s="52">
        <v>1794</v>
      </c>
      <c r="C5359" s="8" t="s">
        <v>4326</v>
      </c>
      <c r="D5359" s="8" t="s">
        <v>484</v>
      </c>
      <c r="E5359" s="52">
        <v>55</v>
      </c>
      <c r="F5359" s="13"/>
      <c r="G5359" s="13">
        <v>997</v>
      </c>
    </row>
    <row r="5360" spans="1:7" hidden="1" x14ac:dyDescent="0.75">
      <c r="A5360" s="51">
        <v>44951</v>
      </c>
      <c r="B5360" s="52">
        <v>1794</v>
      </c>
      <c r="C5360" s="8" t="s">
        <v>4359</v>
      </c>
      <c r="D5360" s="8" t="s">
        <v>484</v>
      </c>
      <c r="E5360" s="52">
        <v>55</v>
      </c>
      <c r="F5360" s="13"/>
      <c r="G5360" s="13">
        <v>272</v>
      </c>
    </row>
    <row r="5361" spans="1:7" hidden="1" x14ac:dyDescent="0.75">
      <c r="A5361" s="51">
        <v>44952</v>
      </c>
      <c r="B5361" s="52">
        <v>1794</v>
      </c>
      <c r="C5361" s="8" t="s">
        <v>4396</v>
      </c>
      <c r="D5361" s="8" t="s">
        <v>484</v>
      </c>
      <c r="E5361" s="52">
        <v>55</v>
      </c>
      <c r="F5361" s="13"/>
      <c r="G5361" s="13">
        <v>908</v>
      </c>
    </row>
    <row r="5362" spans="1:7" hidden="1" x14ac:dyDescent="0.75">
      <c r="A5362" s="51">
        <v>44953</v>
      </c>
      <c r="B5362" s="52">
        <v>1794</v>
      </c>
      <c r="C5362" s="8" t="s">
        <v>4427</v>
      </c>
      <c r="D5362" s="8" t="s">
        <v>484</v>
      </c>
      <c r="E5362" s="52">
        <v>55</v>
      </c>
      <c r="F5362" s="13"/>
      <c r="G5362" s="13">
        <v>1332</v>
      </c>
    </row>
    <row r="5363" spans="1:7" hidden="1" x14ac:dyDescent="0.75">
      <c r="A5363" s="51">
        <v>44956</v>
      </c>
      <c r="B5363" s="52">
        <v>1794</v>
      </c>
      <c r="C5363" s="8" t="s">
        <v>4492</v>
      </c>
      <c r="D5363" s="8" t="s">
        <v>484</v>
      </c>
      <c r="E5363" s="52">
        <v>55</v>
      </c>
      <c r="F5363" s="13"/>
      <c r="G5363" s="13">
        <v>1113</v>
      </c>
    </row>
    <row r="5364" spans="1:7" hidden="1" x14ac:dyDescent="0.75">
      <c r="A5364" s="51">
        <v>44957</v>
      </c>
      <c r="B5364" s="52">
        <v>1794</v>
      </c>
      <c r="C5364" s="8" t="s">
        <v>4519</v>
      </c>
      <c r="D5364" s="8" t="s">
        <v>484</v>
      </c>
      <c r="E5364" s="52">
        <v>55</v>
      </c>
      <c r="F5364" s="13"/>
      <c r="G5364" s="13">
        <v>580</v>
      </c>
    </row>
    <row r="5365" spans="1:7" hidden="1" x14ac:dyDescent="0.75">
      <c r="A5365" s="51">
        <v>44957</v>
      </c>
      <c r="B5365" s="52">
        <v>1794</v>
      </c>
      <c r="C5365" s="8" t="s">
        <v>1522</v>
      </c>
      <c r="D5365" s="8" t="s">
        <v>484</v>
      </c>
      <c r="E5365" s="52">
        <v>8</v>
      </c>
      <c r="F5365" s="13">
        <v>10987.2</v>
      </c>
      <c r="G5365" s="13"/>
    </row>
    <row r="5366" spans="1:7" hidden="1" x14ac:dyDescent="0.75">
      <c r="A5366" s="51">
        <v>44928</v>
      </c>
      <c r="B5366" s="52">
        <v>1799</v>
      </c>
      <c r="C5366" s="8" t="s">
        <v>4700</v>
      </c>
      <c r="D5366" s="8" t="s">
        <v>488</v>
      </c>
      <c r="E5366" s="52">
        <v>1474</v>
      </c>
      <c r="F5366" s="13">
        <v>340</v>
      </c>
      <c r="G5366" s="13"/>
    </row>
    <row r="5367" spans="1:7" hidden="1" x14ac:dyDescent="0.75">
      <c r="A5367" s="51">
        <v>44936</v>
      </c>
      <c r="B5367" s="52">
        <v>1803</v>
      </c>
      <c r="C5367" s="8" t="s">
        <v>1618</v>
      </c>
      <c r="D5367" s="8" t="s">
        <v>494</v>
      </c>
      <c r="E5367" s="52">
        <v>8</v>
      </c>
      <c r="F5367" s="13">
        <v>1000</v>
      </c>
      <c r="G5367" s="13"/>
    </row>
    <row r="5368" spans="1:7" hidden="1" x14ac:dyDescent="0.75">
      <c r="A5368" s="51">
        <v>44943</v>
      </c>
      <c r="B5368" s="52">
        <v>1803</v>
      </c>
      <c r="C5368" s="8" t="s">
        <v>4701</v>
      </c>
      <c r="D5368" s="8" t="s">
        <v>494</v>
      </c>
      <c r="E5368" s="52">
        <v>662</v>
      </c>
      <c r="F5368" s="13"/>
      <c r="G5368" s="13">
        <v>1000</v>
      </c>
    </row>
    <row r="5369" spans="1:7" hidden="1" x14ac:dyDescent="0.75">
      <c r="A5369" s="51">
        <v>44950</v>
      </c>
      <c r="B5369" s="52">
        <v>1803</v>
      </c>
      <c r="C5369" s="8" t="s">
        <v>4702</v>
      </c>
      <c r="D5369" s="8" t="s">
        <v>494</v>
      </c>
      <c r="E5369" s="52">
        <v>662</v>
      </c>
      <c r="F5369" s="13"/>
      <c r="G5369" s="13">
        <v>113.35</v>
      </c>
    </row>
    <row r="5370" spans="1:7" hidden="1" x14ac:dyDescent="0.75">
      <c r="A5370" s="51">
        <v>44930</v>
      </c>
      <c r="B5370" s="52">
        <v>1859</v>
      </c>
      <c r="C5370" s="8" t="s">
        <v>4703</v>
      </c>
      <c r="D5370" s="8" t="s">
        <v>411</v>
      </c>
      <c r="E5370" s="52">
        <v>312</v>
      </c>
      <c r="F5370" s="13"/>
      <c r="G5370" s="13">
        <v>14850</v>
      </c>
    </row>
    <row r="5371" spans="1:7" hidden="1" x14ac:dyDescent="0.75">
      <c r="A5371" s="51">
        <v>44936</v>
      </c>
      <c r="B5371" s="52">
        <v>1859</v>
      </c>
      <c r="C5371" s="8" t="s">
        <v>1622</v>
      </c>
      <c r="D5371" s="8" t="s">
        <v>411</v>
      </c>
      <c r="E5371" s="52">
        <v>8</v>
      </c>
      <c r="F5371" s="13">
        <v>14850</v>
      </c>
      <c r="G5371" s="13"/>
    </row>
    <row r="5372" spans="1:7" hidden="1" x14ac:dyDescent="0.75">
      <c r="A5372" s="51">
        <v>44930</v>
      </c>
      <c r="B5372" s="52">
        <v>1898</v>
      </c>
      <c r="C5372" s="8" t="s">
        <v>1545</v>
      </c>
      <c r="D5372" s="8" t="s">
        <v>962</v>
      </c>
      <c r="E5372" s="52">
        <v>8</v>
      </c>
      <c r="F5372" s="13">
        <v>7337.5</v>
      </c>
      <c r="G5372" s="13"/>
    </row>
    <row r="5373" spans="1:7" hidden="1" x14ac:dyDescent="0.75">
      <c r="A5373" s="51">
        <v>44935</v>
      </c>
      <c r="B5373" s="52">
        <v>1898</v>
      </c>
      <c r="C5373" s="8" t="s">
        <v>3928</v>
      </c>
      <c r="D5373" s="8" t="s">
        <v>962</v>
      </c>
      <c r="E5373" s="52">
        <v>55</v>
      </c>
      <c r="F5373" s="13"/>
      <c r="G5373" s="13">
        <v>3859.7</v>
      </c>
    </row>
    <row r="5374" spans="1:7" hidden="1" x14ac:dyDescent="0.75">
      <c r="A5374" s="51">
        <v>44935</v>
      </c>
      <c r="B5374" s="52">
        <v>1898</v>
      </c>
      <c r="C5374" s="8" t="s">
        <v>3929</v>
      </c>
      <c r="D5374" s="8" t="s">
        <v>962</v>
      </c>
      <c r="E5374" s="52">
        <v>55</v>
      </c>
      <c r="F5374" s="13"/>
      <c r="G5374" s="13">
        <v>835.7</v>
      </c>
    </row>
    <row r="5375" spans="1:7" hidden="1" x14ac:dyDescent="0.75">
      <c r="A5375" s="51">
        <v>44942</v>
      </c>
      <c r="B5375" s="52">
        <v>1898</v>
      </c>
      <c r="C5375" s="8" t="s">
        <v>4119</v>
      </c>
      <c r="D5375" s="8" t="s">
        <v>962</v>
      </c>
      <c r="E5375" s="52">
        <v>55</v>
      </c>
      <c r="F5375" s="13"/>
      <c r="G5375" s="13">
        <v>4003.2</v>
      </c>
    </row>
    <row r="5376" spans="1:7" hidden="1" x14ac:dyDescent="0.75">
      <c r="A5376" s="51">
        <v>44942</v>
      </c>
      <c r="B5376" s="52">
        <v>1898</v>
      </c>
      <c r="C5376" s="8" t="s">
        <v>1679</v>
      </c>
      <c r="D5376" s="8" t="s">
        <v>962</v>
      </c>
      <c r="E5376" s="52">
        <v>8</v>
      </c>
      <c r="F5376" s="13">
        <v>3859.7</v>
      </c>
      <c r="G5376" s="13"/>
    </row>
    <row r="5377" spans="1:7" hidden="1" x14ac:dyDescent="0.75">
      <c r="A5377" s="51">
        <v>44942</v>
      </c>
      <c r="B5377" s="52">
        <v>1898</v>
      </c>
      <c r="C5377" s="8" t="s">
        <v>1680</v>
      </c>
      <c r="D5377" s="8" t="s">
        <v>962</v>
      </c>
      <c r="E5377" s="52">
        <v>8</v>
      </c>
      <c r="F5377" s="13">
        <v>835.7</v>
      </c>
      <c r="G5377" s="13"/>
    </row>
    <row r="5378" spans="1:7" hidden="1" x14ac:dyDescent="0.75">
      <c r="A5378" s="51">
        <v>44949</v>
      </c>
      <c r="B5378" s="52">
        <v>1898</v>
      </c>
      <c r="C5378" s="8" t="s">
        <v>1757</v>
      </c>
      <c r="D5378" s="8" t="s">
        <v>962</v>
      </c>
      <c r="E5378" s="52">
        <v>8</v>
      </c>
      <c r="F5378" s="13">
        <v>4003.2</v>
      </c>
      <c r="G5378" s="13"/>
    </row>
    <row r="5379" spans="1:7" hidden="1" x14ac:dyDescent="0.75">
      <c r="A5379" s="51">
        <v>44950</v>
      </c>
      <c r="B5379" s="52">
        <v>1898</v>
      </c>
      <c r="C5379" s="8" t="s">
        <v>4328</v>
      </c>
      <c r="D5379" s="8" t="s">
        <v>962</v>
      </c>
      <c r="E5379" s="52">
        <v>55</v>
      </c>
      <c r="F5379" s="13"/>
      <c r="G5379" s="13">
        <v>5033.3999999999996</v>
      </c>
    </row>
    <row r="5380" spans="1:7" hidden="1" x14ac:dyDescent="0.75">
      <c r="A5380" s="51">
        <v>44956</v>
      </c>
      <c r="B5380" s="52">
        <v>1898</v>
      </c>
      <c r="C5380" s="8" t="s">
        <v>1850</v>
      </c>
      <c r="D5380" s="8" t="s">
        <v>962</v>
      </c>
      <c r="E5380" s="52">
        <v>8</v>
      </c>
      <c r="F5380" s="13">
        <v>5033.3999999999996</v>
      </c>
      <c r="G5380" s="13"/>
    </row>
    <row r="5381" spans="1:7" hidden="1" x14ac:dyDescent="0.75">
      <c r="A5381" s="51">
        <v>44957</v>
      </c>
      <c r="B5381" s="52">
        <v>1898</v>
      </c>
      <c r="C5381" s="8" t="s">
        <v>4524</v>
      </c>
      <c r="D5381" s="8" t="s">
        <v>962</v>
      </c>
      <c r="E5381" s="52">
        <v>55</v>
      </c>
      <c r="F5381" s="13"/>
      <c r="G5381" s="13">
        <v>4566.6000000000004</v>
      </c>
    </row>
    <row r="5382" spans="1:7" hidden="1" x14ac:dyDescent="0.75">
      <c r="A5382" s="51">
        <v>44928</v>
      </c>
      <c r="B5382" s="52">
        <v>1900</v>
      </c>
      <c r="C5382" s="8" t="s">
        <v>3742</v>
      </c>
      <c r="D5382" s="8" t="s">
        <v>966</v>
      </c>
      <c r="E5382" s="52">
        <v>55</v>
      </c>
      <c r="F5382" s="13"/>
      <c r="G5382" s="13">
        <v>280</v>
      </c>
    </row>
    <row r="5383" spans="1:7" hidden="1" x14ac:dyDescent="0.75">
      <c r="A5383" s="51">
        <v>44928</v>
      </c>
      <c r="B5383" s="52">
        <v>1900</v>
      </c>
      <c r="C5383" s="8" t="s">
        <v>1523</v>
      </c>
      <c r="D5383" s="8" t="s">
        <v>966</v>
      </c>
      <c r="E5383" s="52">
        <v>8</v>
      </c>
      <c r="F5383" s="13">
        <v>2460</v>
      </c>
      <c r="G5383" s="13"/>
    </row>
    <row r="5384" spans="1:7" hidden="1" x14ac:dyDescent="0.75">
      <c r="A5384" s="51">
        <v>44929</v>
      </c>
      <c r="B5384" s="52">
        <v>1900</v>
      </c>
      <c r="C5384" s="8" t="s">
        <v>3780</v>
      </c>
      <c r="D5384" s="8" t="s">
        <v>966</v>
      </c>
      <c r="E5384" s="52">
        <v>55</v>
      </c>
      <c r="F5384" s="13"/>
      <c r="G5384" s="13">
        <v>900</v>
      </c>
    </row>
    <row r="5385" spans="1:7" hidden="1" x14ac:dyDescent="0.75">
      <c r="A5385" s="51">
        <v>44933</v>
      </c>
      <c r="B5385" s="52">
        <v>1900</v>
      </c>
      <c r="C5385" s="8" t="s">
        <v>3907</v>
      </c>
      <c r="D5385" s="8" t="s">
        <v>966</v>
      </c>
      <c r="E5385" s="52">
        <v>55</v>
      </c>
      <c r="F5385" s="13"/>
      <c r="G5385" s="13">
        <v>545</v>
      </c>
    </row>
    <row r="5386" spans="1:7" hidden="1" x14ac:dyDescent="0.75">
      <c r="A5386" s="51">
        <v>44935</v>
      </c>
      <c r="B5386" s="52">
        <v>1900</v>
      </c>
      <c r="C5386" s="8" t="s">
        <v>3942</v>
      </c>
      <c r="D5386" s="8" t="s">
        <v>966</v>
      </c>
      <c r="E5386" s="52">
        <v>55</v>
      </c>
      <c r="F5386" s="13"/>
      <c r="G5386" s="13">
        <v>1090</v>
      </c>
    </row>
    <row r="5387" spans="1:7" hidden="1" x14ac:dyDescent="0.75">
      <c r="A5387" s="51">
        <v>44936</v>
      </c>
      <c r="B5387" s="52">
        <v>1900</v>
      </c>
      <c r="C5387" s="8" t="s">
        <v>3979</v>
      </c>
      <c r="D5387" s="8" t="s">
        <v>966</v>
      </c>
      <c r="E5387" s="52">
        <v>55</v>
      </c>
      <c r="F5387" s="13"/>
      <c r="G5387" s="13">
        <v>620</v>
      </c>
    </row>
    <row r="5388" spans="1:7" hidden="1" x14ac:dyDescent="0.75">
      <c r="A5388" s="51">
        <v>44936</v>
      </c>
      <c r="B5388" s="52">
        <v>1900</v>
      </c>
      <c r="C5388" s="8" t="s">
        <v>1523</v>
      </c>
      <c r="D5388" s="8" t="s">
        <v>966</v>
      </c>
      <c r="E5388" s="52">
        <v>8</v>
      </c>
      <c r="F5388" s="13">
        <v>2361.3000000000002</v>
      </c>
      <c r="G5388" s="13"/>
    </row>
    <row r="5389" spans="1:7" hidden="1" x14ac:dyDescent="0.75">
      <c r="A5389" s="51">
        <v>44938</v>
      </c>
      <c r="B5389" s="52">
        <v>1900</v>
      </c>
      <c r="C5389" s="8" t="s">
        <v>4033</v>
      </c>
      <c r="D5389" s="8" t="s">
        <v>966</v>
      </c>
      <c r="E5389" s="52">
        <v>55</v>
      </c>
      <c r="F5389" s="13"/>
      <c r="G5389" s="13">
        <v>410</v>
      </c>
    </row>
    <row r="5390" spans="1:7" hidden="1" x14ac:dyDescent="0.75">
      <c r="A5390" s="51">
        <v>44938</v>
      </c>
      <c r="B5390" s="52">
        <v>1900</v>
      </c>
      <c r="C5390" s="8" t="s">
        <v>1523</v>
      </c>
      <c r="D5390" s="8" t="s">
        <v>966</v>
      </c>
      <c r="E5390" s="52">
        <v>8</v>
      </c>
      <c r="F5390" s="13">
        <v>2447.5</v>
      </c>
      <c r="G5390" s="13"/>
    </row>
    <row r="5391" spans="1:7" hidden="1" x14ac:dyDescent="0.75">
      <c r="A5391" s="51">
        <v>44942</v>
      </c>
      <c r="B5391" s="52">
        <v>1900</v>
      </c>
      <c r="C5391" s="8" t="s">
        <v>4131</v>
      </c>
      <c r="D5391" s="8" t="s">
        <v>966</v>
      </c>
      <c r="E5391" s="52">
        <v>55</v>
      </c>
      <c r="F5391" s="13"/>
      <c r="G5391" s="13">
        <v>401</v>
      </c>
    </row>
    <row r="5392" spans="1:7" hidden="1" x14ac:dyDescent="0.75">
      <c r="A5392" s="51">
        <v>44946</v>
      </c>
      <c r="B5392" s="52">
        <v>1900</v>
      </c>
      <c r="C5392" s="8" t="s">
        <v>4246</v>
      </c>
      <c r="D5392" s="8" t="s">
        <v>966</v>
      </c>
      <c r="E5392" s="52">
        <v>55</v>
      </c>
      <c r="F5392" s="13"/>
      <c r="G5392" s="13">
        <v>140</v>
      </c>
    </row>
    <row r="5393" spans="1:7" hidden="1" x14ac:dyDescent="0.75">
      <c r="A5393" s="51">
        <v>44946</v>
      </c>
      <c r="B5393" s="52">
        <v>1900</v>
      </c>
      <c r="C5393" s="8" t="s">
        <v>1523</v>
      </c>
      <c r="D5393" s="8" t="s">
        <v>966</v>
      </c>
      <c r="E5393" s="52">
        <v>8</v>
      </c>
      <c r="F5393" s="13">
        <v>2795</v>
      </c>
      <c r="G5393" s="13"/>
    </row>
    <row r="5394" spans="1:7" hidden="1" x14ac:dyDescent="0.75">
      <c r="A5394" s="51">
        <v>44949</v>
      </c>
      <c r="B5394" s="52">
        <v>1900</v>
      </c>
      <c r="C5394" s="8" t="s">
        <v>4307</v>
      </c>
      <c r="D5394" s="8" t="s">
        <v>966</v>
      </c>
      <c r="E5394" s="52">
        <v>55</v>
      </c>
      <c r="F5394" s="13"/>
      <c r="G5394" s="13">
        <v>520</v>
      </c>
    </row>
    <row r="5395" spans="1:7" hidden="1" x14ac:dyDescent="0.75">
      <c r="A5395" s="51">
        <v>44950</v>
      </c>
      <c r="B5395" s="52">
        <v>1900</v>
      </c>
      <c r="C5395" s="8" t="s">
        <v>4341</v>
      </c>
      <c r="D5395" s="8" t="s">
        <v>966</v>
      </c>
      <c r="E5395" s="52">
        <v>55</v>
      </c>
      <c r="F5395" s="13"/>
      <c r="G5395" s="13">
        <v>150</v>
      </c>
    </row>
    <row r="5396" spans="1:7" hidden="1" x14ac:dyDescent="0.75">
      <c r="A5396" s="51">
        <v>44952</v>
      </c>
      <c r="B5396" s="52">
        <v>1900</v>
      </c>
      <c r="C5396" s="8" t="s">
        <v>4405</v>
      </c>
      <c r="D5396" s="8" t="s">
        <v>966</v>
      </c>
      <c r="E5396" s="52">
        <v>55</v>
      </c>
      <c r="F5396" s="13"/>
      <c r="G5396" s="13">
        <v>280</v>
      </c>
    </row>
    <row r="5397" spans="1:7" hidden="1" x14ac:dyDescent="0.75">
      <c r="A5397" s="51">
        <v>44953</v>
      </c>
      <c r="B5397" s="52">
        <v>1900</v>
      </c>
      <c r="C5397" s="8" t="s">
        <v>4442</v>
      </c>
      <c r="D5397" s="8" t="s">
        <v>966</v>
      </c>
      <c r="E5397" s="52">
        <v>55</v>
      </c>
      <c r="F5397" s="13"/>
      <c r="G5397" s="13">
        <v>350</v>
      </c>
    </row>
    <row r="5398" spans="1:7" hidden="1" x14ac:dyDescent="0.75">
      <c r="A5398" s="51">
        <v>44956</v>
      </c>
      <c r="B5398" s="52">
        <v>1900</v>
      </c>
      <c r="C5398" s="8" t="s">
        <v>1523</v>
      </c>
      <c r="D5398" s="8" t="s">
        <v>966</v>
      </c>
      <c r="E5398" s="52">
        <v>8</v>
      </c>
      <c r="F5398" s="13">
        <v>3448</v>
      </c>
      <c r="G5398" s="13"/>
    </row>
    <row r="5399" spans="1:7" hidden="1" x14ac:dyDescent="0.75">
      <c r="A5399" s="51">
        <v>44956</v>
      </c>
      <c r="B5399" s="52">
        <v>1900</v>
      </c>
      <c r="C5399" s="8" t="s">
        <v>1523</v>
      </c>
      <c r="D5399" s="8" t="s">
        <v>966</v>
      </c>
      <c r="E5399" s="52">
        <v>8</v>
      </c>
      <c r="F5399" s="13">
        <v>5295</v>
      </c>
      <c r="G5399" s="13"/>
    </row>
    <row r="5400" spans="1:7" hidden="1" x14ac:dyDescent="0.75">
      <c r="A5400" s="51">
        <v>44957</v>
      </c>
      <c r="B5400" s="52">
        <v>1900</v>
      </c>
      <c r="C5400" s="8" t="s">
        <v>4539</v>
      </c>
      <c r="D5400" s="8" t="s">
        <v>966</v>
      </c>
      <c r="E5400" s="52">
        <v>55</v>
      </c>
      <c r="F5400" s="13"/>
      <c r="G5400" s="13">
        <v>272</v>
      </c>
    </row>
    <row r="5401" spans="1:7" hidden="1" x14ac:dyDescent="0.75">
      <c r="A5401" s="51">
        <v>44935</v>
      </c>
      <c r="B5401" s="52">
        <v>1906</v>
      </c>
      <c r="C5401" s="8" t="s">
        <v>1876</v>
      </c>
      <c r="D5401" s="8" t="s">
        <v>92</v>
      </c>
      <c r="E5401" s="52">
        <v>1949</v>
      </c>
      <c r="F5401" s="13"/>
      <c r="G5401" s="13">
        <v>729.6</v>
      </c>
    </row>
    <row r="5402" spans="1:7" hidden="1" x14ac:dyDescent="0.75">
      <c r="A5402" s="51">
        <v>44935</v>
      </c>
      <c r="B5402" s="52">
        <v>1906</v>
      </c>
      <c r="C5402" s="8" t="s">
        <v>1878</v>
      </c>
      <c r="D5402" s="8" t="s">
        <v>92</v>
      </c>
      <c r="E5402" s="52">
        <v>1949</v>
      </c>
      <c r="F5402" s="13"/>
      <c r="G5402" s="13">
        <v>699</v>
      </c>
    </row>
    <row r="5403" spans="1:7" hidden="1" x14ac:dyDescent="0.75">
      <c r="A5403" s="51">
        <v>44936</v>
      </c>
      <c r="B5403" s="52">
        <v>1906</v>
      </c>
      <c r="C5403" s="8" t="s">
        <v>1883</v>
      </c>
      <c r="D5403" s="8" t="s">
        <v>92</v>
      </c>
      <c r="E5403" s="52">
        <v>1949</v>
      </c>
      <c r="F5403" s="13"/>
      <c r="G5403" s="13">
        <v>270.14999999999998</v>
      </c>
    </row>
    <row r="5404" spans="1:7" hidden="1" x14ac:dyDescent="0.75">
      <c r="A5404" s="51">
        <v>44937</v>
      </c>
      <c r="B5404" s="52">
        <v>1906</v>
      </c>
      <c r="C5404" s="8" t="s">
        <v>1889</v>
      </c>
      <c r="D5404" s="8" t="s">
        <v>92</v>
      </c>
      <c r="E5404" s="52">
        <v>1949</v>
      </c>
      <c r="F5404" s="13"/>
      <c r="G5404" s="13">
        <v>214.15</v>
      </c>
    </row>
    <row r="5405" spans="1:7" hidden="1" x14ac:dyDescent="0.75">
      <c r="A5405" s="51">
        <v>44938</v>
      </c>
      <c r="B5405" s="52">
        <v>1906</v>
      </c>
      <c r="C5405" s="8" t="s">
        <v>1892</v>
      </c>
      <c r="D5405" s="8" t="s">
        <v>92</v>
      </c>
      <c r="E5405" s="52">
        <v>1949</v>
      </c>
      <c r="F5405" s="13"/>
      <c r="G5405" s="13">
        <v>622.95000000000005</v>
      </c>
    </row>
    <row r="5406" spans="1:7" hidden="1" x14ac:dyDescent="0.75">
      <c r="A5406" s="51">
        <v>44938</v>
      </c>
      <c r="B5406" s="52">
        <v>1906</v>
      </c>
      <c r="C5406" s="8" t="s">
        <v>1895</v>
      </c>
      <c r="D5406" s="8" t="s">
        <v>92</v>
      </c>
      <c r="E5406" s="52">
        <v>1949</v>
      </c>
      <c r="F5406" s="13"/>
      <c r="G5406" s="13">
        <v>287.10000000000002</v>
      </c>
    </row>
    <row r="5407" spans="1:7" hidden="1" x14ac:dyDescent="0.75">
      <c r="A5407" s="51">
        <v>44942</v>
      </c>
      <c r="B5407" s="52">
        <v>1906</v>
      </c>
      <c r="C5407" s="8" t="s">
        <v>1902</v>
      </c>
      <c r="D5407" s="8" t="s">
        <v>92</v>
      </c>
      <c r="E5407" s="52">
        <v>1949</v>
      </c>
      <c r="F5407" s="13"/>
      <c r="G5407" s="13">
        <v>1016.7</v>
      </c>
    </row>
    <row r="5408" spans="1:7" hidden="1" x14ac:dyDescent="0.75">
      <c r="A5408" s="51">
        <v>44942</v>
      </c>
      <c r="B5408" s="52">
        <v>1906</v>
      </c>
      <c r="C5408" s="8" t="s">
        <v>1903</v>
      </c>
      <c r="D5408" s="8" t="s">
        <v>92</v>
      </c>
      <c r="E5408" s="52">
        <v>1949</v>
      </c>
      <c r="F5408" s="13"/>
      <c r="G5408" s="13">
        <v>778.7</v>
      </c>
    </row>
    <row r="5409" spans="1:7" hidden="1" x14ac:dyDescent="0.75">
      <c r="A5409" s="51">
        <v>44943</v>
      </c>
      <c r="B5409" s="52">
        <v>1906</v>
      </c>
      <c r="C5409" s="8" t="s">
        <v>1908</v>
      </c>
      <c r="D5409" s="8" t="s">
        <v>92</v>
      </c>
      <c r="E5409" s="52">
        <v>1949</v>
      </c>
      <c r="F5409" s="13"/>
      <c r="G5409" s="13">
        <v>434.65</v>
      </c>
    </row>
    <row r="5410" spans="1:7" hidden="1" x14ac:dyDescent="0.75">
      <c r="A5410" s="51">
        <v>44944</v>
      </c>
      <c r="B5410" s="52">
        <v>1906</v>
      </c>
      <c r="C5410" s="8" t="s">
        <v>1911</v>
      </c>
      <c r="D5410" s="8" t="s">
        <v>92</v>
      </c>
      <c r="E5410" s="52">
        <v>1949</v>
      </c>
      <c r="F5410" s="13"/>
      <c r="G5410" s="13">
        <v>398.45</v>
      </c>
    </row>
    <row r="5411" spans="1:7" hidden="1" x14ac:dyDescent="0.75">
      <c r="A5411" s="51">
        <v>44945</v>
      </c>
      <c r="B5411" s="52">
        <v>1906</v>
      </c>
      <c r="C5411" s="8" t="s">
        <v>1915</v>
      </c>
      <c r="D5411" s="8" t="s">
        <v>92</v>
      </c>
      <c r="E5411" s="52">
        <v>1949</v>
      </c>
      <c r="F5411" s="13"/>
      <c r="G5411" s="13">
        <v>500.8</v>
      </c>
    </row>
    <row r="5412" spans="1:7" hidden="1" x14ac:dyDescent="0.75">
      <c r="A5412" s="51">
        <v>44945</v>
      </c>
      <c r="B5412" s="52">
        <v>1906</v>
      </c>
      <c r="C5412" s="8" t="s">
        <v>1918</v>
      </c>
      <c r="D5412" s="8" t="s">
        <v>92</v>
      </c>
      <c r="E5412" s="52">
        <v>1949</v>
      </c>
      <c r="F5412" s="13"/>
      <c r="G5412" s="13">
        <v>287.10000000000002</v>
      </c>
    </row>
    <row r="5413" spans="1:7" hidden="1" x14ac:dyDescent="0.75">
      <c r="A5413" s="51">
        <v>44953</v>
      </c>
      <c r="B5413" s="52">
        <v>1906</v>
      </c>
      <c r="C5413" s="8" t="s">
        <v>1926</v>
      </c>
      <c r="D5413" s="8" t="s">
        <v>92</v>
      </c>
      <c r="E5413" s="52">
        <v>1949</v>
      </c>
      <c r="F5413" s="13"/>
      <c r="G5413" s="13">
        <v>633.84</v>
      </c>
    </row>
    <row r="5414" spans="1:7" hidden="1" x14ac:dyDescent="0.75">
      <c r="A5414" s="51">
        <v>44953</v>
      </c>
      <c r="B5414" s="52">
        <v>1906</v>
      </c>
      <c r="C5414" s="8" t="s">
        <v>1931</v>
      </c>
      <c r="D5414" s="8" t="s">
        <v>92</v>
      </c>
      <c r="E5414" s="52">
        <v>1949</v>
      </c>
      <c r="F5414" s="13"/>
      <c r="G5414" s="13">
        <v>185.43</v>
      </c>
    </row>
    <row r="5415" spans="1:7" hidden="1" x14ac:dyDescent="0.75">
      <c r="A5415" s="51">
        <v>44953</v>
      </c>
      <c r="B5415" s="52">
        <v>1906</v>
      </c>
      <c r="C5415" s="8" t="s">
        <v>1933</v>
      </c>
      <c r="D5415" s="8" t="s">
        <v>92</v>
      </c>
      <c r="E5415" s="52">
        <v>1949</v>
      </c>
      <c r="F5415" s="13"/>
      <c r="G5415" s="13">
        <v>659</v>
      </c>
    </row>
    <row r="5416" spans="1:7" hidden="1" x14ac:dyDescent="0.75">
      <c r="A5416" s="51">
        <v>44953</v>
      </c>
      <c r="B5416" s="52">
        <v>1906</v>
      </c>
      <c r="C5416" s="8" t="s">
        <v>1936</v>
      </c>
      <c r="D5416" s="8" t="s">
        <v>92</v>
      </c>
      <c r="E5416" s="52">
        <v>1949</v>
      </c>
      <c r="F5416" s="13"/>
      <c r="G5416" s="13">
        <v>625.04</v>
      </c>
    </row>
    <row r="5417" spans="1:7" hidden="1" x14ac:dyDescent="0.75">
      <c r="A5417" s="51">
        <v>44953</v>
      </c>
      <c r="B5417" s="52">
        <v>1906</v>
      </c>
      <c r="C5417" s="8" t="s">
        <v>1939</v>
      </c>
      <c r="D5417" s="8" t="s">
        <v>92</v>
      </c>
      <c r="E5417" s="52">
        <v>1949</v>
      </c>
      <c r="F5417" s="13"/>
      <c r="G5417" s="13">
        <v>614.59</v>
      </c>
    </row>
    <row r="5418" spans="1:7" hidden="1" x14ac:dyDescent="0.75">
      <c r="A5418" s="51">
        <v>44953</v>
      </c>
      <c r="B5418" s="52">
        <v>1906</v>
      </c>
      <c r="C5418" s="8" t="s">
        <v>1941</v>
      </c>
      <c r="D5418" s="8" t="s">
        <v>92</v>
      </c>
      <c r="E5418" s="52">
        <v>1949</v>
      </c>
      <c r="F5418" s="13"/>
      <c r="G5418" s="13">
        <v>287.10000000000002</v>
      </c>
    </row>
    <row r="5419" spans="1:7" hidden="1" x14ac:dyDescent="0.75">
      <c r="A5419" s="51">
        <v>44929</v>
      </c>
      <c r="B5419" s="52">
        <v>1912</v>
      </c>
      <c r="C5419" s="8" t="s">
        <v>4704</v>
      </c>
      <c r="D5419" s="8" t="s">
        <v>1350</v>
      </c>
      <c r="E5419" s="52">
        <v>585</v>
      </c>
      <c r="F5419" s="13"/>
      <c r="G5419" s="13">
        <v>260</v>
      </c>
    </row>
    <row r="5420" spans="1:7" hidden="1" x14ac:dyDescent="0.75">
      <c r="A5420" s="51">
        <v>44929</v>
      </c>
      <c r="B5420" s="52">
        <v>1912</v>
      </c>
      <c r="C5420" s="8" t="s">
        <v>1539</v>
      </c>
      <c r="D5420" s="8" t="s">
        <v>1350</v>
      </c>
      <c r="E5420" s="52">
        <v>8</v>
      </c>
      <c r="F5420" s="13">
        <v>260</v>
      </c>
      <c r="G5420" s="13"/>
    </row>
    <row r="5421" spans="1:7" hidden="1" x14ac:dyDescent="0.75">
      <c r="A5421" s="51">
        <v>44932</v>
      </c>
      <c r="B5421" s="52">
        <v>1914</v>
      </c>
      <c r="C5421" s="8" t="s">
        <v>1576</v>
      </c>
      <c r="D5421" s="8" t="s">
        <v>1059</v>
      </c>
      <c r="E5421" s="52">
        <v>8</v>
      </c>
      <c r="F5421" s="13">
        <v>300</v>
      </c>
      <c r="G5421" s="13"/>
    </row>
    <row r="5422" spans="1:7" hidden="1" x14ac:dyDescent="0.75">
      <c r="A5422" s="51">
        <v>44939</v>
      </c>
      <c r="B5422" s="52">
        <v>1914</v>
      </c>
      <c r="C5422" s="8" t="s">
        <v>1576</v>
      </c>
      <c r="D5422" s="8" t="s">
        <v>1059</v>
      </c>
      <c r="E5422" s="52">
        <v>8</v>
      </c>
      <c r="F5422" s="13">
        <v>300</v>
      </c>
      <c r="G5422" s="13"/>
    </row>
    <row r="5423" spans="1:7" hidden="1" x14ac:dyDescent="0.75">
      <c r="A5423" s="51">
        <v>44946</v>
      </c>
      <c r="B5423" s="52">
        <v>1914</v>
      </c>
      <c r="C5423" s="8" t="s">
        <v>4705</v>
      </c>
      <c r="D5423" s="8" t="s">
        <v>1059</v>
      </c>
      <c r="E5423" s="52">
        <v>662</v>
      </c>
      <c r="F5423" s="13"/>
      <c r="G5423" s="13">
        <v>1500</v>
      </c>
    </row>
    <row r="5424" spans="1:7" hidden="1" x14ac:dyDescent="0.75">
      <c r="A5424" s="51">
        <v>44946</v>
      </c>
      <c r="B5424" s="52">
        <v>1914</v>
      </c>
      <c r="C5424" s="8" t="s">
        <v>4706</v>
      </c>
      <c r="D5424" s="8" t="s">
        <v>1059</v>
      </c>
      <c r="E5424" s="52">
        <v>662</v>
      </c>
      <c r="F5424" s="13"/>
      <c r="G5424" s="13">
        <v>2600</v>
      </c>
    </row>
    <row r="5425" spans="1:7" hidden="1" x14ac:dyDescent="0.75">
      <c r="A5425" s="51">
        <v>44946</v>
      </c>
      <c r="B5425" s="52">
        <v>1914</v>
      </c>
      <c r="C5425" s="8" t="s">
        <v>1576</v>
      </c>
      <c r="D5425" s="8" t="s">
        <v>1059</v>
      </c>
      <c r="E5425" s="52">
        <v>8</v>
      </c>
      <c r="F5425" s="13">
        <v>300</v>
      </c>
      <c r="G5425" s="13"/>
    </row>
    <row r="5426" spans="1:7" hidden="1" x14ac:dyDescent="0.75">
      <c r="A5426" s="51">
        <v>44953</v>
      </c>
      <c r="B5426" s="52">
        <v>1914</v>
      </c>
      <c r="C5426" s="8" t="s">
        <v>1576</v>
      </c>
      <c r="D5426" s="8" t="s">
        <v>1059</v>
      </c>
      <c r="E5426" s="52">
        <v>8</v>
      </c>
      <c r="F5426" s="13">
        <v>300</v>
      </c>
      <c r="G5426" s="13"/>
    </row>
    <row r="5427" spans="1:7" hidden="1" x14ac:dyDescent="0.75">
      <c r="A5427" s="51">
        <v>44956</v>
      </c>
      <c r="B5427" s="52">
        <v>1914</v>
      </c>
      <c r="C5427" s="8" t="s">
        <v>1840</v>
      </c>
      <c r="D5427" s="8" t="s">
        <v>1059</v>
      </c>
      <c r="E5427" s="52">
        <v>8</v>
      </c>
      <c r="F5427" s="13">
        <v>2600</v>
      </c>
      <c r="G5427" s="13"/>
    </row>
    <row r="5428" spans="1:7" hidden="1" x14ac:dyDescent="0.75">
      <c r="A5428" s="51">
        <v>44929</v>
      </c>
      <c r="B5428" s="52">
        <v>1915</v>
      </c>
      <c r="C5428" s="8" t="s">
        <v>1532</v>
      </c>
      <c r="D5428" s="8" t="s">
        <v>1060</v>
      </c>
      <c r="E5428" s="52">
        <v>8</v>
      </c>
      <c r="F5428" s="13">
        <v>4050</v>
      </c>
      <c r="G5428" s="13"/>
    </row>
    <row r="5429" spans="1:7" hidden="1" x14ac:dyDescent="0.75">
      <c r="A5429" s="51">
        <v>44933</v>
      </c>
      <c r="B5429" s="52">
        <v>1915</v>
      </c>
      <c r="C5429" s="8" t="s">
        <v>4707</v>
      </c>
      <c r="D5429" s="8" t="s">
        <v>1060</v>
      </c>
      <c r="E5429" s="52">
        <v>312</v>
      </c>
      <c r="F5429" s="13"/>
      <c r="G5429" s="13">
        <v>4500</v>
      </c>
    </row>
    <row r="5430" spans="1:7" hidden="1" x14ac:dyDescent="0.75">
      <c r="A5430" s="51">
        <v>44936</v>
      </c>
      <c r="B5430" s="52">
        <v>1915</v>
      </c>
      <c r="C5430" s="8" t="s">
        <v>1621</v>
      </c>
      <c r="D5430" s="8" t="s">
        <v>1060</v>
      </c>
      <c r="E5430" s="52">
        <v>8</v>
      </c>
      <c r="F5430" s="13">
        <v>4500</v>
      </c>
      <c r="G5430" s="13"/>
    </row>
    <row r="5431" spans="1:7" hidden="1" x14ac:dyDescent="0.75">
      <c r="A5431" s="51">
        <v>44941</v>
      </c>
      <c r="B5431" s="52">
        <v>1915</v>
      </c>
      <c r="C5431" s="8" t="s">
        <v>4708</v>
      </c>
      <c r="D5431" s="8" t="s">
        <v>1060</v>
      </c>
      <c r="E5431" s="52">
        <v>312</v>
      </c>
      <c r="F5431" s="13"/>
      <c r="G5431" s="13">
        <v>4950</v>
      </c>
    </row>
    <row r="5432" spans="1:7" hidden="1" x14ac:dyDescent="0.75">
      <c r="A5432" s="51">
        <v>44943</v>
      </c>
      <c r="B5432" s="52">
        <v>1915</v>
      </c>
      <c r="C5432" s="8" t="s">
        <v>1712</v>
      </c>
      <c r="D5432" s="8" t="s">
        <v>1060</v>
      </c>
      <c r="E5432" s="52">
        <v>8</v>
      </c>
      <c r="F5432" s="13">
        <v>4950</v>
      </c>
      <c r="G5432" s="13"/>
    </row>
    <row r="5433" spans="1:7" hidden="1" x14ac:dyDescent="0.75">
      <c r="A5433" s="51">
        <v>44947</v>
      </c>
      <c r="B5433" s="52">
        <v>1915</v>
      </c>
      <c r="C5433" s="8" t="s">
        <v>4709</v>
      </c>
      <c r="D5433" s="8" t="s">
        <v>1060</v>
      </c>
      <c r="E5433" s="52">
        <v>312</v>
      </c>
      <c r="F5433" s="13"/>
      <c r="G5433" s="13">
        <v>4500</v>
      </c>
    </row>
    <row r="5434" spans="1:7" hidden="1" x14ac:dyDescent="0.75">
      <c r="A5434" s="51">
        <v>44950</v>
      </c>
      <c r="B5434" s="52">
        <v>1915</v>
      </c>
      <c r="C5434" s="8" t="s">
        <v>1787</v>
      </c>
      <c r="D5434" s="8" t="s">
        <v>1060</v>
      </c>
      <c r="E5434" s="52">
        <v>8</v>
      </c>
      <c r="F5434" s="13">
        <v>4500</v>
      </c>
      <c r="G5434" s="13"/>
    </row>
    <row r="5435" spans="1:7" hidden="1" x14ac:dyDescent="0.75">
      <c r="A5435" s="51">
        <v>44955</v>
      </c>
      <c r="B5435" s="52">
        <v>1915</v>
      </c>
      <c r="C5435" s="8" t="s">
        <v>4710</v>
      </c>
      <c r="D5435" s="8" t="s">
        <v>1060</v>
      </c>
      <c r="E5435" s="52">
        <v>312</v>
      </c>
      <c r="F5435" s="13"/>
      <c r="G5435" s="13">
        <v>5400</v>
      </c>
    </row>
    <row r="5436" spans="1:7" hidden="1" x14ac:dyDescent="0.75">
      <c r="A5436" s="51">
        <v>44957</v>
      </c>
      <c r="B5436" s="52">
        <v>1915</v>
      </c>
      <c r="C5436" s="8" t="s">
        <v>1865</v>
      </c>
      <c r="D5436" s="8" t="s">
        <v>1060</v>
      </c>
      <c r="E5436" s="52">
        <v>8</v>
      </c>
      <c r="F5436" s="13">
        <v>5400</v>
      </c>
      <c r="G5436" s="13"/>
    </row>
    <row r="5437" spans="1:7" hidden="1" x14ac:dyDescent="0.75">
      <c r="A5437" s="51">
        <v>44928</v>
      </c>
      <c r="B5437" s="52">
        <v>1918</v>
      </c>
      <c r="C5437" s="8" t="s">
        <v>4711</v>
      </c>
      <c r="D5437" s="8" t="s">
        <v>1061</v>
      </c>
      <c r="E5437" s="52">
        <v>1474</v>
      </c>
      <c r="F5437" s="13">
        <v>8.07</v>
      </c>
      <c r="G5437" s="13"/>
    </row>
    <row r="5438" spans="1:7" hidden="1" x14ac:dyDescent="0.75">
      <c r="A5438" s="51">
        <v>44928</v>
      </c>
      <c r="B5438" s="52">
        <v>1918</v>
      </c>
      <c r="C5438" s="8" t="s">
        <v>4712</v>
      </c>
      <c r="D5438" s="8" t="s">
        <v>1061</v>
      </c>
      <c r="E5438" s="52">
        <v>1474</v>
      </c>
      <c r="F5438" s="13">
        <v>41.57</v>
      </c>
      <c r="G5438" s="13"/>
    </row>
    <row r="5439" spans="1:7" hidden="1" x14ac:dyDescent="0.75">
      <c r="A5439" s="51">
        <v>44928</v>
      </c>
      <c r="B5439" s="52">
        <v>1918</v>
      </c>
      <c r="C5439" s="8" t="s">
        <v>4713</v>
      </c>
      <c r="D5439" s="8" t="s">
        <v>1061</v>
      </c>
      <c r="E5439" s="52">
        <v>1474</v>
      </c>
      <c r="F5439" s="13">
        <v>370.17</v>
      </c>
      <c r="G5439" s="13"/>
    </row>
    <row r="5440" spans="1:7" hidden="1" x14ac:dyDescent="0.75">
      <c r="A5440" s="51">
        <v>44949</v>
      </c>
      <c r="B5440" s="52">
        <v>1918</v>
      </c>
      <c r="C5440" s="8" t="s">
        <v>4714</v>
      </c>
      <c r="D5440" s="8" t="s">
        <v>1061</v>
      </c>
      <c r="E5440" s="52">
        <v>585</v>
      </c>
      <c r="F5440" s="13"/>
      <c r="G5440" s="13">
        <v>486.96</v>
      </c>
    </row>
    <row r="5441" spans="1:7" hidden="1" x14ac:dyDescent="0.75">
      <c r="A5441" s="51">
        <v>44949</v>
      </c>
      <c r="B5441" s="52">
        <v>1918</v>
      </c>
      <c r="C5441" s="8" t="s">
        <v>4714</v>
      </c>
      <c r="D5441" s="8" t="s">
        <v>1061</v>
      </c>
      <c r="E5441" s="52">
        <v>585</v>
      </c>
      <c r="F5441" s="13"/>
      <c r="G5441" s="13">
        <v>736.01</v>
      </c>
    </row>
    <row r="5442" spans="1:7" hidden="1" x14ac:dyDescent="0.75">
      <c r="A5442" s="51">
        <v>44949</v>
      </c>
      <c r="B5442" s="52">
        <v>1918</v>
      </c>
      <c r="C5442" s="8" t="s">
        <v>1780</v>
      </c>
      <c r="D5442" s="8" t="s">
        <v>1061</v>
      </c>
      <c r="E5442" s="52">
        <v>8</v>
      </c>
      <c r="F5442" s="13">
        <v>1222.97</v>
      </c>
      <c r="G5442" s="13"/>
    </row>
    <row r="5443" spans="1:7" hidden="1" x14ac:dyDescent="0.75">
      <c r="A5443" s="51">
        <v>44935</v>
      </c>
      <c r="B5443" s="52">
        <v>1945</v>
      </c>
      <c r="C5443" s="8" t="s">
        <v>1594</v>
      </c>
      <c r="D5443" s="8" t="s">
        <v>1245</v>
      </c>
      <c r="E5443" s="52">
        <v>8</v>
      </c>
      <c r="F5443" s="13">
        <v>571.03</v>
      </c>
      <c r="G5443" s="13"/>
    </row>
    <row r="5444" spans="1:7" hidden="1" x14ac:dyDescent="0.75">
      <c r="A5444" s="51">
        <v>44935</v>
      </c>
      <c r="B5444" s="52">
        <v>1945</v>
      </c>
      <c r="C5444" s="8" t="s">
        <v>1595</v>
      </c>
      <c r="D5444" s="8" t="s">
        <v>1245</v>
      </c>
      <c r="E5444" s="52">
        <v>8</v>
      </c>
      <c r="F5444" s="13">
        <v>256.68</v>
      </c>
      <c r="G5444" s="13"/>
    </row>
    <row r="5445" spans="1:7" hidden="1" x14ac:dyDescent="0.75">
      <c r="A5445" s="51">
        <v>44935</v>
      </c>
      <c r="B5445" s="52">
        <v>1945</v>
      </c>
      <c r="C5445" s="8" t="s">
        <v>1596</v>
      </c>
      <c r="D5445" s="8" t="s">
        <v>1245</v>
      </c>
      <c r="E5445" s="52">
        <v>8</v>
      </c>
      <c r="F5445" s="13">
        <v>403.72</v>
      </c>
      <c r="G5445" s="13"/>
    </row>
    <row r="5446" spans="1:7" hidden="1" x14ac:dyDescent="0.75">
      <c r="A5446" s="51">
        <v>44935</v>
      </c>
      <c r="B5446" s="52">
        <v>1945</v>
      </c>
      <c r="C5446" s="8" t="s">
        <v>1597</v>
      </c>
      <c r="D5446" s="8" t="s">
        <v>1245</v>
      </c>
      <c r="E5446" s="52">
        <v>8</v>
      </c>
      <c r="F5446" s="13">
        <v>93.34</v>
      </c>
      <c r="G5446" s="13"/>
    </row>
    <row r="5447" spans="1:7" hidden="1" x14ac:dyDescent="0.75">
      <c r="A5447" s="51">
        <v>44937</v>
      </c>
      <c r="B5447" s="52">
        <v>1945</v>
      </c>
      <c r="C5447" s="8" t="s">
        <v>1646</v>
      </c>
      <c r="D5447" s="8" t="s">
        <v>1245</v>
      </c>
      <c r="E5447" s="52">
        <v>8</v>
      </c>
      <c r="F5447" s="13">
        <v>307.99</v>
      </c>
      <c r="G5447" s="13"/>
    </row>
    <row r="5448" spans="1:7" hidden="1" x14ac:dyDescent="0.75">
      <c r="A5448" s="51">
        <v>44937</v>
      </c>
      <c r="B5448" s="52">
        <v>1945</v>
      </c>
      <c r="C5448" s="8" t="s">
        <v>1647</v>
      </c>
      <c r="D5448" s="8" t="s">
        <v>1245</v>
      </c>
      <c r="E5448" s="52">
        <v>8</v>
      </c>
      <c r="F5448" s="13">
        <v>186.67</v>
      </c>
      <c r="G5448" s="13"/>
    </row>
    <row r="5449" spans="1:7" hidden="1" x14ac:dyDescent="0.75">
      <c r="A5449" s="51">
        <v>44950</v>
      </c>
      <c r="B5449" s="52">
        <v>1945</v>
      </c>
      <c r="C5449" s="8" t="s">
        <v>4715</v>
      </c>
      <c r="D5449" s="8" t="s">
        <v>1245</v>
      </c>
      <c r="E5449" s="52">
        <v>1316</v>
      </c>
      <c r="F5449" s="13"/>
      <c r="G5449" s="13">
        <v>350</v>
      </c>
    </row>
    <row r="5450" spans="1:7" hidden="1" x14ac:dyDescent="0.75">
      <c r="A5450" s="51">
        <v>44928</v>
      </c>
      <c r="B5450" s="52">
        <v>1947</v>
      </c>
      <c r="C5450" s="8" t="s">
        <v>1494</v>
      </c>
      <c r="D5450" s="8" t="s">
        <v>1246</v>
      </c>
      <c r="E5450" s="52">
        <v>8</v>
      </c>
      <c r="F5450" s="13">
        <v>2199</v>
      </c>
      <c r="G5450" s="13"/>
    </row>
    <row r="5451" spans="1:7" hidden="1" x14ac:dyDescent="0.75">
      <c r="A5451" s="51">
        <v>44929</v>
      </c>
      <c r="B5451" s="52">
        <v>1947</v>
      </c>
      <c r="C5451" s="8" t="s">
        <v>1534</v>
      </c>
      <c r="D5451" s="8" t="s">
        <v>1246</v>
      </c>
      <c r="E5451" s="52">
        <v>8</v>
      </c>
      <c r="F5451" s="13">
        <v>878</v>
      </c>
      <c r="G5451" s="13"/>
    </row>
    <row r="5452" spans="1:7" hidden="1" x14ac:dyDescent="0.75">
      <c r="A5452" s="51">
        <v>44939</v>
      </c>
      <c r="B5452" s="52">
        <v>1947</v>
      </c>
      <c r="C5452" s="8" t="s">
        <v>4716</v>
      </c>
      <c r="D5452" s="8" t="s">
        <v>1246</v>
      </c>
      <c r="E5452" s="52">
        <v>664</v>
      </c>
      <c r="F5452" s="13"/>
      <c r="G5452" s="13">
        <v>2199</v>
      </c>
    </row>
    <row r="5453" spans="1:7" hidden="1" x14ac:dyDescent="0.75">
      <c r="A5453" s="51">
        <v>44928</v>
      </c>
      <c r="B5453" s="52">
        <v>1961</v>
      </c>
      <c r="C5453" s="8" t="s">
        <v>4717</v>
      </c>
      <c r="D5453" s="8" t="s">
        <v>1247</v>
      </c>
      <c r="E5453" s="52">
        <v>1474</v>
      </c>
      <c r="F5453" s="13">
        <v>1648.51</v>
      </c>
      <c r="G5453" s="13"/>
    </row>
    <row r="5454" spans="1:7" hidden="1" x14ac:dyDescent="0.75">
      <c r="A5454" s="51">
        <v>44928</v>
      </c>
      <c r="B5454" s="52">
        <v>1961</v>
      </c>
      <c r="C5454" s="8" t="s">
        <v>4718</v>
      </c>
      <c r="D5454" s="8" t="s">
        <v>1247</v>
      </c>
      <c r="E5454" s="52">
        <v>1474</v>
      </c>
      <c r="F5454" s="13">
        <v>972.48</v>
      </c>
      <c r="G5454" s="13"/>
    </row>
    <row r="5455" spans="1:7" hidden="1" x14ac:dyDescent="0.75">
      <c r="A5455" s="51">
        <v>44932</v>
      </c>
      <c r="B5455" s="52">
        <v>1961</v>
      </c>
      <c r="C5455" s="8" t="s">
        <v>3860</v>
      </c>
      <c r="D5455" s="8" t="s">
        <v>1247</v>
      </c>
      <c r="E5455" s="52">
        <v>55</v>
      </c>
      <c r="F5455" s="13"/>
      <c r="G5455" s="13">
        <v>677.49</v>
      </c>
    </row>
    <row r="5456" spans="1:7" hidden="1" x14ac:dyDescent="0.75">
      <c r="A5456" s="51">
        <v>44938</v>
      </c>
      <c r="B5456" s="52">
        <v>1961</v>
      </c>
      <c r="C5456" s="8" t="s">
        <v>4561</v>
      </c>
      <c r="D5456" s="8" t="s">
        <v>1247</v>
      </c>
      <c r="E5456" s="52">
        <v>58</v>
      </c>
      <c r="F5456" s="13"/>
      <c r="G5456" s="13">
        <v>1084.6099999999999</v>
      </c>
    </row>
    <row r="5457" spans="1:7" hidden="1" x14ac:dyDescent="0.75">
      <c r="A5457" s="51">
        <v>44940</v>
      </c>
      <c r="B5457" s="52">
        <v>1961</v>
      </c>
      <c r="C5457" s="8" t="s">
        <v>4096</v>
      </c>
      <c r="D5457" s="8" t="s">
        <v>1247</v>
      </c>
      <c r="E5457" s="52">
        <v>55</v>
      </c>
      <c r="F5457" s="13"/>
      <c r="G5457" s="13">
        <v>3846.55</v>
      </c>
    </row>
    <row r="5458" spans="1:7" hidden="1" x14ac:dyDescent="0.75">
      <c r="A5458" s="51">
        <v>44944</v>
      </c>
      <c r="B5458" s="52">
        <v>1961</v>
      </c>
      <c r="C5458" s="8" t="s">
        <v>4181</v>
      </c>
      <c r="D5458" s="8" t="s">
        <v>1247</v>
      </c>
      <c r="E5458" s="52">
        <v>55</v>
      </c>
      <c r="F5458" s="13"/>
      <c r="G5458" s="13">
        <v>7903.93</v>
      </c>
    </row>
    <row r="5459" spans="1:7" hidden="1" x14ac:dyDescent="0.75">
      <c r="A5459" s="51">
        <v>44949</v>
      </c>
      <c r="B5459" s="52">
        <v>1961</v>
      </c>
      <c r="C5459" s="8" t="s">
        <v>4569</v>
      </c>
      <c r="D5459" s="8" t="s">
        <v>1247</v>
      </c>
      <c r="E5459" s="52">
        <v>58</v>
      </c>
      <c r="F5459" s="13"/>
      <c r="G5459" s="13">
        <v>674.52</v>
      </c>
    </row>
    <row r="5460" spans="1:7" hidden="1" x14ac:dyDescent="0.75">
      <c r="A5460" s="51">
        <v>44949</v>
      </c>
      <c r="B5460" s="52">
        <v>1961</v>
      </c>
      <c r="C5460" s="8" t="s">
        <v>1783</v>
      </c>
      <c r="D5460" s="8" t="s">
        <v>1247</v>
      </c>
      <c r="E5460" s="52">
        <v>8</v>
      </c>
      <c r="F5460" s="13">
        <v>674.52</v>
      </c>
      <c r="G5460" s="13"/>
    </row>
    <row r="5461" spans="1:7" hidden="1" x14ac:dyDescent="0.75">
      <c r="A5461" s="51">
        <v>44946</v>
      </c>
      <c r="B5461" s="52">
        <v>1978</v>
      </c>
      <c r="C5461" s="8" t="s">
        <v>4568</v>
      </c>
      <c r="D5461" s="8" t="s">
        <v>1352</v>
      </c>
      <c r="E5461" s="52">
        <v>58</v>
      </c>
      <c r="F5461" s="13"/>
      <c r="G5461" s="13">
        <v>127.65</v>
      </c>
    </row>
    <row r="5462" spans="1:7" hidden="1" x14ac:dyDescent="0.75">
      <c r="A5462" s="51">
        <v>44933</v>
      </c>
      <c r="B5462" s="52">
        <v>1979</v>
      </c>
      <c r="C5462" s="8" t="s">
        <v>3906</v>
      </c>
      <c r="D5462" s="8" t="s">
        <v>1354</v>
      </c>
      <c r="E5462" s="52">
        <v>55</v>
      </c>
      <c r="F5462" s="13"/>
      <c r="G5462" s="13">
        <v>1809</v>
      </c>
    </row>
    <row r="5463" spans="1:7" hidden="1" x14ac:dyDescent="0.75">
      <c r="A5463" s="51">
        <v>44937</v>
      </c>
      <c r="B5463" s="52">
        <v>1979</v>
      </c>
      <c r="C5463" s="8" t="s">
        <v>1645</v>
      </c>
      <c r="D5463" s="8" t="s">
        <v>1354</v>
      </c>
      <c r="E5463" s="52">
        <v>8</v>
      </c>
      <c r="F5463" s="13">
        <v>1809</v>
      </c>
      <c r="G5463" s="13"/>
    </row>
    <row r="5464" spans="1:7" hidden="1" x14ac:dyDescent="0.75">
      <c r="A5464" s="51">
        <v>44939</v>
      </c>
      <c r="B5464" s="52">
        <v>1979</v>
      </c>
      <c r="C5464" s="8" t="s">
        <v>4065</v>
      </c>
      <c r="D5464" s="8" t="s">
        <v>1354</v>
      </c>
      <c r="E5464" s="52">
        <v>55</v>
      </c>
      <c r="F5464" s="13"/>
      <c r="G5464" s="13">
        <v>4976</v>
      </c>
    </row>
    <row r="5465" spans="1:7" hidden="1" x14ac:dyDescent="0.75">
      <c r="A5465" s="51">
        <v>44939</v>
      </c>
      <c r="B5465" s="52">
        <v>1979</v>
      </c>
      <c r="C5465" s="8" t="s">
        <v>4066</v>
      </c>
      <c r="D5465" s="8" t="s">
        <v>1354</v>
      </c>
      <c r="E5465" s="52">
        <v>55</v>
      </c>
      <c r="F5465" s="13"/>
      <c r="G5465" s="13">
        <v>4976</v>
      </c>
    </row>
    <row r="5466" spans="1:7" hidden="1" x14ac:dyDescent="0.75">
      <c r="A5466" s="51">
        <v>44944</v>
      </c>
      <c r="B5466" s="52">
        <v>1979</v>
      </c>
      <c r="C5466" s="8" t="s">
        <v>1714</v>
      </c>
      <c r="D5466" s="8" t="s">
        <v>1354</v>
      </c>
      <c r="E5466" s="52">
        <v>8</v>
      </c>
      <c r="F5466" s="13">
        <v>4976</v>
      </c>
      <c r="G5466" s="13"/>
    </row>
    <row r="5467" spans="1:7" hidden="1" x14ac:dyDescent="0.75">
      <c r="A5467" s="51">
        <v>44946</v>
      </c>
      <c r="B5467" s="52">
        <v>1979</v>
      </c>
      <c r="C5467" s="8" t="s">
        <v>4245</v>
      </c>
      <c r="D5467" s="8" t="s">
        <v>1354</v>
      </c>
      <c r="E5467" s="52">
        <v>55</v>
      </c>
      <c r="F5467" s="13"/>
      <c r="G5467" s="13">
        <v>4484.5</v>
      </c>
    </row>
    <row r="5468" spans="1:7" hidden="1" x14ac:dyDescent="0.75">
      <c r="A5468" s="51">
        <v>44951</v>
      </c>
      <c r="B5468" s="52">
        <v>1979</v>
      </c>
      <c r="C5468" s="8" t="s">
        <v>1797</v>
      </c>
      <c r="D5468" s="8" t="s">
        <v>1354</v>
      </c>
      <c r="E5468" s="52">
        <v>8</v>
      </c>
      <c r="F5468" s="13">
        <v>4484.5</v>
      </c>
      <c r="G5468" s="13"/>
    </row>
    <row r="5469" spans="1:7" hidden="1" x14ac:dyDescent="0.75">
      <c r="A5469" s="51">
        <v>44953</v>
      </c>
      <c r="B5469" s="52">
        <v>1979</v>
      </c>
      <c r="C5469" s="8" t="s">
        <v>4441</v>
      </c>
      <c r="D5469" s="8" t="s">
        <v>1354</v>
      </c>
      <c r="E5469" s="52">
        <v>55</v>
      </c>
      <c r="F5469" s="13"/>
      <c r="G5469" s="13">
        <v>2891</v>
      </c>
    </row>
    <row r="5470" spans="1:7" hidden="1" x14ac:dyDescent="0.75">
      <c r="A5470" s="51">
        <v>44957</v>
      </c>
      <c r="B5470" s="52">
        <v>1979</v>
      </c>
      <c r="C5470" s="8" t="s">
        <v>4538</v>
      </c>
      <c r="D5470" s="8" t="s">
        <v>1354</v>
      </c>
      <c r="E5470" s="52">
        <v>55</v>
      </c>
      <c r="F5470" s="13"/>
      <c r="G5470" s="13">
        <v>2192.6</v>
      </c>
    </row>
    <row r="5471" spans="1:7" hidden="1" x14ac:dyDescent="0.75">
      <c r="A5471" s="51">
        <v>44944</v>
      </c>
      <c r="B5471" s="52">
        <v>1980</v>
      </c>
      <c r="C5471" s="8" t="s">
        <v>4192</v>
      </c>
      <c r="D5471" s="8" t="s">
        <v>1356</v>
      </c>
      <c r="E5471" s="52">
        <v>55</v>
      </c>
      <c r="F5471" s="13"/>
      <c r="G5471" s="13">
        <v>1650</v>
      </c>
    </row>
    <row r="5472" spans="1:7" hidden="1" x14ac:dyDescent="0.75">
      <c r="A5472" s="51">
        <v>44945</v>
      </c>
      <c r="B5472" s="52">
        <v>1980</v>
      </c>
      <c r="C5472" s="8" t="s">
        <v>4217</v>
      </c>
      <c r="D5472" s="8" t="s">
        <v>1356</v>
      </c>
      <c r="E5472" s="52">
        <v>55</v>
      </c>
      <c r="F5472" s="13"/>
      <c r="G5472" s="13">
        <v>870</v>
      </c>
    </row>
    <row r="5473" spans="1:7" hidden="1" x14ac:dyDescent="0.75">
      <c r="A5473" s="51">
        <v>44946</v>
      </c>
      <c r="B5473" s="52">
        <v>1980</v>
      </c>
      <c r="C5473" s="8" t="s">
        <v>4247</v>
      </c>
      <c r="D5473" s="8" t="s">
        <v>1356</v>
      </c>
      <c r="E5473" s="52">
        <v>55</v>
      </c>
      <c r="F5473" s="13"/>
      <c r="G5473" s="13">
        <v>1290</v>
      </c>
    </row>
    <row r="5474" spans="1:7" hidden="1" x14ac:dyDescent="0.75">
      <c r="A5474" s="51">
        <v>44947</v>
      </c>
      <c r="B5474" s="52">
        <v>1980</v>
      </c>
      <c r="C5474" s="8" t="s">
        <v>4278</v>
      </c>
      <c r="D5474" s="8" t="s">
        <v>1356</v>
      </c>
      <c r="E5474" s="52">
        <v>55</v>
      </c>
      <c r="F5474" s="13"/>
      <c r="G5474" s="13">
        <v>710</v>
      </c>
    </row>
    <row r="5475" spans="1:7" hidden="1" x14ac:dyDescent="0.75">
      <c r="A5475" s="51">
        <v>44949</v>
      </c>
      <c r="B5475" s="52">
        <v>1980</v>
      </c>
      <c r="C5475" s="8" t="s">
        <v>4308</v>
      </c>
      <c r="D5475" s="8" t="s">
        <v>1356</v>
      </c>
      <c r="E5475" s="52">
        <v>55</v>
      </c>
      <c r="F5475" s="13"/>
      <c r="G5475" s="13">
        <v>1410</v>
      </c>
    </row>
    <row r="5476" spans="1:7" hidden="1" x14ac:dyDescent="0.75">
      <c r="A5476" s="51">
        <v>44950</v>
      </c>
      <c r="B5476" s="52">
        <v>1980</v>
      </c>
      <c r="C5476" s="8" t="s">
        <v>4342</v>
      </c>
      <c r="D5476" s="8" t="s">
        <v>1356</v>
      </c>
      <c r="E5476" s="52">
        <v>55</v>
      </c>
      <c r="F5476" s="13"/>
      <c r="G5476" s="13">
        <v>970</v>
      </c>
    </row>
    <row r="5477" spans="1:7" hidden="1" x14ac:dyDescent="0.75">
      <c r="A5477" s="51">
        <v>44951</v>
      </c>
      <c r="B5477" s="52">
        <v>1980</v>
      </c>
      <c r="C5477" s="8" t="s">
        <v>4378</v>
      </c>
      <c r="D5477" s="8" t="s">
        <v>1356</v>
      </c>
      <c r="E5477" s="52">
        <v>55</v>
      </c>
      <c r="F5477" s="13"/>
      <c r="G5477" s="13">
        <v>1990</v>
      </c>
    </row>
    <row r="5478" spans="1:7" hidden="1" x14ac:dyDescent="0.75">
      <c r="A5478" s="51">
        <v>44952</v>
      </c>
      <c r="B5478" s="52">
        <v>1980</v>
      </c>
      <c r="C5478" s="8" t="s">
        <v>4406</v>
      </c>
      <c r="D5478" s="8" t="s">
        <v>1356</v>
      </c>
      <c r="E5478" s="52">
        <v>55</v>
      </c>
      <c r="F5478" s="13"/>
      <c r="G5478" s="13">
        <v>960</v>
      </c>
    </row>
    <row r="5479" spans="1:7" hidden="1" x14ac:dyDescent="0.75">
      <c r="A5479" s="51">
        <v>44953</v>
      </c>
      <c r="B5479" s="52">
        <v>1980</v>
      </c>
      <c r="C5479" s="8" t="s">
        <v>4443</v>
      </c>
      <c r="D5479" s="8" t="s">
        <v>1356</v>
      </c>
      <c r="E5479" s="52">
        <v>55</v>
      </c>
      <c r="F5479" s="13"/>
      <c r="G5479" s="13">
        <v>1640</v>
      </c>
    </row>
    <row r="5480" spans="1:7" hidden="1" x14ac:dyDescent="0.75">
      <c r="A5480" s="51">
        <v>44953</v>
      </c>
      <c r="B5480" s="52">
        <v>1980</v>
      </c>
      <c r="C5480" s="8" t="s">
        <v>4444</v>
      </c>
      <c r="D5480" s="8" t="s">
        <v>1356</v>
      </c>
      <c r="E5480" s="52">
        <v>55</v>
      </c>
      <c r="F5480" s="13"/>
      <c r="G5480" s="13">
        <v>500</v>
      </c>
    </row>
    <row r="5481" spans="1:7" hidden="1" x14ac:dyDescent="0.75">
      <c r="A5481" s="51">
        <v>44956</v>
      </c>
      <c r="B5481" s="52">
        <v>1980</v>
      </c>
      <c r="C5481" s="8" t="s">
        <v>4503</v>
      </c>
      <c r="D5481" s="8" t="s">
        <v>1356</v>
      </c>
      <c r="E5481" s="52">
        <v>55</v>
      </c>
      <c r="F5481" s="13"/>
      <c r="G5481" s="13">
        <v>1880</v>
      </c>
    </row>
    <row r="5482" spans="1:7" hidden="1" x14ac:dyDescent="0.75">
      <c r="A5482" s="51">
        <v>44957</v>
      </c>
      <c r="B5482" s="52">
        <v>1980</v>
      </c>
      <c r="C5482" s="8" t="s">
        <v>4540</v>
      </c>
      <c r="D5482" s="8" t="s">
        <v>1356</v>
      </c>
      <c r="E5482" s="52">
        <v>55</v>
      </c>
      <c r="F5482" s="13"/>
      <c r="G5482" s="13">
        <v>790</v>
      </c>
    </row>
    <row r="5483" spans="1:7" hidden="1" x14ac:dyDescent="0.75">
      <c r="A5483" s="51">
        <v>44928</v>
      </c>
      <c r="B5483" s="52">
        <v>1982</v>
      </c>
      <c r="C5483" s="8" t="s">
        <v>4719</v>
      </c>
      <c r="D5483" s="8" t="s">
        <v>1358</v>
      </c>
      <c r="E5483" s="52">
        <v>662</v>
      </c>
      <c r="F5483" s="13"/>
      <c r="G5483" s="13">
        <v>648</v>
      </c>
    </row>
    <row r="5484" spans="1:7" hidden="1" x14ac:dyDescent="0.75">
      <c r="A5484" s="51">
        <v>44928</v>
      </c>
      <c r="B5484" s="52">
        <v>1982</v>
      </c>
      <c r="C5484" s="8" t="s">
        <v>4720</v>
      </c>
      <c r="D5484" s="8" t="s">
        <v>1358</v>
      </c>
      <c r="E5484" s="52">
        <v>662</v>
      </c>
      <c r="F5484" s="13"/>
      <c r="G5484" s="13">
        <v>1047</v>
      </c>
    </row>
    <row r="5485" spans="1:7" hidden="1" x14ac:dyDescent="0.75">
      <c r="A5485" s="51">
        <v>44928</v>
      </c>
      <c r="B5485" s="52">
        <v>1982</v>
      </c>
      <c r="C5485" s="8" t="s">
        <v>1520</v>
      </c>
      <c r="D5485" s="8" t="s">
        <v>1358</v>
      </c>
      <c r="E5485" s="52">
        <v>8</v>
      </c>
      <c r="F5485" s="13">
        <v>648</v>
      </c>
      <c r="G5485" s="13"/>
    </row>
    <row r="5486" spans="1:7" hidden="1" x14ac:dyDescent="0.75">
      <c r="A5486" s="51">
        <v>44928</v>
      </c>
      <c r="B5486" s="52">
        <v>1982</v>
      </c>
      <c r="C5486" s="8" t="s">
        <v>1521</v>
      </c>
      <c r="D5486" s="8" t="s">
        <v>1358</v>
      </c>
      <c r="E5486" s="52">
        <v>8</v>
      </c>
      <c r="F5486" s="13">
        <v>1047</v>
      </c>
      <c r="G5486" s="13"/>
    </row>
    <row r="5487" spans="1:7" hidden="1" x14ac:dyDescent="0.75">
      <c r="A5487" s="51">
        <v>44933</v>
      </c>
      <c r="B5487" s="52">
        <v>1982</v>
      </c>
      <c r="C5487" s="8" t="s">
        <v>4721</v>
      </c>
      <c r="D5487" s="8" t="s">
        <v>1358</v>
      </c>
      <c r="E5487" s="52">
        <v>662</v>
      </c>
      <c r="F5487" s="13"/>
      <c r="G5487" s="13">
        <v>16000</v>
      </c>
    </row>
    <row r="5488" spans="1:7" hidden="1" x14ac:dyDescent="0.75">
      <c r="A5488" s="51">
        <v>44943</v>
      </c>
      <c r="B5488" s="52">
        <v>1982</v>
      </c>
      <c r="C5488" s="8" t="s">
        <v>4722</v>
      </c>
      <c r="D5488" s="8" t="s">
        <v>1358</v>
      </c>
      <c r="E5488" s="52">
        <v>662</v>
      </c>
      <c r="F5488" s="13"/>
      <c r="G5488" s="13">
        <v>2700</v>
      </c>
    </row>
    <row r="5489" spans="1:7" hidden="1" x14ac:dyDescent="0.75">
      <c r="A5489" s="51">
        <v>44950</v>
      </c>
      <c r="B5489" s="52">
        <v>1982</v>
      </c>
      <c r="C5489" s="8" t="s">
        <v>4723</v>
      </c>
      <c r="D5489" s="8" t="s">
        <v>1358</v>
      </c>
      <c r="E5489" s="52">
        <v>662</v>
      </c>
      <c r="F5489" s="13"/>
      <c r="G5489" s="13">
        <v>2700</v>
      </c>
    </row>
    <row r="5490" spans="1:7" hidden="1" x14ac:dyDescent="0.75">
      <c r="A5490" s="51">
        <v>44950</v>
      </c>
      <c r="B5490" s="52">
        <v>1982</v>
      </c>
      <c r="C5490" s="8" t="s">
        <v>4724</v>
      </c>
      <c r="D5490" s="8" t="s">
        <v>1358</v>
      </c>
      <c r="E5490" s="52">
        <v>662</v>
      </c>
      <c r="F5490" s="13"/>
      <c r="G5490" s="13">
        <v>16000</v>
      </c>
    </row>
    <row r="5491" spans="1:7" hidden="1" x14ac:dyDescent="0.75">
      <c r="A5491" s="51">
        <v>44956</v>
      </c>
      <c r="B5491" s="52">
        <v>1982</v>
      </c>
      <c r="C5491" s="8" t="s">
        <v>4725</v>
      </c>
      <c r="D5491" s="8" t="s">
        <v>1358</v>
      </c>
      <c r="E5491" s="52">
        <v>662</v>
      </c>
      <c r="F5491" s="13"/>
      <c r="G5491" s="13">
        <v>450</v>
      </c>
    </row>
    <row r="5492" spans="1:7" hidden="1" x14ac:dyDescent="0.75">
      <c r="A5492" s="51">
        <v>44956</v>
      </c>
      <c r="B5492" s="52">
        <v>1982</v>
      </c>
      <c r="C5492" s="8" t="s">
        <v>1839</v>
      </c>
      <c r="D5492" s="8" t="s">
        <v>1358</v>
      </c>
      <c r="E5492" s="52">
        <v>8</v>
      </c>
      <c r="F5492" s="13">
        <v>2700</v>
      </c>
      <c r="G5492" s="13"/>
    </row>
    <row r="5493" spans="1:7" hidden="1" x14ac:dyDescent="0.75">
      <c r="A5493" s="51">
        <v>44956</v>
      </c>
      <c r="B5493" s="52">
        <v>1982</v>
      </c>
      <c r="C5493" s="8" t="s">
        <v>1849</v>
      </c>
      <c r="D5493" s="8" t="s">
        <v>1358</v>
      </c>
      <c r="E5493" s="52">
        <v>8</v>
      </c>
      <c r="F5493" s="13">
        <v>16000</v>
      </c>
      <c r="G5493" s="13"/>
    </row>
    <row r="5494" spans="1:7" hidden="1" x14ac:dyDescent="0.75">
      <c r="A5494" s="51">
        <v>44957</v>
      </c>
      <c r="B5494" s="52">
        <v>1982</v>
      </c>
      <c r="C5494" s="8" t="s">
        <v>4726</v>
      </c>
      <c r="D5494" s="8" t="s">
        <v>1358</v>
      </c>
      <c r="E5494" s="52">
        <v>662</v>
      </c>
      <c r="F5494" s="13"/>
      <c r="G5494" s="13">
        <v>3359</v>
      </c>
    </row>
    <row r="5495" spans="1:7" hidden="1" x14ac:dyDescent="0.75">
      <c r="A5495" s="51">
        <v>44957</v>
      </c>
      <c r="B5495" s="52">
        <v>1982</v>
      </c>
      <c r="C5495" s="8" t="s">
        <v>1864</v>
      </c>
      <c r="D5495" s="8" t="s">
        <v>1358</v>
      </c>
      <c r="E5495" s="52">
        <v>8</v>
      </c>
      <c r="F5495" s="13">
        <v>3359</v>
      </c>
      <c r="G5495" s="13"/>
    </row>
    <row r="5496" spans="1:7" hidden="1" x14ac:dyDescent="0.75">
      <c r="A5496" s="51">
        <v>44956</v>
      </c>
      <c r="B5496" s="52">
        <v>1983</v>
      </c>
      <c r="C5496" s="8" t="s">
        <v>4727</v>
      </c>
      <c r="D5496" s="8" t="s">
        <v>1360</v>
      </c>
      <c r="E5496" s="52">
        <v>585</v>
      </c>
      <c r="F5496" s="13"/>
      <c r="G5496" s="13">
        <v>64</v>
      </c>
    </row>
    <row r="5497" spans="1:7" hidden="1" x14ac:dyDescent="0.75">
      <c r="A5497" s="51">
        <v>44957</v>
      </c>
      <c r="B5497" s="52">
        <v>172</v>
      </c>
      <c r="C5497" s="8" t="s">
        <v>998</v>
      </c>
      <c r="D5497" s="8" t="s">
        <v>506</v>
      </c>
      <c r="E5497" s="52"/>
      <c r="F5497" s="13"/>
      <c r="G5497" s="13">
        <v>33134.730000000003</v>
      </c>
    </row>
    <row r="5498" spans="1:7" hidden="1" x14ac:dyDescent="0.75">
      <c r="A5498" s="51">
        <v>44957</v>
      </c>
      <c r="B5498" s="52">
        <v>172</v>
      </c>
      <c r="C5498" s="8" t="s">
        <v>996</v>
      </c>
      <c r="D5498" s="8" t="s">
        <v>506</v>
      </c>
      <c r="E5498" s="52">
        <v>30</v>
      </c>
      <c r="F5498" s="13">
        <v>33134.730000000003</v>
      </c>
      <c r="G5498" s="13"/>
    </row>
    <row r="5499" spans="1:7" hidden="1" x14ac:dyDescent="0.75">
      <c r="A5499" s="51">
        <v>44957</v>
      </c>
      <c r="B5499" s="52">
        <v>176</v>
      </c>
      <c r="C5499" s="8" t="s">
        <v>1862</v>
      </c>
      <c r="D5499" s="8" t="s">
        <v>508</v>
      </c>
      <c r="E5499" s="52">
        <v>941</v>
      </c>
      <c r="F5499" s="13">
        <v>2119.44</v>
      </c>
      <c r="G5499" s="13"/>
    </row>
    <row r="5500" spans="1:7" hidden="1" x14ac:dyDescent="0.75">
      <c r="A5500" s="51">
        <v>44957</v>
      </c>
      <c r="B5500" s="52">
        <v>177</v>
      </c>
      <c r="C5500" s="8" t="s">
        <v>1863</v>
      </c>
      <c r="D5500" s="8" t="s">
        <v>510</v>
      </c>
      <c r="E5500" s="52">
        <v>942</v>
      </c>
      <c r="F5500" s="13">
        <v>1271.67</v>
      </c>
      <c r="G5500" s="13"/>
    </row>
    <row r="5501" spans="1:7" hidden="1" x14ac:dyDescent="0.75">
      <c r="A5501" s="51">
        <v>44957</v>
      </c>
      <c r="B5501" s="52">
        <v>178</v>
      </c>
      <c r="C5501" s="8" t="s">
        <v>1861</v>
      </c>
      <c r="D5501" s="8" t="s">
        <v>1284</v>
      </c>
      <c r="E5501" s="52">
        <v>368</v>
      </c>
      <c r="F5501" s="13"/>
      <c r="G5501" s="13">
        <v>14.56</v>
      </c>
    </row>
    <row r="5502" spans="1:7" hidden="1" x14ac:dyDescent="0.75">
      <c r="A5502" s="51">
        <v>44957</v>
      </c>
      <c r="B5502" s="52">
        <v>178</v>
      </c>
      <c r="C5502" s="8" t="s">
        <v>1861</v>
      </c>
      <c r="D5502" s="8" t="s">
        <v>1284</v>
      </c>
      <c r="E5502" s="52">
        <v>8</v>
      </c>
      <c r="F5502" s="13">
        <v>80.41</v>
      </c>
      <c r="G5502" s="13"/>
    </row>
    <row r="5503" spans="1:7" hidden="1" x14ac:dyDescent="0.75">
      <c r="A5503" s="51">
        <v>44957</v>
      </c>
      <c r="B5503" s="52">
        <v>179</v>
      </c>
      <c r="C5503" s="8" t="s">
        <v>998</v>
      </c>
      <c r="D5503" s="8" t="s">
        <v>511</v>
      </c>
      <c r="E5503" s="52">
        <v>429</v>
      </c>
      <c r="F5503" s="13"/>
      <c r="G5503" s="13">
        <v>440.48</v>
      </c>
    </row>
    <row r="5504" spans="1:7" hidden="1" x14ac:dyDescent="0.75">
      <c r="A5504" s="51">
        <v>44957</v>
      </c>
      <c r="B5504" s="52">
        <v>179</v>
      </c>
      <c r="C5504" s="8" t="s">
        <v>996</v>
      </c>
      <c r="D5504" s="8" t="s">
        <v>511</v>
      </c>
      <c r="E5504" s="52">
        <v>41</v>
      </c>
      <c r="F5504" s="13">
        <v>440.48</v>
      </c>
      <c r="G5504" s="13"/>
    </row>
    <row r="5505" spans="1:7" hidden="1" x14ac:dyDescent="0.75">
      <c r="A5505" s="51">
        <v>44957</v>
      </c>
      <c r="B5505" s="52">
        <v>180</v>
      </c>
      <c r="C5505" s="8" t="s">
        <v>998</v>
      </c>
      <c r="D5505" s="8" t="s">
        <v>512</v>
      </c>
      <c r="E5505" s="52">
        <v>428</v>
      </c>
      <c r="F5505" s="13"/>
      <c r="G5505" s="13">
        <v>2028.89</v>
      </c>
    </row>
    <row r="5506" spans="1:7" hidden="1" x14ac:dyDescent="0.75">
      <c r="A5506" s="51">
        <v>44957</v>
      </c>
      <c r="B5506" s="52">
        <v>180</v>
      </c>
      <c r="C5506" s="8" t="s">
        <v>996</v>
      </c>
      <c r="D5506" s="8" t="s">
        <v>512</v>
      </c>
      <c r="E5506" s="52">
        <v>40</v>
      </c>
      <c r="F5506" s="13">
        <v>2028.89</v>
      </c>
      <c r="G5506" s="13"/>
    </row>
    <row r="5507" spans="1:7" hidden="1" x14ac:dyDescent="0.75">
      <c r="A5507" s="51">
        <v>44957</v>
      </c>
      <c r="B5507" s="52">
        <v>1016</v>
      </c>
      <c r="C5507" s="8" t="s">
        <v>1870</v>
      </c>
      <c r="D5507" s="8" t="s">
        <v>1286</v>
      </c>
      <c r="E5507" s="52">
        <v>368</v>
      </c>
      <c r="F5507" s="13"/>
      <c r="G5507" s="13">
        <v>45.14</v>
      </c>
    </row>
    <row r="5508" spans="1:7" hidden="1" x14ac:dyDescent="0.75">
      <c r="A5508" s="51">
        <v>44957</v>
      </c>
      <c r="B5508" s="52">
        <v>1016</v>
      </c>
      <c r="C5508" s="8" t="s">
        <v>1870</v>
      </c>
      <c r="D5508" s="8" t="s">
        <v>1286</v>
      </c>
      <c r="E5508" s="52">
        <v>8</v>
      </c>
      <c r="F5508" s="13">
        <v>249.28</v>
      </c>
      <c r="G5508" s="13"/>
    </row>
    <row r="5509" spans="1:7" hidden="1" x14ac:dyDescent="0.75">
      <c r="A5509" s="51">
        <v>44956</v>
      </c>
      <c r="B5509" s="52">
        <v>187</v>
      </c>
      <c r="C5509" s="8" t="s">
        <v>1824</v>
      </c>
      <c r="D5509" s="8" t="s">
        <v>524</v>
      </c>
      <c r="E5509" s="52">
        <v>8</v>
      </c>
      <c r="F5509" s="13">
        <v>38680.17</v>
      </c>
      <c r="G5509" s="13"/>
    </row>
    <row r="5510" spans="1:7" hidden="1" x14ac:dyDescent="0.75">
      <c r="A5510" s="51">
        <v>44957</v>
      </c>
      <c r="B5510" s="52">
        <v>187</v>
      </c>
      <c r="C5510" s="8" t="s">
        <v>4728</v>
      </c>
      <c r="D5510" s="8" t="s">
        <v>524</v>
      </c>
      <c r="E5510" s="52"/>
      <c r="F5510" s="13"/>
      <c r="G5510" s="13">
        <v>16689.3</v>
      </c>
    </row>
    <row r="5511" spans="1:7" hidden="1" x14ac:dyDescent="0.75">
      <c r="A5511" s="51">
        <v>44957</v>
      </c>
      <c r="B5511" s="52">
        <v>187</v>
      </c>
      <c r="C5511" s="8" t="s">
        <v>4729</v>
      </c>
      <c r="D5511" s="8" t="s">
        <v>524</v>
      </c>
      <c r="E5511" s="52"/>
      <c r="F5511" s="13"/>
      <c r="G5511" s="13">
        <v>4875.6400000000003</v>
      </c>
    </row>
    <row r="5512" spans="1:7" hidden="1" x14ac:dyDescent="0.75">
      <c r="A5512" s="51">
        <v>44957</v>
      </c>
      <c r="B5512" s="52">
        <v>187</v>
      </c>
      <c r="C5512" s="8" t="s">
        <v>4728</v>
      </c>
      <c r="D5512" s="8" t="s">
        <v>524</v>
      </c>
      <c r="E5512" s="52"/>
      <c r="F5512" s="13"/>
      <c r="G5512" s="13">
        <v>17115.23</v>
      </c>
    </row>
    <row r="5513" spans="1:7" hidden="1" x14ac:dyDescent="0.75">
      <c r="A5513" s="51">
        <v>44957</v>
      </c>
      <c r="B5513" s="52">
        <v>553</v>
      </c>
      <c r="C5513" s="8" t="s">
        <v>4730</v>
      </c>
      <c r="D5513" s="8" t="s">
        <v>526</v>
      </c>
      <c r="E5513" s="52"/>
      <c r="F5513" s="13"/>
      <c r="G5513" s="13">
        <v>2533.3000000000002</v>
      </c>
    </row>
    <row r="5514" spans="1:7" hidden="1" x14ac:dyDescent="0.75">
      <c r="A5514" s="51">
        <v>44936</v>
      </c>
      <c r="B5514" s="52">
        <v>1649</v>
      </c>
      <c r="C5514" s="8" t="s">
        <v>1611</v>
      </c>
      <c r="D5514" s="8" t="s">
        <v>881</v>
      </c>
      <c r="E5514" s="52">
        <v>8</v>
      </c>
      <c r="F5514" s="13">
        <v>1960</v>
      </c>
      <c r="G5514" s="13"/>
    </row>
    <row r="5515" spans="1:7" hidden="1" x14ac:dyDescent="0.75">
      <c r="A5515" s="51">
        <v>44936</v>
      </c>
      <c r="B5515" s="52">
        <v>1649</v>
      </c>
      <c r="C5515" s="8" t="s">
        <v>1612</v>
      </c>
      <c r="D5515" s="8" t="s">
        <v>881</v>
      </c>
      <c r="E5515" s="52">
        <v>8</v>
      </c>
      <c r="F5515" s="13">
        <v>1960</v>
      </c>
      <c r="G5515" s="13"/>
    </row>
    <row r="5516" spans="1:7" hidden="1" x14ac:dyDescent="0.75">
      <c r="A5516" s="51">
        <v>44936</v>
      </c>
      <c r="B5516" s="52">
        <v>1649</v>
      </c>
      <c r="C5516" s="8" t="s">
        <v>1613</v>
      </c>
      <c r="D5516" s="8" t="s">
        <v>881</v>
      </c>
      <c r="E5516" s="52">
        <v>8</v>
      </c>
      <c r="F5516" s="13">
        <v>840</v>
      </c>
      <c r="G5516" s="13"/>
    </row>
    <row r="5517" spans="1:7" hidden="1" x14ac:dyDescent="0.75">
      <c r="A5517" s="51">
        <v>44936</v>
      </c>
      <c r="B5517" s="52">
        <v>1649</v>
      </c>
      <c r="C5517" s="8" t="s">
        <v>1614</v>
      </c>
      <c r="D5517" s="8" t="s">
        <v>881</v>
      </c>
      <c r="E5517" s="52">
        <v>8</v>
      </c>
      <c r="F5517" s="13">
        <v>840</v>
      </c>
      <c r="G5517" s="13"/>
    </row>
    <row r="5518" spans="1:7" hidden="1" x14ac:dyDescent="0.75">
      <c r="A5518" s="51">
        <v>44932</v>
      </c>
      <c r="B5518" s="52">
        <v>192</v>
      </c>
      <c r="C5518" s="8" t="s">
        <v>1570</v>
      </c>
      <c r="D5518" s="8" t="s">
        <v>530</v>
      </c>
      <c r="E5518" s="52">
        <v>8</v>
      </c>
      <c r="F5518" s="13">
        <v>11783.21</v>
      </c>
      <c r="G5518" s="13"/>
    </row>
    <row r="5519" spans="1:7" hidden="1" x14ac:dyDescent="0.75">
      <c r="A5519" s="51">
        <v>44957</v>
      </c>
      <c r="B5519" s="52">
        <v>192</v>
      </c>
      <c r="C5519" s="8" t="s">
        <v>4731</v>
      </c>
      <c r="D5519" s="8" t="s">
        <v>530</v>
      </c>
      <c r="E5519" s="52">
        <v>280</v>
      </c>
      <c r="F5519" s="13"/>
      <c r="G5519" s="13">
        <v>3009.2</v>
      </c>
    </row>
    <row r="5520" spans="1:7" hidden="1" x14ac:dyDescent="0.75">
      <c r="A5520" s="51">
        <v>44957</v>
      </c>
      <c r="B5520" s="52">
        <v>192</v>
      </c>
      <c r="C5520" s="8" t="s">
        <v>4732</v>
      </c>
      <c r="D5520" s="8" t="s">
        <v>530</v>
      </c>
      <c r="E5520" s="52">
        <v>198</v>
      </c>
      <c r="F5520" s="13"/>
      <c r="G5520" s="13">
        <v>160</v>
      </c>
    </row>
    <row r="5521" spans="1:7" hidden="1" x14ac:dyDescent="0.75">
      <c r="A5521" s="51">
        <v>44957</v>
      </c>
      <c r="B5521" s="52">
        <v>192</v>
      </c>
      <c r="C5521" s="8" t="s">
        <v>4733</v>
      </c>
      <c r="D5521" s="8" t="s">
        <v>530</v>
      </c>
      <c r="E5521" s="52">
        <v>199</v>
      </c>
      <c r="F5521" s="13"/>
      <c r="G5521" s="13">
        <v>10</v>
      </c>
    </row>
    <row r="5522" spans="1:7" hidden="1" x14ac:dyDescent="0.75">
      <c r="A5522" s="51">
        <v>44957</v>
      </c>
      <c r="B5522" s="52">
        <v>192</v>
      </c>
      <c r="C5522" s="8" t="s">
        <v>4734</v>
      </c>
      <c r="D5522" s="8" t="s">
        <v>530</v>
      </c>
      <c r="E5522" s="52">
        <v>281</v>
      </c>
      <c r="F5522" s="13"/>
      <c r="G5522" s="13">
        <v>140.79</v>
      </c>
    </row>
    <row r="5523" spans="1:7" hidden="1" x14ac:dyDescent="0.75">
      <c r="A5523" s="51">
        <v>44957</v>
      </c>
      <c r="B5523" s="52">
        <v>192</v>
      </c>
      <c r="C5523" s="8" t="s">
        <v>4735</v>
      </c>
      <c r="D5523" s="8" t="s">
        <v>530</v>
      </c>
      <c r="E5523" s="52">
        <v>281</v>
      </c>
      <c r="F5523" s="13"/>
      <c r="G5523" s="13">
        <v>1564.67</v>
      </c>
    </row>
    <row r="5524" spans="1:7" hidden="1" x14ac:dyDescent="0.75">
      <c r="A5524" s="51">
        <v>44957</v>
      </c>
      <c r="B5524" s="52">
        <v>192</v>
      </c>
      <c r="C5524" s="8" t="s">
        <v>4736</v>
      </c>
      <c r="D5524" s="8" t="s">
        <v>530</v>
      </c>
      <c r="E5524" s="52">
        <v>304</v>
      </c>
      <c r="F5524" s="13"/>
      <c r="G5524" s="13">
        <v>1206.79</v>
      </c>
    </row>
    <row r="5525" spans="1:7" hidden="1" x14ac:dyDescent="0.75">
      <c r="A5525" s="51">
        <v>44957</v>
      </c>
      <c r="B5525" s="52">
        <v>192</v>
      </c>
      <c r="C5525" s="8" t="s">
        <v>4731</v>
      </c>
      <c r="D5525" s="8" t="s">
        <v>530</v>
      </c>
      <c r="E5525" s="52">
        <v>1874</v>
      </c>
      <c r="F5525" s="13"/>
      <c r="G5525" s="13">
        <v>3124.46</v>
      </c>
    </row>
    <row r="5526" spans="1:7" hidden="1" x14ac:dyDescent="0.75">
      <c r="A5526" s="51">
        <v>44957</v>
      </c>
      <c r="B5526" s="52">
        <v>192</v>
      </c>
      <c r="C5526" s="8" t="s">
        <v>4732</v>
      </c>
      <c r="D5526" s="8" t="s">
        <v>530</v>
      </c>
      <c r="E5526" s="52">
        <v>198</v>
      </c>
      <c r="F5526" s="13"/>
      <c r="G5526" s="13">
        <v>223.59</v>
      </c>
    </row>
    <row r="5527" spans="1:7" hidden="1" x14ac:dyDescent="0.75">
      <c r="A5527" s="51">
        <v>44946</v>
      </c>
      <c r="B5527" s="52">
        <v>554</v>
      </c>
      <c r="C5527" s="8" t="s">
        <v>1755</v>
      </c>
      <c r="D5527" s="8" t="s">
        <v>532</v>
      </c>
      <c r="E5527" s="52">
        <v>8</v>
      </c>
      <c r="F5527" s="13">
        <v>1870.14</v>
      </c>
      <c r="G5527" s="13"/>
    </row>
    <row r="5528" spans="1:7" hidden="1" x14ac:dyDescent="0.75">
      <c r="A5528" s="51">
        <v>44957</v>
      </c>
      <c r="B5528" s="52">
        <v>554</v>
      </c>
      <c r="C5528" s="8" t="s">
        <v>4737</v>
      </c>
      <c r="D5528" s="8" t="s">
        <v>532</v>
      </c>
      <c r="E5528" s="52"/>
      <c r="F5528" s="13"/>
      <c r="G5528" s="13">
        <v>649.49</v>
      </c>
    </row>
    <row r="5529" spans="1:7" hidden="1" x14ac:dyDescent="0.75">
      <c r="A5529" s="51">
        <v>44957</v>
      </c>
      <c r="B5529" s="52">
        <v>554</v>
      </c>
      <c r="C5529" s="8" t="s">
        <v>4738</v>
      </c>
      <c r="D5529" s="8" t="s">
        <v>532</v>
      </c>
      <c r="E5529" s="52"/>
      <c r="F5529" s="13"/>
      <c r="G5529" s="13">
        <v>101.77</v>
      </c>
    </row>
    <row r="5530" spans="1:7" hidden="1" x14ac:dyDescent="0.75">
      <c r="A5530" s="51">
        <v>44957</v>
      </c>
      <c r="B5530" s="52">
        <v>554</v>
      </c>
      <c r="C5530" s="8" t="s">
        <v>4737</v>
      </c>
      <c r="D5530" s="8" t="s">
        <v>532</v>
      </c>
      <c r="E5530" s="52"/>
      <c r="F5530" s="13"/>
      <c r="G5530" s="13">
        <v>151.71</v>
      </c>
    </row>
    <row r="5531" spans="1:7" hidden="1" x14ac:dyDescent="0.75">
      <c r="A5531" s="51">
        <v>44957</v>
      </c>
      <c r="B5531" s="52">
        <v>1486</v>
      </c>
      <c r="C5531" s="8" t="s">
        <v>4739</v>
      </c>
      <c r="D5531" s="8" t="s">
        <v>534</v>
      </c>
      <c r="E5531" s="52">
        <v>1487</v>
      </c>
      <c r="F5531" s="13"/>
      <c r="G5531" s="13">
        <v>7020.54</v>
      </c>
    </row>
    <row r="5532" spans="1:7" hidden="1" x14ac:dyDescent="0.75">
      <c r="A5532" s="51">
        <v>44957</v>
      </c>
      <c r="B5532" s="52">
        <v>1486</v>
      </c>
      <c r="C5532" s="8" t="s">
        <v>4740</v>
      </c>
      <c r="D5532" s="8" t="s">
        <v>534</v>
      </c>
      <c r="E5532" s="52">
        <v>8</v>
      </c>
      <c r="F5532" s="13">
        <v>7427.19</v>
      </c>
      <c r="G5532" s="13"/>
    </row>
    <row r="5533" spans="1:7" hidden="1" x14ac:dyDescent="0.75">
      <c r="A5533" s="51">
        <v>44957</v>
      </c>
      <c r="B5533" s="52">
        <v>1487</v>
      </c>
      <c r="C5533" s="8" t="s">
        <v>4741</v>
      </c>
      <c r="D5533" s="8" t="s">
        <v>536</v>
      </c>
      <c r="E5533" s="52"/>
      <c r="F5533" s="13"/>
      <c r="G5533" s="13">
        <v>3172.03</v>
      </c>
    </row>
    <row r="5534" spans="1:7" hidden="1" x14ac:dyDescent="0.75">
      <c r="A5534" s="51">
        <v>44957</v>
      </c>
      <c r="B5534" s="52">
        <v>1487</v>
      </c>
      <c r="C5534" s="8" t="s">
        <v>4742</v>
      </c>
      <c r="D5534" s="8" t="s">
        <v>536</v>
      </c>
      <c r="E5534" s="52"/>
      <c r="F5534" s="13"/>
      <c r="G5534" s="13">
        <v>161.82</v>
      </c>
    </row>
    <row r="5535" spans="1:7" hidden="1" x14ac:dyDescent="0.75">
      <c r="A5535" s="51">
        <v>44957</v>
      </c>
      <c r="B5535" s="52">
        <v>1487</v>
      </c>
      <c r="C5535" s="8" t="s">
        <v>4741</v>
      </c>
      <c r="D5535" s="8" t="s">
        <v>536</v>
      </c>
      <c r="E5535" s="52"/>
      <c r="F5535" s="13"/>
      <c r="G5535" s="13">
        <v>121.23</v>
      </c>
    </row>
    <row r="5536" spans="1:7" hidden="1" x14ac:dyDescent="0.75">
      <c r="A5536" s="51">
        <v>44957</v>
      </c>
      <c r="B5536" s="52">
        <v>1487</v>
      </c>
      <c r="C5536" s="8" t="s">
        <v>4743</v>
      </c>
      <c r="D5536" s="8" t="s">
        <v>536</v>
      </c>
      <c r="E5536" s="52">
        <v>279</v>
      </c>
      <c r="F5536" s="13"/>
      <c r="G5536" s="13">
        <v>7815.07</v>
      </c>
    </row>
    <row r="5537" spans="1:7" hidden="1" x14ac:dyDescent="0.75">
      <c r="A5537" s="51">
        <v>44957</v>
      </c>
      <c r="B5537" s="52">
        <v>1487</v>
      </c>
      <c r="C5537" s="8" t="s">
        <v>4744</v>
      </c>
      <c r="D5537" s="8" t="s">
        <v>536</v>
      </c>
      <c r="E5537" s="52">
        <v>279</v>
      </c>
      <c r="F5537" s="13"/>
      <c r="G5537" s="13">
        <v>2266.36</v>
      </c>
    </row>
    <row r="5538" spans="1:7" hidden="1" x14ac:dyDescent="0.75">
      <c r="A5538" s="51">
        <v>44957</v>
      </c>
      <c r="B5538" s="52">
        <v>1487</v>
      </c>
      <c r="C5538" s="8" t="s">
        <v>4745</v>
      </c>
      <c r="D5538" s="8" t="s">
        <v>536</v>
      </c>
      <c r="E5538" s="52">
        <v>279</v>
      </c>
      <c r="F5538" s="13"/>
      <c r="G5538" s="13">
        <v>586.13</v>
      </c>
    </row>
    <row r="5539" spans="1:7" hidden="1" x14ac:dyDescent="0.75">
      <c r="A5539" s="51">
        <v>44957</v>
      </c>
      <c r="B5539" s="52">
        <v>1487</v>
      </c>
      <c r="C5539" s="8" t="s">
        <v>4746</v>
      </c>
      <c r="D5539" s="8" t="s">
        <v>536</v>
      </c>
      <c r="E5539" s="52">
        <v>196</v>
      </c>
      <c r="F5539" s="13"/>
      <c r="G5539" s="13">
        <v>546</v>
      </c>
    </row>
    <row r="5540" spans="1:7" hidden="1" x14ac:dyDescent="0.75">
      <c r="A5540" s="51">
        <v>44957</v>
      </c>
      <c r="B5540" s="52">
        <v>1487</v>
      </c>
      <c r="C5540" s="8" t="s">
        <v>4747</v>
      </c>
      <c r="D5540" s="8" t="s">
        <v>536</v>
      </c>
      <c r="E5540" s="52">
        <v>197</v>
      </c>
      <c r="F5540" s="13"/>
      <c r="G5540" s="13">
        <v>34.11</v>
      </c>
    </row>
    <row r="5541" spans="1:7" hidden="1" x14ac:dyDescent="0.75">
      <c r="A5541" s="51">
        <v>44957</v>
      </c>
      <c r="B5541" s="52">
        <v>1487</v>
      </c>
      <c r="C5541" s="8" t="s">
        <v>4748</v>
      </c>
      <c r="D5541" s="8" t="s">
        <v>536</v>
      </c>
      <c r="E5541" s="52"/>
      <c r="F5541" s="13"/>
      <c r="G5541" s="13">
        <v>1233.52</v>
      </c>
    </row>
    <row r="5542" spans="1:7" hidden="1" x14ac:dyDescent="0.75">
      <c r="A5542" s="51">
        <v>44957</v>
      </c>
      <c r="B5542" s="52">
        <v>1487</v>
      </c>
      <c r="C5542" s="8" t="s">
        <v>4749</v>
      </c>
      <c r="D5542" s="8" t="s">
        <v>536</v>
      </c>
      <c r="E5542" s="52">
        <v>304</v>
      </c>
      <c r="F5542" s="13"/>
      <c r="G5542" s="13">
        <v>3017.05</v>
      </c>
    </row>
    <row r="5543" spans="1:7" hidden="1" x14ac:dyDescent="0.75">
      <c r="A5543" s="51">
        <v>44957</v>
      </c>
      <c r="B5543" s="52">
        <v>1487</v>
      </c>
      <c r="C5543" s="8" t="s">
        <v>4750</v>
      </c>
      <c r="D5543" s="8" t="s">
        <v>536</v>
      </c>
      <c r="E5543" s="52">
        <v>304</v>
      </c>
      <c r="F5543" s="13"/>
      <c r="G5543" s="13">
        <v>874.93</v>
      </c>
    </row>
    <row r="5544" spans="1:7" hidden="1" x14ac:dyDescent="0.75">
      <c r="A5544" s="51">
        <v>44957</v>
      </c>
      <c r="B5544" s="52">
        <v>1487</v>
      </c>
      <c r="C5544" s="8" t="s">
        <v>4751</v>
      </c>
      <c r="D5544" s="8" t="s">
        <v>536</v>
      </c>
      <c r="E5544" s="52">
        <v>304</v>
      </c>
      <c r="F5544" s="13"/>
      <c r="G5544" s="13">
        <v>226.27</v>
      </c>
    </row>
    <row r="5545" spans="1:7" hidden="1" x14ac:dyDescent="0.75">
      <c r="A5545" s="51">
        <v>44957</v>
      </c>
      <c r="B5545" s="52">
        <v>1487</v>
      </c>
      <c r="C5545" s="8" t="s">
        <v>4742</v>
      </c>
      <c r="D5545" s="8" t="s">
        <v>536</v>
      </c>
      <c r="E5545" s="52"/>
      <c r="F5545" s="13"/>
      <c r="G5545" s="13">
        <v>33.04</v>
      </c>
    </row>
    <row r="5546" spans="1:7" hidden="1" x14ac:dyDescent="0.75">
      <c r="A5546" s="51">
        <v>44957</v>
      </c>
      <c r="B5546" s="52">
        <v>1487</v>
      </c>
      <c r="C5546" s="8" t="s">
        <v>4741</v>
      </c>
      <c r="D5546" s="8" t="s">
        <v>536</v>
      </c>
      <c r="E5546" s="52"/>
      <c r="F5546" s="13"/>
      <c r="G5546" s="13">
        <v>3093.46</v>
      </c>
    </row>
    <row r="5547" spans="1:7" hidden="1" x14ac:dyDescent="0.75">
      <c r="A5547" s="51">
        <v>44957</v>
      </c>
      <c r="B5547" s="52">
        <v>1487</v>
      </c>
      <c r="C5547" s="8" t="s">
        <v>4742</v>
      </c>
      <c r="D5547" s="8" t="s">
        <v>536</v>
      </c>
      <c r="E5547" s="52"/>
      <c r="F5547" s="13"/>
      <c r="G5547" s="13">
        <v>217</v>
      </c>
    </row>
    <row r="5548" spans="1:7" hidden="1" x14ac:dyDescent="0.75">
      <c r="A5548" s="51">
        <v>44957</v>
      </c>
      <c r="B5548" s="52">
        <v>1487</v>
      </c>
      <c r="C5548" s="8" t="s">
        <v>4743</v>
      </c>
      <c r="D5548" s="8" t="s">
        <v>536</v>
      </c>
      <c r="E5548" s="52">
        <v>1873</v>
      </c>
      <c r="F5548" s="13"/>
      <c r="G5548" s="13">
        <v>7811.17</v>
      </c>
    </row>
    <row r="5549" spans="1:7" hidden="1" x14ac:dyDescent="0.75">
      <c r="A5549" s="51">
        <v>44957</v>
      </c>
      <c r="B5549" s="52">
        <v>1487</v>
      </c>
      <c r="C5549" s="8" t="s">
        <v>4744</v>
      </c>
      <c r="D5549" s="8" t="s">
        <v>536</v>
      </c>
      <c r="E5549" s="52">
        <v>1873</v>
      </c>
      <c r="F5549" s="13"/>
      <c r="G5549" s="13">
        <v>2265.21</v>
      </c>
    </row>
    <row r="5550" spans="1:7" hidden="1" x14ac:dyDescent="0.75">
      <c r="A5550" s="51">
        <v>44957</v>
      </c>
      <c r="B5550" s="52">
        <v>1487</v>
      </c>
      <c r="C5550" s="8" t="s">
        <v>4745</v>
      </c>
      <c r="D5550" s="8" t="s">
        <v>536</v>
      </c>
      <c r="E5550" s="52">
        <v>1873</v>
      </c>
      <c r="F5550" s="13"/>
      <c r="G5550" s="13">
        <v>585.83000000000004</v>
      </c>
    </row>
    <row r="5551" spans="1:7" hidden="1" x14ac:dyDescent="0.75">
      <c r="A5551" s="51">
        <v>44957</v>
      </c>
      <c r="B5551" s="52">
        <v>1487</v>
      </c>
      <c r="C5551" s="8" t="s">
        <v>4746</v>
      </c>
      <c r="D5551" s="8" t="s">
        <v>536</v>
      </c>
      <c r="E5551" s="52">
        <v>196</v>
      </c>
      <c r="F5551" s="13"/>
      <c r="G5551" s="13">
        <v>762.97</v>
      </c>
    </row>
    <row r="5552" spans="1:7" hidden="1" x14ac:dyDescent="0.75">
      <c r="A5552" s="51">
        <v>44957</v>
      </c>
      <c r="B5552" s="52">
        <v>1487</v>
      </c>
      <c r="C5552" s="8" t="s">
        <v>1871</v>
      </c>
      <c r="D5552" s="8" t="s">
        <v>536</v>
      </c>
      <c r="E5552" s="52">
        <v>368</v>
      </c>
      <c r="F5552" s="13"/>
      <c r="G5552" s="13">
        <v>0.7</v>
      </c>
    </row>
    <row r="5553" spans="1:7" hidden="1" x14ac:dyDescent="0.75">
      <c r="A5553" s="51">
        <v>44957</v>
      </c>
      <c r="B5553" s="52">
        <v>1487</v>
      </c>
      <c r="C5553" s="8" t="s">
        <v>1005</v>
      </c>
      <c r="D5553" s="8" t="s">
        <v>536</v>
      </c>
      <c r="E5553" s="52"/>
      <c r="F5553" s="13">
        <v>538.98</v>
      </c>
      <c r="G5553" s="13"/>
    </row>
    <row r="5554" spans="1:7" hidden="1" x14ac:dyDescent="0.75">
      <c r="A5554" s="51">
        <v>44957</v>
      </c>
      <c r="B5554" s="52">
        <v>1487</v>
      </c>
      <c r="C5554" s="8" t="s">
        <v>1005</v>
      </c>
      <c r="D5554" s="8" t="s">
        <v>536</v>
      </c>
      <c r="E5554" s="52"/>
      <c r="F5554" s="13">
        <v>53.84</v>
      </c>
      <c r="G5554" s="13"/>
    </row>
    <row r="5555" spans="1:7" hidden="1" x14ac:dyDescent="0.75">
      <c r="A5555" s="51">
        <v>44957</v>
      </c>
      <c r="B5555" s="52">
        <v>1487</v>
      </c>
      <c r="C5555" s="8" t="s">
        <v>4752</v>
      </c>
      <c r="D5555" s="8" t="s">
        <v>536</v>
      </c>
      <c r="E5555" s="52"/>
      <c r="F5555" s="13">
        <v>59.82</v>
      </c>
      <c r="G5555" s="13"/>
    </row>
    <row r="5556" spans="1:7" hidden="1" x14ac:dyDescent="0.75">
      <c r="A5556" s="51">
        <v>44957</v>
      </c>
      <c r="B5556" s="52">
        <v>1487</v>
      </c>
      <c r="C5556" s="8" t="s">
        <v>1005</v>
      </c>
      <c r="D5556" s="8" t="s">
        <v>536</v>
      </c>
      <c r="E5556" s="52"/>
      <c r="F5556" s="13">
        <v>358.92</v>
      </c>
      <c r="G5556" s="13"/>
    </row>
    <row r="5557" spans="1:7" hidden="1" x14ac:dyDescent="0.75">
      <c r="A5557" s="51">
        <v>44957</v>
      </c>
      <c r="B5557" s="52">
        <v>1487</v>
      </c>
      <c r="C5557" s="8" t="s">
        <v>4753</v>
      </c>
      <c r="D5557" s="8" t="s">
        <v>536</v>
      </c>
      <c r="E5557" s="52">
        <v>8</v>
      </c>
      <c r="F5557" s="13">
        <v>21100.45</v>
      </c>
      <c r="G5557" s="13"/>
    </row>
    <row r="5558" spans="1:7" hidden="1" x14ac:dyDescent="0.75">
      <c r="A5558" s="51">
        <v>44957</v>
      </c>
      <c r="B5558" s="52">
        <v>1487</v>
      </c>
      <c r="C5558" s="8" t="s">
        <v>4739</v>
      </c>
      <c r="D5558" s="8" t="s">
        <v>536</v>
      </c>
      <c r="E5558" s="52">
        <v>1486</v>
      </c>
      <c r="F5558" s="13">
        <v>7020.54</v>
      </c>
      <c r="G5558" s="13"/>
    </row>
    <row r="5559" spans="1:7" hidden="1" x14ac:dyDescent="0.75">
      <c r="A5559" s="51">
        <v>44957</v>
      </c>
      <c r="B5559" s="52">
        <v>1487</v>
      </c>
      <c r="C5559" s="8" t="s">
        <v>4754</v>
      </c>
      <c r="D5559" s="8" t="s">
        <v>536</v>
      </c>
      <c r="E5559" s="52">
        <v>1806</v>
      </c>
      <c r="F5559" s="13">
        <v>5691.76</v>
      </c>
      <c r="G5559" s="13"/>
    </row>
    <row r="5560" spans="1:7" hidden="1" x14ac:dyDescent="0.75">
      <c r="A5560" s="51">
        <v>44957</v>
      </c>
      <c r="B5560" s="52">
        <v>1806</v>
      </c>
      <c r="C5560" s="8" t="s">
        <v>4754</v>
      </c>
      <c r="D5560" s="8" t="s">
        <v>538</v>
      </c>
      <c r="E5560" s="52">
        <v>1487</v>
      </c>
      <c r="F5560" s="13"/>
      <c r="G5560" s="13">
        <v>5691.76</v>
      </c>
    </row>
    <row r="5561" spans="1:7" hidden="1" x14ac:dyDescent="0.75">
      <c r="A5561" s="51">
        <v>44957</v>
      </c>
      <c r="B5561" s="52">
        <v>1806</v>
      </c>
      <c r="C5561" s="8" t="s">
        <v>4755</v>
      </c>
      <c r="D5561" s="8" t="s">
        <v>538</v>
      </c>
      <c r="E5561" s="52">
        <v>8</v>
      </c>
      <c r="F5561" s="13">
        <v>5692.19</v>
      </c>
      <c r="G5561" s="13"/>
    </row>
    <row r="5562" spans="1:7" hidden="1" x14ac:dyDescent="0.75">
      <c r="A5562" s="51">
        <v>44931</v>
      </c>
      <c r="B5562" s="52">
        <v>1924</v>
      </c>
      <c r="C5562" s="8" t="s">
        <v>1561</v>
      </c>
      <c r="D5562" s="8" t="s">
        <v>1065</v>
      </c>
      <c r="E5562" s="52">
        <v>368</v>
      </c>
      <c r="F5562" s="13"/>
      <c r="G5562" s="13">
        <v>6.43</v>
      </c>
    </row>
    <row r="5563" spans="1:7" hidden="1" x14ac:dyDescent="0.75">
      <c r="A5563" s="51">
        <v>44931</v>
      </c>
      <c r="B5563" s="52">
        <v>1924</v>
      </c>
      <c r="C5563" s="8" t="s">
        <v>1562</v>
      </c>
      <c r="D5563" s="8" t="s">
        <v>1065</v>
      </c>
      <c r="E5563" s="52">
        <v>368</v>
      </c>
      <c r="F5563" s="13"/>
      <c r="G5563" s="13">
        <v>6.43</v>
      </c>
    </row>
    <row r="5564" spans="1:7" hidden="1" x14ac:dyDescent="0.75">
      <c r="A5564" s="51">
        <v>44931</v>
      </c>
      <c r="B5564" s="52">
        <v>1924</v>
      </c>
      <c r="C5564" s="8" t="s">
        <v>1561</v>
      </c>
      <c r="D5564" s="8" t="s">
        <v>1065</v>
      </c>
      <c r="E5564" s="52">
        <v>8</v>
      </c>
      <c r="F5564" s="13">
        <v>1956.43</v>
      </c>
      <c r="G5564" s="13"/>
    </row>
    <row r="5565" spans="1:7" hidden="1" x14ac:dyDescent="0.75">
      <c r="A5565" s="51">
        <v>44931</v>
      </c>
      <c r="B5565" s="52">
        <v>1924</v>
      </c>
      <c r="C5565" s="8" t="s">
        <v>1562</v>
      </c>
      <c r="D5565" s="8" t="s">
        <v>1065</v>
      </c>
      <c r="E5565" s="52">
        <v>8</v>
      </c>
      <c r="F5565" s="13">
        <v>1956.43</v>
      </c>
      <c r="G5565" s="13"/>
    </row>
    <row r="5566" spans="1:7" hidden="1" x14ac:dyDescent="0.75">
      <c r="A5566" s="51">
        <v>44957</v>
      </c>
      <c r="B5566" s="52">
        <v>194</v>
      </c>
      <c r="C5566" s="8" t="s">
        <v>4756</v>
      </c>
      <c r="D5566" s="8" t="s">
        <v>542</v>
      </c>
      <c r="E5566" s="52">
        <v>278</v>
      </c>
      <c r="F5566" s="13"/>
      <c r="G5566" s="13">
        <v>4554.82</v>
      </c>
    </row>
    <row r="5567" spans="1:7" hidden="1" x14ac:dyDescent="0.75">
      <c r="A5567" s="51">
        <v>44957</v>
      </c>
      <c r="B5567" s="52">
        <v>194</v>
      </c>
      <c r="C5567" s="8" t="s">
        <v>4757</v>
      </c>
      <c r="D5567" s="8" t="s">
        <v>542</v>
      </c>
      <c r="E5567" s="52">
        <v>302</v>
      </c>
      <c r="F5567" s="13"/>
      <c r="G5567" s="13">
        <v>1535.39</v>
      </c>
    </row>
    <row r="5568" spans="1:7" hidden="1" x14ac:dyDescent="0.75">
      <c r="A5568" s="51">
        <v>44957</v>
      </c>
      <c r="B5568" s="52">
        <v>194</v>
      </c>
      <c r="C5568" s="8" t="s">
        <v>4756</v>
      </c>
      <c r="D5568" s="8" t="s">
        <v>542</v>
      </c>
      <c r="E5568" s="52">
        <v>1872</v>
      </c>
      <c r="F5568" s="13"/>
      <c r="G5568" s="13">
        <v>4904.71</v>
      </c>
    </row>
    <row r="5569" spans="1:7" hidden="1" x14ac:dyDescent="0.75">
      <c r="A5569" s="51">
        <v>44957</v>
      </c>
      <c r="B5569" s="52">
        <v>194</v>
      </c>
      <c r="C5569" s="8" t="s">
        <v>4758</v>
      </c>
      <c r="D5569" s="8" t="s">
        <v>542</v>
      </c>
      <c r="E5569" s="52">
        <v>302</v>
      </c>
      <c r="F5569" s="13"/>
      <c r="G5569" s="13">
        <v>4436.13</v>
      </c>
    </row>
    <row r="5570" spans="1:7" hidden="1" x14ac:dyDescent="0.75">
      <c r="A5570" s="51">
        <v>44957</v>
      </c>
      <c r="B5570" s="52">
        <v>194</v>
      </c>
      <c r="C5570" s="8" t="s">
        <v>4759</v>
      </c>
      <c r="D5570" s="8" t="s">
        <v>542</v>
      </c>
      <c r="E5570" s="52"/>
      <c r="F5570" s="13">
        <v>2000</v>
      </c>
      <c r="G5570" s="13"/>
    </row>
    <row r="5571" spans="1:7" hidden="1" x14ac:dyDescent="0.75">
      <c r="A5571" s="51">
        <v>44957</v>
      </c>
      <c r="B5571" s="52">
        <v>194</v>
      </c>
      <c r="C5571" s="8" t="s">
        <v>4759</v>
      </c>
      <c r="D5571" s="8" t="s">
        <v>542</v>
      </c>
      <c r="E5571" s="52"/>
      <c r="F5571" s="13">
        <v>1500</v>
      </c>
      <c r="G5571" s="13"/>
    </row>
    <row r="5572" spans="1:7" hidden="1" x14ac:dyDescent="0.75">
      <c r="A5572" s="51">
        <v>44957</v>
      </c>
      <c r="B5572" s="52">
        <v>194</v>
      </c>
      <c r="C5572" s="8" t="s">
        <v>4759</v>
      </c>
      <c r="D5572" s="8" t="s">
        <v>542</v>
      </c>
      <c r="E5572" s="52"/>
      <c r="F5572" s="13">
        <v>2794.99</v>
      </c>
      <c r="G5572" s="13"/>
    </row>
    <row r="5573" spans="1:7" hidden="1" x14ac:dyDescent="0.75">
      <c r="A5573" s="51">
        <v>44957</v>
      </c>
      <c r="B5573" s="52">
        <v>194</v>
      </c>
      <c r="C5573" s="8" t="s">
        <v>4760</v>
      </c>
      <c r="D5573" s="8" t="s">
        <v>542</v>
      </c>
      <c r="E5573" s="52">
        <v>278</v>
      </c>
      <c r="F5573" s="13">
        <v>10.210000000000001</v>
      </c>
      <c r="G5573" s="13"/>
    </row>
    <row r="5574" spans="1:7" hidden="1" x14ac:dyDescent="0.75">
      <c r="A5574" s="51">
        <v>44957</v>
      </c>
      <c r="B5574" s="52">
        <v>194</v>
      </c>
      <c r="C5574" s="8" t="s">
        <v>4760</v>
      </c>
      <c r="D5574" s="8" t="s">
        <v>542</v>
      </c>
      <c r="E5574" s="52">
        <v>1872</v>
      </c>
      <c r="F5574" s="13">
        <v>83.94</v>
      </c>
      <c r="G5574" s="13"/>
    </row>
    <row r="5575" spans="1:7" hidden="1" x14ac:dyDescent="0.75">
      <c r="A5575" s="51">
        <v>44957</v>
      </c>
      <c r="B5575" s="52">
        <v>196</v>
      </c>
      <c r="C5575" s="8" t="s">
        <v>4761</v>
      </c>
      <c r="D5575" s="8" t="s">
        <v>544</v>
      </c>
      <c r="E5575" s="52">
        <v>279</v>
      </c>
      <c r="F5575" s="13"/>
      <c r="G5575" s="13">
        <v>1243.56</v>
      </c>
    </row>
    <row r="5576" spans="1:7" hidden="1" x14ac:dyDescent="0.75">
      <c r="A5576" s="51">
        <v>44957</v>
      </c>
      <c r="B5576" s="52">
        <v>196</v>
      </c>
      <c r="C5576" s="8" t="s">
        <v>1006</v>
      </c>
      <c r="D5576" s="8" t="s">
        <v>544</v>
      </c>
      <c r="E5576" s="52">
        <v>303</v>
      </c>
      <c r="F5576" s="13"/>
      <c r="G5576" s="13">
        <v>307.07</v>
      </c>
    </row>
    <row r="5577" spans="1:7" hidden="1" x14ac:dyDescent="0.75">
      <c r="A5577" s="51">
        <v>44957</v>
      </c>
      <c r="B5577" s="52">
        <v>196</v>
      </c>
      <c r="C5577" s="8" t="s">
        <v>1006</v>
      </c>
      <c r="D5577" s="8" t="s">
        <v>544</v>
      </c>
      <c r="E5577" s="52">
        <v>303</v>
      </c>
      <c r="F5577" s="13"/>
      <c r="G5577" s="13">
        <v>23.04</v>
      </c>
    </row>
    <row r="5578" spans="1:7" hidden="1" x14ac:dyDescent="0.75">
      <c r="A5578" s="51">
        <v>44957</v>
      </c>
      <c r="B5578" s="52">
        <v>196</v>
      </c>
      <c r="C5578" s="8" t="s">
        <v>4762</v>
      </c>
      <c r="D5578" s="8" t="s">
        <v>544</v>
      </c>
      <c r="E5578" s="52">
        <v>303</v>
      </c>
      <c r="F5578" s="13"/>
      <c r="G5578" s="13">
        <v>89.05</v>
      </c>
    </row>
    <row r="5579" spans="1:7" hidden="1" x14ac:dyDescent="0.75">
      <c r="A5579" s="51">
        <v>44957</v>
      </c>
      <c r="B5579" s="52">
        <v>196</v>
      </c>
      <c r="C5579" s="8" t="s">
        <v>1006</v>
      </c>
      <c r="D5579" s="8" t="s">
        <v>544</v>
      </c>
      <c r="E5579" s="52">
        <v>303</v>
      </c>
      <c r="F5579" s="13"/>
      <c r="G5579" s="13">
        <v>72.930000000000007</v>
      </c>
    </row>
    <row r="5580" spans="1:7" hidden="1" x14ac:dyDescent="0.75">
      <c r="A5580" s="51">
        <v>44957</v>
      </c>
      <c r="B5580" s="52">
        <v>196</v>
      </c>
      <c r="C5580" s="8" t="s">
        <v>4761</v>
      </c>
      <c r="D5580" s="8" t="s">
        <v>544</v>
      </c>
      <c r="E5580" s="52">
        <v>1873</v>
      </c>
      <c r="F5580" s="13"/>
      <c r="G5580" s="13">
        <v>1336.9</v>
      </c>
    </row>
    <row r="5581" spans="1:7" hidden="1" x14ac:dyDescent="0.75">
      <c r="A5581" s="51">
        <v>44957</v>
      </c>
      <c r="B5581" s="52">
        <v>196</v>
      </c>
      <c r="C5581" s="8" t="s">
        <v>4758</v>
      </c>
      <c r="D5581" s="8" t="s">
        <v>544</v>
      </c>
      <c r="E5581" s="52">
        <v>567</v>
      </c>
      <c r="F5581" s="13"/>
      <c r="G5581" s="13">
        <v>354.83</v>
      </c>
    </row>
    <row r="5582" spans="1:7" hidden="1" x14ac:dyDescent="0.75">
      <c r="A5582" s="51">
        <v>44957</v>
      </c>
      <c r="B5582" s="52">
        <v>196</v>
      </c>
      <c r="C5582" s="8" t="s">
        <v>4746</v>
      </c>
      <c r="D5582" s="8" t="s">
        <v>544</v>
      </c>
      <c r="E5582" s="52">
        <v>1487</v>
      </c>
      <c r="F5582" s="13">
        <v>546</v>
      </c>
      <c r="G5582" s="13"/>
    </row>
    <row r="5583" spans="1:7" hidden="1" x14ac:dyDescent="0.75">
      <c r="A5583" s="51">
        <v>44957</v>
      </c>
      <c r="B5583" s="52">
        <v>196</v>
      </c>
      <c r="C5583" s="8" t="s">
        <v>4746</v>
      </c>
      <c r="D5583" s="8" t="s">
        <v>544</v>
      </c>
      <c r="E5583" s="52">
        <v>1487</v>
      </c>
      <c r="F5583" s="13">
        <v>762.97</v>
      </c>
      <c r="G5583" s="13"/>
    </row>
    <row r="5584" spans="1:7" hidden="1" x14ac:dyDescent="0.75">
      <c r="A5584" s="51">
        <v>44957</v>
      </c>
      <c r="B5584" s="52">
        <v>196</v>
      </c>
      <c r="C5584" s="8" t="s">
        <v>4763</v>
      </c>
      <c r="D5584" s="8" t="s">
        <v>544</v>
      </c>
      <c r="E5584" s="52">
        <v>279</v>
      </c>
      <c r="F5584" s="13">
        <v>412.31</v>
      </c>
      <c r="G5584" s="13"/>
    </row>
    <row r="5585" spans="1:7" hidden="1" x14ac:dyDescent="0.75">
      <c r="A5585" s="51">
        <v>44957</v>
      </c>
      <c r="B5585" s="52">
        <v>196</v>
      </c>
      <c r="C5585" s="8" t="s">
        <v>4763</v>
      </c>
      <c r="D5585" s="8" t="s">
        <v>544</v>
      </c>
      <c r="E5585" s="52">
        <v>1873</v>
      </c>
      <c r="F5585" s="13">
        <v>20.76</v>
      </c>
      <c r="G5585" s="13"/>
    </row>
    <row r="5586" spans="1:7" hidden="1" x14ac:dyDescent="0.75">
      <c r="A5586" s="51">
        <v>44957</v>
      </c>
      <c r="B5586" s="52">
        <v>198</v>
      </c>
      <c r="C5586" s="8" t="s">
        <v>4764</v>
      </c>
      <c r="D5586" s="8" t="s">
        <v>546</v>
      </c>
      <c r="E5586" s="52">
        <v>280</v>
      </c>
      <c r="F5586" s="13"/>
      <c r="G5586" s="13">
        <v>364.39</v>
      </c>
    </row>
    <row r="5587" spans="1:7" hidden="1" x14ac:dyDescent="0.75">
      <c r="A5587" s="51">
        <v>44957</v>
      </c>
      <c r="B5587" s="52">
        <v>198</v>
      </c>
      <c r="C5587" s="8" t="s">
        <v>4765</v>
      </c>
      <c r="D5587" s="8" t="s">
        <v>546</v>
      </c>
      <c r="E5587" s="52">
        <v>304</v>
      </c>
      <c r="F5587" s="13"/>
      <c r="G5587" s="13">
        <v>122.83</v>
      </c>
    </row>
    <row r="5588" spans="1:7" hidden="1" x14ac:dyDescent="0.75">
      <c r="A5588" s="51">
        <v>44957</v>
      </c>
      <c r="B5588" s="52">
        <v>198</v>
      </c>
      <c r="C5588" s="8" t="s">
        <v>4764</v>
      </c>
      <c r="D5588" s="8" t="s">
        <v>546</v>
      </c>
      <c r="E5588" s="52">
        <v>1874</v>
      </c>
      <c r="F5588" s="13"/>
      <c r="G5588" s="13">
        <v>391.74</v>
      </c>
    </row>
    <row r="5589" spans="1:7" hidden="1" x14ac:dyDescent="0.75">
      <c r="A5589" s="51">
        <v>44957</v>
      </c>
      <c r="B5589" s="52">
        <v>198</v>
      </c>
      <c r="C5589" s="8" t="s">
        <v>4758</v>
      </c>
      <c r="D5589" s="8" t="s">
        <v>546</v>
      </c>
      <c r="E5589" s="52">
        <v>566</v>
      </c>
      <c r="F5589" s="13"/>
      <c r="G5589" s="13">
        <v>275.8</v>
      </c>
    </row>
    <row r="5590" spans="1:7" hidden="1" x14ac:dyDescent="0.75">
      <c r="A5590" s="51">
        <v>44957</v>
      </c>
      <c r="B5590" s="52">
        <v>198</v>
      </c>
      <c r="C5590" s="8" t="s">
        <v>4732</v>
      </c>
      <c r="D5590" s="8" t="s">
        <v>546</v>
      </c>
      <c r="E5590" s="52">
        <v>192</v>
      </c>
      <c r="F5590" s="13">
        <v>160</v>
      </c>
      <c r="G5590" s="13"/>
    </row>
    <row r="5591" spans="1:7" hidden="1" x14ac:dyDescent="0.75">
      <c r="A5591" s="51">
        <v>44957</v>
      </c>
      <c r="B5591" s="52">
        <v>198</v>
      </c>
      <c r="C5591" s="8" t="s">
        <v>4732</v>
      </c>
      <c r="D5591" s="8" t="s">
        <v>546</v>
      </c>
      <c r="E5591" s="52">
        <v>192</v>
      </c>
      <c r="F5591" s="13">
        <v>223.59</v>
      </c>
      <c r="G5591" s="13"/>
    </row>
    <row r="5592" spans="1:7" hidden="1" x14ac:dyDescent="0.75">
      <c r="A5592" s="51">
        <v>44957</v>
      </c>
      <c r="B5592" s="52">
        <v>198</v>
      </c>
      <c r="C5592" s="8" t="s">
        <v>4766</v>
      </c>
      <c r="D5592" s="8" t="s">
        <v>546</v>
      </c>
      <c r="E5592" s="52">
        <v>280</v>
      </c>
      <c r="F5592" s="13">
        <v>160.96</v>
      </c>
      <c r="G5592" s="13"/>
    </row>
    <row r="5593" spans="1:7" hidden="1" x14ac:dyDescent="0.75">
      <c r="A5593" s="51">
        <v>44957</v>
      </c>
      <c r="B5593" s="52">
        <v>198</v>
      </c>
      <c r="C5593" s="8" t="s">
        <v>4766</v>
      </c>
      <c r="D5593" s="8" t="s">
        <v>546</v>
      </c>
      <c r="E5593" s="52">
        <v>1874</v>
      </c>
      <c r="F5593" s="13">
        <v>6.08</v>
      </c>
      <c r="G5593" s="13"/>
    </row>
    <row r="5594" spans="1:7" hidden="1" x14ac:dyDescent="0.75">
      <c r="A5594" s="51">
        <v>44957</v>
      </c>
      <c r="B5594" s="52">
        <v>195</v>
      </c>
      <c r="C5594" s="8" t="s">
        <v>1006</v>
      </c>
      <c r="D5594" s="8" t="s">
        <v>548</v>
      </c>
      <c r="E5594" s="52">
        <v>277</v>
      </c>
      <c r="F5594" s="13"/>
      <c r="G5594" s="13">
        <v>3380.48</v>
      </c>
    </row>
    <row r="5595" spans="1:7" hidden="1" x14ac:dyDescent="0.75">
      <c r="A5595" s="51">
        <v>44957</v>
      </c>
      <c r="B5595" s="52">
        <v>195</v>
      </c>
      <c r="C5595" s="8" t="s">
        <v>4767</v>
      </c>
      <c r="D5595" s="8" t="s">
        <v>548</v>
      </c>
      <c r="E5595" s="52">
        <v>301</v>
      </c>
      <c r="F5595" s="13"/>
      <c r="G5595" s="13">
        <v>1257.1099999999999</v>
      </c>
    </row>
    <row r="5596" spans="1:7" hidden="1" x14ac:dyDescent="0.75">
      <c r="A5596" s="51">
        <v>44957</v>
      </c>
      <c r="B5596" s="52">
        <v>195</v>
      </c>
      <c r="C5596" s="8" t="s">
        <v>1006</v>
      </c>
      <c r="D5596" s="8" t="s">
        <v>548</v>
      </c>
      <c r="E5596" s="52">
        <v>1871</v>
      </c>
      <c r="F5596" s="13"/>
      <c r="G5596" s="13">
        <v>3411.89</v>
      </c>
    </row>
    <row r="5597" spans="1:7" hidden="1" x14ac:dyDescent="0.75">
      <c r="A5597" s="51">
        <v>44957</v>
      </c>
      <c r="B5597" s="52">
        <v>195</v>
      </c>
      <c r="C5597" s="8" t="s">
        <v>4768</v>
      </c>
      <c r="D5597" s="8" t="s">
        <v>548</v>
      </c>
      <c r="E5597" s="52">
        <v>1871</v>
      </c>
      <c r="F5597" s="13"/>
      <c r="G5597" s="13">
        <v>1099.78</v>
      </c>
    </row>
    <row r="5598" spans="1:7" hidden="1" x14ac:dyDescent="0.75">
      <c r="A5598" s="51">
        <v>44957</v>
      </c>
      <c r="B5598" s="52">
        <v>195</v>
      </c>
      <c r="C5598" s="8" t="s">
        <v>4769</v>
      </c>
      <c r="D5598" s="8" t="s">
        <v>548</v>
      </c>
      <c r="E5598" s="52"/>
      <c r="F5598" s="13">
        <v>125</v>
      </c>
      <c r="G5598" s="13"/>
    </row>
    <row r="5599" spans="1:7" hidden="1" x14ac:dyDescent="0.75">
      <c r="A5599" s="51">
        <v>44957</v>
      </c>
      <c r="B5599" s="52">
        <v>195</v>
      </c>
      <c r="C5599" s="8" t="s">
        <v>4770</v>
      </c>
      <c r="D5599" s="8" t="s">
        <v>548</v>
      </c>
      <c r="E5599" s="52"/>
      <c r="F5599" s="13">
        <v>2.67</v>
      </c>
      <c r="G5599" s="13"/>
    </row>
    <row r="5600" spans="1:7" hidden="1" x14ac:dyDescent="0.75">
      <c r="A5600" s="51">
        <v>44957</v>
      </c>
      <c r="B5600" s="52">
        <v>197</v>
      </c>
      <c r="C5600" s="8" t="s">
        <v>1006</v>
      </c>
      <c r="D5600" s="8" t="s">
        <v>550</v>
      </c>
      <c r="E5600" s="52">
        <v>279</v>
      </c>
      <c r="F5600" s="13"/>
      <c r="G5600" s="13">
        <v>923.01</v>
      </c>
    </row>
    <row r="5601" spans="1:7" hidden="1" x14ac:dyDescent="0.75">
      <c r="A5601" s="51">
        <v>44957</v>
      </c>
      <c r="B5601" s="52">
        <v>197</v>
      </c>
      <c r="C5601" s="8" t="s">
        <v>1006</v>
      </c>
      <c r="D5601" s="8" t="s">
        <v>550</v>
      </c>
      <c r="E5601" s="52">
        <v>303</v>
      </c>
      <c r="F5601" s="13"/>
      <c r="G5601" s="13">
        <v>251.41</v>
      </c>
    </row>
    <row r="5602" spans="1:7" hidden="1" x14ac:dyDescent="0.75">
      <c r="A5602" s="51">
        <v>44957</v>
      </c>
      <c r="B5602" s="52">
        <v>197</v>
      </c>
      <c r="C5602" s="8" t="s">
        <v>1006</v>
      </c>
      <c r="D5602" s="8" t="s">
        <v>550</v>
      </c>
      <c r="E5602" s="52">
        <v>303</v>
      </c>
      <c r="F5602" s="13"/>
      <c r="G5602" s="13">
        <v>18.87</v>
      </c>
    </row>
    <row r="5603" spans="1:7" hidden="1" x14ac:dyDescent="0.75">
      <c r="A5603" s="51">
        <v>44957</v>
      </c>
      <c r="B5603" s="52">
        <v>197</v>
      </c>
      <c r="C5603" s="8" t="s">
        <v>1006</v>
      </c>
      <c r="D5603" s="8" t="s">
        <v>550</v>
      </c>
      <c r="E5603" s="52">
        <v>1873</v>
      </c>
      <c r="F5603" s="13"/>
      <c r="G5603" s="13">
        <v>931.63</v>
      </c>
    </row>
    <row r="5604" spans="1:7" hidden="1" x14ac:dyDescent="0.75">
      <c r="A5604" s="51">
        <v>44957</v>
      </c>
      <c r="B5604" s="52">
        <v>197</v>
      </c>
      <c r="C5604" s="8" t="s">
        <v>4747</v>
      </c>
      <c r="D5604" s="8" t="s">
        <v>550</v>
      </c>
      <c r="E5604" s="52">
        <v>1487</v>
      </c>
      <c r="F5604" s="13">
        <v>34.11</v>
      </c>
      <c r="G5604" s="13"/>
    </row>
    <row r="5605" spans="1:7" hidden="1" x14ac:dyDescent="0.75">
      <c r="A5605" s="51">
        <v>44957</v>
      </c>
      <c r="B5605" s="52">
        <v>199</v>
      </c>
      <c r="C5605" s="8" t="s">
        <v>1006</v>
      </c>
      <c r="D5605" s="8" t="s">
        <v>552</v>
      </c>
      <c r="E5605" s="52">
        <v>280</v>
      </c>
      <c r="F5605" s="13"/>
      <c r="G5605" s="13">
        <v>270.38</v>
      </c>
    </row>
    <row r="5606" spans="1:7" hidden="1" x14ac:dyDescent="0.75">
      <c r="A5606" s="51">
        <v>44957</v>
      </c>
      <c r="B5606" s="52">
        <v>199</v>
      </c>
      <c r="C5606" s="8" t="s">
        <v>1006</v>
      </c>
      <c r="D5606" s="8" t="s">
        <v>552</v>
      </c>
      <c r="E5606" s="52">
        <v>304</v>
      </c>
      <c r="F5606" s="13"/>
      <c r="G5606" s="13">
        <v>100.54</v>
      </c>
    </row>
    <row r="5607" spans="1:7" hidden="1" x14ac:dyDescent="0.75">
      <c r="A5607" s="51">
        <v>44957</v>
      </c>
      <c r="B5607" s="52">
        <v>199</v>
      </c>
      <c r="C5607" s="8" t="s">
        <v>1006</v>
      </c>
      <c r="D5607" s="8" t="s">
        <v>552</v>
      </c>
      <c r="E5607" s="52">
        <v>1874</v>
      </c>
      <c r="F5607" s="13"/>
      <c r="G5607" s="13">
        <v>272.87</v>
      </c>
    </row>
    <row r="5608" spans="1:7" hidden="1" x14ac:dyDescent="0.75">
      <c r="A5608" s="51">
        <v>44957</v>
      </c>
      <c r="B5608" s="52">
        <v>199</v>
      </c>
      <c r="C5608" s="8" t="s">
        <v>4733</v>
      </c>
      <c r="D5608" s="8" t="s">
        <v>552</v>
      </c>
      <c r="E5608" s="52">
        <v>192</v>
      </c>
      <c r="F5608" s="13">
        <v>10</v>
      </c>
      <c r="G5608" s="13"/>
    </row>
    <row r="5609" spans="1:7" hidden="1" x14ac:dyDescent="0.75">
      <c r="A5609" s="51">
        <v>44929</v>
      </c>
      <c r="B5609" s="52">
        <v>1621</v>
      </c>
      <c r="C5609" s="57" t="s">
        <v>1873</v>
      </c>
      <c r="D5609" s="8" t="s">
        <v>1288</v>
      </c>
      <c r="E5609" s="52">
        <v>1949</v>
      </c>
      <c r="F5609" s="13"/>
      <c r="G5609" s="13">
        <v>5826.4</v>
      </c>
    </row>
    <row r="5610" spans="1:7" hidden="1" x14ac:dyDescent="0.75">
      <c r="A5610" s="51">
        <v>44930</v>
      </c>
      <c r="B5610" s="52">
        <v>1621</v>
      </c>
      <c r="C5610" s="57" t="s">
        <v>1873</v>
      </c>
      <c r="D5610" s="8" t="s">
        <v>1288</v>
      </c>
      <c r="E5610" s="52">
        <v>1949</v>
      </c>
      <c r="F5610" s="13"/>
      <c r="G5610" s="13">
        <v>6053.9</v>
      </c>
    </row>
    <row r="5611" spans="1:7" hidden="1" x14ac:dyDescent="0.75">
      <c r="A5611" s="51">
        <v>44931</v>
      </c>
      <c r="B5611" s="52">
        <v>1621</v>
      </c>
      <c r="C5611" s="57" t="s">
        <v>1873</v>
      </c>
      <c r="D5611" s="8" t="s">
        <v>1288</v>
      </c>
      <c r="E5611" s="52">
        <v>1949</v>
      </c>
      <c r="F5611" s="13"/>
      <c r="G5611" s="13">
        <v>4676.1499999999996</v>
      </c>
    </row>
    <row r="5612" spans="1:7" hidden="1" x14ac:dyDescent="0.75">
      <c r="A5612" s="51">
        <v>44935</v>
      </c>
      <c r="B5612" s="52">
        <v>1621</v>
      </c>
      <c r="C5612" s="57" t="s">
        <v>1873</v>
      </c>
      <c r="D5612" s="8" t="s">
        <v>1288</v>
      </c>
      <c r="E5612" s="52">
        <v>1949</v>
      </c>
      <c r="F5612" s="13"/>
      <c r="G5612" s="13">
        <v>6702.89</v>
      </c>
    </row>
    <row r="5613" spans="1:7" hidden="1" x14ac:dyDescent="0.75">
      <c r="A5613" s="51">
        <v>44936</v>
      </c>
      <c r="B5613" s="52">
        <v>1621</v>
      </c>
      <c r="C5613" s="57" t="s">
        <v>1873</v>
      </c>
      <c r="D5613" s="8" t="s">
        <v>1288</v>
      </c>
      <c r="E5613" s="52">
        <v>1949</v>
      </c>
      <c r="F5613" s="13"/>
      <c r="G5613" s="13">
        <v>5067.59</v>
      </c>
    </row>
    <row r="5614" spans="1:7" hidden="1" x14ac:dyDescent="0.75">
      <c r="A5614" s="51">
        <v>44937</v>
      </c>
      <c r="B5614" s="52">
        <v>1621</v>
      </c>
      <c r="C5614" s="57" t="s">
        <v>1873</v>
      </c>
      <c r="D5614" s="8" t="s">
        <v>1288</v>
      </c>
      <c r="E5614" s="52">
        <v>1949</v>
      </c>
      <c r="F5614" s="13"/>
      <c r="G5614" s="13">
        <v>5141.01</v>
      </c>
    </row>
    <row r="5615" spans="1:7" hidden="1" x14ac:dyDescent="0.75">
      <c r="A5615" s="51">
        <v>44938</v>
      </c>
      <c r="B5615" s="52">
        <v>1621</v>
      </c>
      <c r="C5615" s="57" t="s">
        <v>1873</v>
      </c>
      <c r="D5615" s="8" t="s">
        <v>1288</v>
      </c>
      <c r="E5615" s="52">
        <v>1949</v>
      </c>
      <c r="F5615" s="13"/>
      <c r="G5615" s="13">
        <v>2075.6</v>
      </c>
    </row>
    <row r="5616" spans="1:7" hidden="1" x14ac:dyDescent="0.75">
      <c r="A5616" s="51">
        <v>44942</v>
      </c>
      <c r="B5616" s="52">
        <v>1621</v>
      </c>
      <c r="C5616" s="57" t="s">
        <v>1873</v>
      </c>
      <c r="D5616" s="8" t="s">
        <v>1288</v>
      </c>
      <c r="E5616" s="52">
        <v>1949</v>
      </c>
      <c r="F5616" s="13"/>
      <c r="G5616" s="13">
        <v>6606.09</v>
      </c>
    </row>
    <row r="5617" spans="1:7" hidden="1" x14ac:dyDescent="0.75">
      <c r="A5617" s="51">
        <v>44943</v>
      </c>
      <c r="B5617" s="52">
        <v>1621</v>
      </c>
      <c r="C5617" s="57" t="s">
        <v>1873</v>
      </c>
      <c r="D5617" s="8" t="s">
        <v>1288</v>
      </c>
      <c r="E5617" s="52">
        <v>1949</v>
      </c>
      <c r="F5617" s="13"/>
      <c r="G5617" s="13">
        <v>4415.4799999999996</v>
      </c>
    </row>
    <row r="5618" spans="1:7" hidden="1" x14ac:dyDescent="0.75">
      <c r="A5618" s="51">
        <v>44944</v>
      </c>
      <c r="B5618" s="52">
        <v>1621</v>
      </c>
      <c r="C5618" s="57" t="s">
        <v>1873</v>
      </c>
      <c r="D5618" s="8" t="s">
        <v>1288</v>
      </c>
      <c r="E5618" s="52">
        <v>1949</v>
      </c>
      <c r="F5618" s="13"/>
      <c r="G5618" s="13">
        <v>3307.69</v>
      </c>
    </row>
    <row r="5619" spans="1:7" hidden="1" x14ac:dyDescent="0.75">
      <c r="A5619" s="51">
        <v>44945</v>
      </c>
      <c r="B5619" s="52">
        <v>1621</v>
      </c>
      <c r="C5619" s="57" t="s">
        <v>1873</v>
      </c>
      <c r="D5619" s="8" t="s">
        <v>1288</v>
      </c>
      <c r="E5619" s="52">
        <v>1949</v>
      </c>
      <c r="F5619" s="13"/>
      <c r="G5619" s="13">
        <v>3224.75</v>
      </c>
    </row>
    <row r="5620" spans="1:7" hidden="1" x14ac:dyDescent="0.75">
      <c r="A5620" s="51">
        <v>44927</v>
      </c>
      <c r="B5620" s="52">
        <v>984</v>
      </c>
      <c r="C5620" s="8" t="s">
        <v>4572</v>
      </c>
      <c r="D5620" s="8" t="s">
        <v>883</v>
      </c>
      <c r="E5620" s="52">
        <v>680</v>
      </c>
      <c r="F5620" s="13"/>
      <c r="G5620" s="13">
        <v>1877.4</v>
      </c>
    </row>
    <row r="5621" spans="1:7" hidden="1" x14ac:dyDescent="0.75">
      <c r="A5621" s="51">
        <v>44927</v>
      </c>
      <c r="B5621" s="52">
        <v>1389</v>
      </c>
      <c r="C5621" s="8" t="s">
        <v>4571</v>
      </c>
      <c r="D5621" s="8" t="s">
        <v>885</v>
      </c>
      <c r="E5621" s="52">
        <v>679</v>
      </c>
      <c r="F5621" s="13"/>
      <c r="G5621" s="13">
        <v>875.2</v>
      </c>
    </row>
    <row r="5622" spans="1:7" hidden="1" x14ac:dyDescent="0.75">
      <c r="A5622" s="51">
        <v>44931</v>
      </c>
      <c r="B5622" s="52">
        <v>1313</v>
      </c>
      <c r="C5622" s="8" t="s">
        <v>1563</v>
      </c>
      <c r="D5622" s="8" t="s">
        <v>562</v>
      </c>
      <c r="E5622" s="52">
        <v>8</v>
      </c>
      <c r="F5622" s="13">
        <v>8000</v>
      </c>
      <c r="G5622" s="13"/>
    </row>
    <row r="5623" spans="1:7" hidden="1" x14ac:dyDescent="0.75">
      <c r="A5623" s="51">
        <v>44931</v>
      </c>
      <c r="B5623" s="52">
        <v>1313</v>
      </c>
      <c r="C5623" s="8" t="s">
        <v>1564</v>
      </c>
      <c r="D5623" s="8" t="s">
        <v>562</v>
      </c>
      <c r="E5623" s="52">
        <v>8</v>
      </c>
      <c r="F5623" s="13">
        <v>8000</v>
      </c>
      <c r="G5623" s="13"/>
    </row>
    <row r="5624" spans="1:7" hidden="1" x14ac:dyDescent="0.75">
      <c r="A5624" s="51">
        <v>44957</v>
      </c>
      <c r="B5624" s="52">
        <v>1313</v>
      </c>
      <c r="C5624" s="8" t="s">
        <v>1249</v>
      </c>
      <c r="D5624" s="8" t="s">
        <v>562</v>
      </c>
      <c r="E5624" s="52">
        <v>1314</v>
      </c>
      <c r="F5624" s="13"/>
      <c r="G5624" s="13">
        <v>16000</v>
      </c>
    </row>
    <row r="5625" spans="1:7" hidden="1" x14ac:dyDescent="0.75">
      <c r="A5625" s="51">
        <v>44928</v>
      </c>
      <c r="B5625" s="52">
        <v>1474</v>
      </c>
      <c r="C5625" s="8" t="s">
        <v>4771</v>
      </c>
      <c r="D5625" s="8" t="s">
        <v>1362</v>
      </c>
      <c r="E5625" s="52">
        <v>794</v>
      </c>
      <c r="F5625" s="13"/>
      <c r="G5625" s="13">
        <v>31.69</v>
      </c>
    </row>
    <row r="5626" spans="1:7" hidden="1" x14ac:dyDescent="0.75">
      <c r="A5626" s="51">
        <v>44928</v>
      </c>
      <c r="B5626" s="52">
        <v>1474</v>
      </c>
      <c r="C5626" s="8" t="s">
        <v>4700</v>
      </c>
      <c r="D5626" s="8" t="s">
        <v>1362</v>
      </c>
      <c r="E5626" s="52">
        <v>1799</v>
      </c>
      <c r="F5626" s="13"/>
      <c r="G5626" s="13">
        <v>340</v>
      </c>
    </row>
    <row r="5627" spans="1:7" hidden="1" x14ac:dyDescent="0.75">
      <c r="A5627" s="51">
        <v>44928</v>
      </c>
      <c r="B5627" s="52">
        <v>1474</v>
      </c>
      <c r="C5627" s="57" t="s">
        <v>4772</v>
      </c>
      <c r="D5627" s="8" t="s">
        <v>1362</v>
      </c>
      <c r="E5627" s="52">
        <v>677</v>
      </c>
      <c r="F5627" s="13"/>
      <c r="G5627" s="13">
        <v>247.3</v>
      </c>
    </row>
    <row r="5628" spans="1:7" hidden="1" x14ac:dyDescent="0.75">
      <c r="A5628" s="51">
        <v>44928</v>
      </c>
      <c r="B5628" s="52">
        <v>1474</v>
      </c>
      <c r="C5628" s="57" t="s">
        <v>4773</v>
      </c>
      <c r="D5628" s="8" t="s">
        <v>1362</v>
      </c>
      <c r="E5628" s="52">
        <v>677</v>
      </c>
      <c r="F5628" s="13"/>
      <c r="G5628" s="13">
        <v>252.5</v>
      </c>
    </row>
    <row r="5629" spans="1:7" hidden="1" x14ac:dyDescent="0.75">
      <c r="A5629" s="51">
        <v>44928</v>
      </c>
      <c r="B5629" s="52">
        <v>1474</v>
      </c>
      <c r="C5629" s="8" t="s">
        <v>4711</v>
      </c>
      <c r="D5629" s="8" t="s">
        <v>1362</v>
      </c>
      <c r="E5629" s="52">
        <v>1918</v>
      </c>
      <c r="F5629" s="13"/>
      <c r="G5629" s="13">
        <v>8.07</v>
      </c>
    </row>
    <row r="5630" spans="1:7" hidden="1" x14ac:dyDescent="0.75">
      <c r="A5630" s="51">
        <v>44928</v>
      </c>
      <c r="B5630" s="52">
        <v>1474</v>
      </c>
      <c r="C5630" s="8" t="s">
        <v>4712</v>
      </c>
      <c r="D5630" s="8" t="s">
        <v>1362</v>
      </c>
      <c r="E5630" s="52">
        <v>1918</v>
      </c>
      <c r="F5630" s="13"/>
      <c r="G5630" s="13">
        <v>41.57</v>
      </c>
    </row>
    <row r="5631" spans="1:7" hidden="1" x14ac:dyDescent="0.75">
      <c r="A5631" s="51">
        <v>44928</v>
      </c>
      <c r="B5631" s="52">
        <v>1474</v>
      </c>
      <c r="C5631" s="8" t="s">
        <v>4713</v>
      </c>
      <c r="D5631" s="8" t="s">
        <v>1362</v>
      </c>
      <c r="E5631" s="52">
        <v>1918</v>
      </c>
      <c r="F5631" s="13"/>
      <c r="G5631" s="13">
        <v>370.17</v>
      </c>
    </row>
    <row r="5632" spans="1:7" hidden="1" x14ac:dyDescent="0.75">
      <c r="A5632" s="51">
        <v>44928</v>
      </c>
      <c r="B5632" s="52">
        <v>1474</v>
      </c>
      <c r="C5632" s="8" t="s">
        <v>4585</v>
      </c>
      <c r="D5632" s="8" t="s">
        <v>1362</v>
      </c>
      <c r="E5632" s="52">
        <v>811</v>
      </c>
      <c r="F5632" s="13"/>
      <c r="G5632" s="13">
        <v>159.31</v>
      </c>
    </row>
    <row r="5633" spans="1:7" hidden="1" x14ac:dyDescent="0.75">
      <c r="A5633" s="51">
        <v>44928</v>
      </c>
      <c r="B5633" s="52">
        <v>1474</v>
      </c>
      <c r="C5633" s="8" t="s">
        <v>4586</v>
      </c>
      <c r="D5633" s="8" t="s">
        <v>1362</v>
      </c>
      <c r="E5633" s="52">
        <v>811</v>
      </c>
      <c r="F5633" s="13"/>
      <c r="G5633" s="13">
        <v>209.65</v>
      </c>
    </row>
    <row r="5634" spans="1:7" hidden="1" x14ac:dyDescent="0.75">
      <c r="A5634" s="51">
        <v>44928</v>
      </c>
      <c r="B5634" s="52">
        <v>1474</v>
      </c>
      <c r="C5634" s="8" t="s">
        <v>4681</v>
      </c>
      <c r="D5634" s="8" t="s">
        <v>1362</v>
      </c>
      <c r="E5634" s="52">
        <v>1394</v>
      </c>
      <c r="F5634" s="13"/>
      <c r="G5634" s="13">
        <v>1700</v>
      </c>
    </row>
    <row r="5635" spans="1:7" hidden="1" x14ac:dyDescent="0.75">
      <c r="A5635" s="51">
        <v>44928</v>
      </c>
      <c r="B5635" s="52">
        <v>1474</v>
      </c>
      <c r="C5635" s="8" t="s">
        <v>4774</v>
      </c>
      <c r="D5635" s="8" t="s">
        <v>1362</v>
      </c>
      <c r="E5635" s="52">
        <v>557</v>
      </c>
      <c r="F5635" s="13"/>
      <c r="G5635" s="13">
        <v>4</v>
      </c>
    </row>
    <row r="5636" spans="1:7" hidden="1" x14ac:dyDescent="0.75">
      <c r="A5636" s="51">
        <v>44928</v>
      </c>
      <c r="B5636" s="52">
        <v>1474</v>
      </c>
      <c r="C5636" s="8" t="s">
        <v>4775</v>
      </c>
      <c r="D5636" s="8" t="s">
        <v>1362</v>
      </c>
      <c r="E5636" s="52">
        <v>374</v>
      </c>
      <c r="F5636" s="13"/>
      <c r="G5636" s="13">
        <v>27.39</v>
      </c>
    </row>
    <row r="5637" spans="1:7" hidden="1" x14ac:dyDescent="0.75">
      <c r="A5637" s="51">
        <v>44928</v>
      </c>
      <c r="B5637" s="52">
        <v>1474</v>
      </c>
      <c r="C5637" s="8" t="s">
        <v>4776</v>
      </c>
      <c r="D5637" s="8" t="s">
        <v>1362</v>
      </c>
      <c r="E5637" s="52">
        <v>664</v>
      </c>
      <c r="F5637" s="13"/>
      <c r="G5637" s="13">
        <v>429.46</v>
      </c>
    </row>
    <row r="5638" spans="1:7" hidden="1" x14ac:dyDescent="0.75">
      <c r="A5638" s="51">
        <v>44928</v>
      </c>
      <c r="B5638" s="52">
        <v>1474</v>
      </c>
      <c r="C5638" s="8" t="s">
        <v>4684</v>
      </c>
      <c r="D5638" s="8" t="s">
        <v>1362</v>
      </c>
      <c r="E5638" s="52">
        <v>1458</v>
      </c>
      <c r="F5638" s="13"/>
      <c r="G5638" s="13">
        <v>1338.2</v>
      </c>
    </row>
    <row r="5639" spans="1:7" hidden="1" x14ac:dyDescent="0.75">
      <c r="A5639" s="51">
        <v>44928</v>
      </c>
      <c r="B5639" s="52">
        <v>1474</v>
      </c>
      <c r="C5639" s="8" t="s">
        <v>4717</v>
      </c>
      <c r="D5639" s="8" t="s">
        <v>1362</v>
      </c>
      <c r="E5639" s="52">
        <v>1961</v>
      </c>
      <c r="F5639" s="13"/>
      <c r="G5639" s="13">
        <v>1648.51</v>
      </c>
    </row>
    <row r="5640" spans="1:7" hidden="1" x14ac:dyDescent="0.75">
      <c r="A5640" s="51">
        <v>44928</v>
      </c>
      <c r="B5640" s="52">
        <v>1474</v>
      </c>
      <c r="C5640" s="8" t="s">
        <v>4718</v>
      </c>
      <c r="D5640" s="8" t="s">
        <v>1362</v>
      </c>
      <c r="E5640" s="52">
        <v>1961</v>
      </c>
      <c r="F5640" s="13"/>
      <c r="G5640" s="13">
        <v>972.48</v>
      </c>
    </row>
    <row r="5641" spans="1:7" hidden="1" x14ac:dyDescent="0.75">
      <c r="A5641" s="51">
        <v>44928</v>
      </c>
      <c r="B5641" s="52">
        <v>1474</v>
      </c>
      <c r="C5641" s="57" t="s">
        <v>4777</v>
      </c>
      <c r="D5641" s="8" t="s">
        <v>1362</v>
      </c>
      <c r="E5641" s="52">
        <v>677</v>
      </c>
      <c r="F5641" s="13"/>
      <c r="G5641" s="13">
        <v>171.63</v>
      </c>
    </row>
    <row r="5642" spans="1:7" hidden="1" x14ac:dyDescent="0.75">
      <c r="A5642" s="51">
        <v>44928</v>
      </c>
      <c r="B5642" s="52">
        <v>1474</v>
      </c>
      <c r="C5642" s="57" t="s">
        <v>4778</v>
      </c>
      <c r="D5642" s="8" t="s">
        <v>1362</v>
      </c>
      <c r="E5642" s="52">
        <v>1283</v>
      </c>
      <c r="F5642" s="13"/>
      <c r="G5642" s="13">
        <v>154.99</v>
      </c>
    </row>
    <row r="5643" spans="1:7" hidden="1" x14ac:dyDescent="0.75">
      <c r="A5643" s="51">
        <v>44928</v>
      </c>
      <c r="B5643" s="52">
        <v>1474</v>
      </c>
      <c r="C5643" s="57" t="s">
        <v>4779</v>
      </c>
      <c r="D5643" s="8" t="s">
        <v>1362</v>
      </c>
      <c r="E5643" s="52">
        <v>677</v>
      </c>
      <c r="F5643" s="13"/>
      <c r="G5643" s="13">
        <v>200.56</v>
      </c>
    </row>
    <row r="5644" spans="1:7" hidden="1" x14ac:dyDescent="0.75">
      <c r="A5644" s="51">
        <v>44928</v>
      </c>
      <c r="B5644" s="52">
        <v>1474</v>
      </c>
      <c r="C5644" s="57" t="s">
        <v>4780</v>
      </c>
      <c r="D5644" s="8" t="s">
        <v>1362</v>
      </c>
      <c r="E5644" s="52">
        <v>1283</v>
      </c>
      <c r="F5644" s="13"/>
      <c r="G5644" s="13">
        <v>113.28</v>
      </c>
    </row>
    <row r="5645" spans="1:7" hidden="1" x14ac:dyDescent="0.75">
      <c r="A5645" s="51">
        <v>44928</v>
      </c>
      <c r="B5645" s="52">
        <v>1474</v>
      </c>
      <c r="C5645" s="57" t="s">
        <v>4781</v>
      </c>
      <c r="D5645" s="8" t="s">
        <v>1362</v>
      </c>
      <c r="E5645" s="52">
        <v>677</v>
      </c>
      <c r="F5645" s="13"/>
      <c r="G5645" s="13">
        <v>100</v>
      </c>
    </row>
    <row r="5646" spans="1:7" hidden="1" x14ac:dyDescent="0.75">
      <c r="A5646" s="51">
        <v>44928</v>
      </c>
      <c r="B5646" s="52">
        <v>1474</v>
      </c>
      <c r="C5646" s="57" t="s">
        <v>4782</v>
      </c>
      <c r="D5646" s="8" t="s">
        <v>1362</v>
      </c>
      <c r="E5646" s="52">
        <v>677</v>
      </c>
      <c r="F5646" s="13"/>
      <c r="G5646" s="13">
        <v>200</v>
      </c>
    </row>
    <row r="5647" spans="1:7" hidden="1" x14ac:dyDescent="0.75">
      <c r="A5647" s="51">
        <v>44928</v>
      </c>
      <c r="B5647" s="52">
        <v>1474</v>
      </c>
      <c r="C5647" s="57" t="s">
        <v>4783</v>
      </c>
      <c r="D5647" s="8" t="s">
        <v>1362</v>
      </c>
      <c r="E5647" s="52">
        <v>1283</v>
      </c>
      <c r="F5647" s="13"/>
      <c r="G5647" s="13">
        <v>145.62</v>
      </c>
    </row>
    <row r="5648" spans="1:7" hidden="1" x14ac:dyDescent="0.75">
      <c r="A5648" s="51">
        <v>44928</v>
      </c>
      <c r="B5648" s="52">
        <v>1474</v>
      </c>
      <c r="C5648" s="8" t="s">
        <v>1527</v>
      </c>
      <c r="D5648" s="8" t="s">
        <v>1362</v>
      </c>
      <c r="E5648" s="52">
        <v>8</v>
      </c>
      <c r="F5648" s="13">
        <v>371.69</v>
      </c>
      <c r="G5648" s="13"/>
    </row>
    <row r="5649" spans="1:7" hidden="1" x14ac:dyDescent="0.75">
      <c r="A5649" s="51">
        <v>44928</v>
      </c>
      <c r="B5649" s="52">
        <v>1474</v>
      </c>
      <c r="C5649" s="8" t="s">
        <v>1527</v>
      </c>
      <c r="D5649" s="8" t="s">
        <v>1362</v>
      </c>
      <c r="E5649" s="52">
        <v>8</v>
      </c>
      <c r="F5649" s="13">
        <v>499.8</v>
      </c>
      <c r="G5649" s="13"/>
    </row>
    <row r="5650" spans="1:7" hidden="1" x14ac:dyDescent="0.75">
      <c r="A5650" s="51">
        <v>44928</v>
      </c>
      <c r="B5650" s="52">
        <v>1474</v>
      </c>
      <c r="C5650" s="8" t="s">
        <v>1527</v>
      </c>
      <c r="D5650" s="8" t="s">
        <v>1362</v>
      </c>
      <c r="E5650" s="52">
        <v>8</v>
      </c>
      <c r="F5650" s="13">
        <v>2949.62</v>
      </c>
      <c r="G5650" s="13"/>
    </row>
    <row r="5651" spans="1:7" hidden="1" x14ac:dyDescent="0.75">
      <c r="A5651" s="51">
        <v>44928</v>
      </c>
      <c r="B5651" s="52">
        <v>1474</v>
      </c>
      <c r="C5651" s="8" t="s">
        <v>1527</v>
      </c>
      <c r="D5651" s="8" t="s">
        <v>1362</v>
      </c>
      <c r="E5651" s="52">
        <v>8</v>
      </c>
      <c r="F5651" s="13">
        <v>5045.2700000000004</v>
      </c>
      <c r="G5651" s="13"/>
    </row>
    <row r="5652" spans="1:7" hidden="1" x14ac:dyDescent="0.75">
      <c r="A5652" s="51">
        <v>44942</v>
      </c>
      <c r="B5652" s="52">
        <v>1378</v>
      </c>
      <c r="C5652" s="8" t="s">
        <v>1707</v>
      </c>
      <c r="D5652" s="8" t="s">
        <v>566</v>
      </c>
      <c r="E5652" s="52">
        <v>8</v>
      </c>
      <c r="F5652" s="13">
        <v>3879.68</v>
      </c>
      <c r="G5652" s="13"/>
    </row>
    <row r="5653" spans="1:7" hidden="1" x14ac:dyDescent="0.75">
      <c r="A5653" s="51">
        <v>44957</v>
      </c>
      <c r="B5653" s="52">
        <v>1378</v>
      </c>
      <c r="C5653" s="8" t="s">
        <v>4784</v>
      </c>
      <c r="D5653" s="8" t="s">
        <v>566</v>
      </c>
      <c r="E5653" s="52">
        <v>354</v>
      </c>
      <c r="F5653" s="13"/>
      <c r="G5653" s="13">
        <v>3486.66</v>
      </c>
    </row>
    <row r="5654" spans="1:7" hidden="1" x14ac:dyDescent="0.75">
      <c r="A5654" s="51">
        <v>44942</v>
      </c>
      <c r="B5654" s="52">
        <v>1379</v>
      </c>
      <c r="C5654" s="8" t="s">
        <v>1684</v>
      </c>
      <c r="D5654" s="8" t="s">
        <v>568</v>
      </c>
      <c r="E5654" s="52">
        <v>8</v>
      </c>
      <c r="F5654" s="13">
        <v>1105.4000000000001</v>
      </c>
      <c r="G5654" s="13"/>
    </row>
    <row r="5655" spans="1:7" hidden="1" x14ac:dyDescent="0.75">
      <c r="A5655" s="51">
        <v>44957</v>
      </c>
      <c r="B5655" s="52">
        <v>1379</v>
      </c>
      <c r="C5655" s="8" t="s">
        <v>4785</v>
      </c>
      <c r="D5655" s="8" t="s">
        <v>568</v>
      </c>
      <c r="E5655" s="52">
        <v>355</v>
      </c>
      <c r="F5655" s="13"/>
      <c r="G5655" s="13">
        <v>1945.01</v>
      </c>
    </row>
    <row r="5656" spans="1:7" hidden="1" x14ac:dyDescent="0.75">
      <c r="A5656" s="51">
        <v>44927</v>
      </c>
      <c r="B5656" s="52">
        <v>1984</v>
      </c>
      <c r="C5656" s="8" t="s">
        <v>4575</v>
      </c>
      <c r="D5656" s="8" t="s">
        <v>1364</v>
      </c>
      <c r="E5656" s="52">
        <v>155</v>
      </c>
      <c r="F5656" s="13"/>
      <c r="G5656" s="13">
        <v>42857.14</v>
      </c>
    </row>
    <row r="5657" spans="1:7" hidden="1" x14ac:dyDescent="0.75">
      <c r="A5657" s="51">
        <v>44927</v>
      </c>
      <c r="B5657" s="52">
        <v>1985</v>
      </c>
      <c r="C5657" s="8" t="s">
        <v>4575</v>
      </c>
      <c r="D5657" s="8" t="s">
        <v>1342</v>
      </c>
      <c r="E5657" s="52">
        <v>1457</v>
      </c>
      <c r="F5657" s="13">
        <v>1686.14</v>
      </c>
      <c r="G5657" s="13"/>
    </row>
    <row r="5658" spans="1:7" x14ac:dyDescent="0.75">
      <c r="A5658" s="51">
        <v>44939</v>
      </c>
      <c r="B5658" s="52">
        <v>828</v>
      </c>
      <c r="C5658" s="8" t="s">
        <v>1675</v>
      </c>
      <c r="D5658" s="8" t="s">
        <v>590</v>
      </c>
      <c r="E5658" s="52">
        <v>8</v>
      </c>
      <c r="F5658" s="13">
        <v>3000</v>
      </c>
      <c r="G5658" s="13"/>
    </row>
    <row r="5659" spans="1:7" x14ac:dyDescent="0.75">
      <c r="A5659" s="51">
        <v>44939</v>
      </c>
      <c r="B5659" s="52">
        <v>828</v>
      </c>
      <c r="C5659" s="8" t="s">
        <v>1676</v>
      </c>
      <c r="D5659" s="8" t="s">
        <v>590</v>
      </c>
      <c r="E5659" s="52">
        <v>8</v>
      </c>
      <c r="F5659" s="13">
        <v>2100</v>
      </c>
      <c r="G5659" s="13"/>
    </row>
    <row r="5660" spans="1:7" x14ac:dyDescent="0.75">
      <c r="A5660" s="51">
        <v>44939</v>
      </c>
      <c r="B5660" s="52">
        <v>828</v>
      </c>
      <c r="C5660" s="8" t="s">
        <v>1677</v>
      </c>
      <c r="D5660" s="8" t="s">
        <v>590</v>
      </c>
      <c r="E5660" s="52">
        <v>8</v>
      </c>
      <c r="F5660" s="13">
        <v>900</v>
      </c>
      <c r="G5660" s="13"/>
    </row>
    <row r="5661" spans="1:7" x14ac:dyDescent="0.75">
      <c r="A5661" s="51">
        <v>44942</v>
      </c>
      <c r="B5661" s="52">
        <v>828</v>
      </c>
      <c r="C5661" s="8" t="s">
        <v>1705</v>
      </c>
      <c r="D5661" s="8" t="s">
        <v>590</v>
      </c>
      <c r="E5661" s="52">
        <v>8</v>
      </c>
      <c r="F5661" s="13">
        <v>3000</v>
      </c>
      <c r="G5661" s="13"/>
    </row>
    <row r="5662" spans="1:7" x14ac:dyDescent="0.75">
      <c r="A5662" s="51">
        <v>44942</v>
      </c>
      <c r="B5662" s="52">
        <v>828</v>
      </c>
      <c r="C5662" s="8" t="s">
        <v>1706</v>
      </c>
      <c r="D5662" s="8" t="s">
        <v>590</v>
      </c>
      <c r="E5662" s="52">
        <v>8</v>
      </c>
      <c r="F5662" s="13">
        <v>1000</v>
      </c>
      <c r="G5662" s="13"/>
    </row>
    <row r="5663" spans="1:7" x14ac:dyDescent="0.75">
      <c r="A5663" s="51">
        <v>44952</v>
      </c>
      <c r="B5663" s="52">
        <v>828</v>
      </c>
      <c r="C5663" s="8" t="s">
        <v>1805</v>
      </c>
      <c r="D5663" s="8" t="s">
        <v>590</v>
      </c>
      <c r="E5663" s="52">
        <v>8</v>
      </c>
      <c r="F5663" s="13">
        <v>3000</v>
      </c>
      <c r="G5663" s="13"/>
    </row>
    <row r="5664" spans="1:7" x14ac:dyDescent="0.75">
      <c r="A5664" s="51">
        <v>44952</v>
      </c>
      <c r="B5664" s="52">
        <v>828</v>
      </c>
      <c r="C5664" s="8" t="s">
        <v>1806</v>
      </c>
      <c r="D5664" s="8" t="s">
        <v>590</v>
      </c>
      <c r="E5664" s="52">
        <v>8</v>
      </c>
      <c r="F5664" s="13">
        <v>3000</v>
      </c>
      <c r="G5664" s="13"/>
    </row>
    <row r="5665" spans="1:7" x14ac:dyDescent="0.75">
      <c r="A5665" s="51">
        <v>44953</v>
      </c>
      <c r="B5665" s="52">
        <v>828</v>
      </c>
      <c r="C5665" s="8" t="s">
        <v>1821</v>
      </c>
      <c r="D5665" s="8" t="s">
        <v>590</v>
      </c>
      <c r="E5665" s="52">
        <v>8</v>
      </c>
      <c r="F5665" s="13">
        <v>2000</v>
      </c>
      <c r="G5665" s="13"/>
    </row>
    <row r="5666" spans="1:7" x14ac:dyDescent="0.75">
      <c r="A5666" s="51">
        <v>44953</v>
      </c>
      <c r="B5666" s="52">
        <v>828</v>
      </c>
      <c r="C5666" s="8" t="s">
        <v>1822</v>
      </c>
      <c r="D5666" s="8" t="s">
        <v>590</v>
      </c>
      <c r="E5666" s="52">
        <v>8</v>
      </c>
      <c r="F5666" s="13">
        <v>2000</v>
      </c>
      <c r="G5666" s="13"/>
    </row>
    <row r="5667" spans="1:7" hidden="1" x14ac:dyDescent="0.75">
      <c r="A5667" s="51">
        <v>44957</v>
      </c>
      <c r="B5667" s="52">
        <v>274</v>
      </c>
      <c r="C5667" s="8" t="s">
        <v>4786</v>
      </c>
      <c r="D5667" s="8" t="s">
        <v>606</v>
      </c>
      <c r="E5667" s="52"/>
      <c r="F5667" s="13">
        <v>33352.94</v>
      </c>
      <c r="G5667" s="13"/>
    </row>
    <row r="5668" spans="1:7" hidden="1" x14ac:dyDescent="0.75">
      <c r="A5668" s="51">
        <v>44957</v>
      </c>
      <c r="B5668" s="52">
        <v>274</v>
      </c>
      <c r="C5668" s="8" t="s">
        <v>4787</v>
      </c>
      <c r="D5668" s="8" t="s">
        <v>606</v>
      </c>
      <c r="E5668" s="52">
        <v>274</v>
      </c>
      <c r="F5668" s="13">
        <v>1295.5999999999999</v>
      </c>
      <c r="G5668" s="13"/>
    </row>
    <row r="5669" spans="1:7" hidden="1" x14ac:dyDescent="0.75">
      <c r="A5669" s="51">
        <v>44957</v>
      </c>
      <c r="B5669" s="52">
        <v>274</v>
      </c>
      <c r="C5669" s="8" t="s">
        <v>4786</v>
      </c>
      <c r="D5669" s="8" t="s">
        <v>606</v>
      </c>
      <c r="E5669" s="52"/>
      <c r="F5669" s="13">
        <v>1350</v>
      </c>
      <c r="G5669" s="13"/>
    </row>
    <row r="5670" spans="1:7" hidden="1" x14ac:dyDescent="0.75">
      <c r="A5670" s="51">
        <v>44957</v>
      </c>
      <c r="B5670" s="52">
        <v>274</v>
      </c>
      <c r="C5670" s="8" t="s">
        <v>4788</v>
      </c>
      <c r="D5670" s="8" t="s">
        <v>606</v>
      </c>
      <c r="E5670" s="52"/>
      <c r="F5670" s="13"/>
      <c r="G5670" s="13">
        <v>452</v>
      </c>
    </row>
    <row r="5671" spans="1:7" hidden="1" x14ac:dyDescent="0.75">
      <c r="A5671" s="51">
        <v>44957</v>
      </c>
      <c r="B5671" s="52">
        <v>274</v>
      </c>
      <c r="C5671" s="8" t="s">
        <v>4787</v>
      </c>
      <c r="D5671" s="8" t="s">
        <v>606</v>
      </c>
      <c r="E5671" s="52">
        <v>274</v>
      </c>
      <c r="F5671" s="13"/>
      <c r="G5671" s="13">
        <v>1295.5999999999999</v>
      </c>
    </row>
    <row r="5672" spans="1:7" hidden="1" x14ac:dyDescent="0.75">
      <c r="A5672" s="51">
        <v>44927</v>
      </c>
      <c r="B5672" s="52">
        <v>276</v>
      </c>
      <c r="C5672" s="8" t="s">
        <v>3719</v>
      </c>
      <c r="D5672" s="8" t="s">
        <v>608</v>
      </c>
      <c r="E5672" s="52">
        <v>1967</v>
      </c>
      <c r="F5672" s="13">
        <v>1700</v>
      </c>
      <c r="G5672" s="13"/>
    </row>
    <row r="5673" spans="1:7" hidden="1" x14ac:dyDescent="0.75">
      <c r="A5673" s="51">
        <v>44957</v>
      </c>
      <c r="B5673" s="52">
        <v>276</v>
      </c>
      <c r="C5673" s="8" t="s">
        <v>4789</v>
      </c>
      <c r="D5673" s="8" t="s">
        <v>608</v>
      </c>
      <c r="E5673" s="52"/>
      <c r="F5673" s="13">
        <v>1200</v>
      </c>
      <c r="G5673" s="13"/>
    </row>
    <row r="5674" spans="1:7" hidden="1" x14ac:dyDescent="0.75">
      <c r="A5674" s="51">
        <v>44957</v>
      </c>
      <c r="B5674" s="52">
        <v>277</v>
      </c>
      <c r="C5674" s="8" t="s">
        <v>1006</v>
      </c>
      <c r="D5674" s="8" t="s">
        <v>610</v>
      </c>
      <c r="E5674" s="52">
        <v>195</v>
      </c>
      <c r="F5674" s="13">
        <v>3380.48</v>
      </c>
      <c r="G5674" s="13"/>
    </row>
    <row r="5675" spans="1:7" hidden="1" x14ac:dyDescent="0.75">
      <c r="A5675" s="51">
        <v>44957</v>
      </c>
      <c r="B5675" s="52">
        <v>278</v>
      </c>
      <c r="C5675" s="8" t="s">
        <v>4756</v>
      </c>
      <c r="D5675" s="8" t="s">
        <v>612</v>
      </c>
      <c r="E5675" s="52">
        <v>194</v>
      </c>
      <c r="F5675" s="13">
        <v>4554.82</v>
      </c>
      <c r="G5675" s="13"/>
    </row>
    <row r="5676" spans="1:7" hidden="1" x14ac:dyDescent="0.75">
      <c r="A5676" s="51">
        <v>44957</v>
      </c>
      <c r="B5676" s="52">
        <v>278</v>
      </c>
      <c r="C5676" s="8" t="s">
        <v>4760</v>
      </c>
      <c r="D5676" s="8" t="s">
        <v>612</v>
      </c>
      <c r="E5676" s="52">
        <v>194</v>
      </c>
      <c r="F5676" s="13"/>
      <c r="G5676" s="13">
        <v>10.210000000000001</v>
      </c>
    </row>
    <row r="5677" spans="1:7" hidden="1" x14ac:dyDescent="0.75">
      <c r="A5677" s="51">
        <v>44957</v>
      </c>
      <c r="B5677" s="52">
        <v>279</v>
      </c>
      <c r="C5677" s="8" t="s">
        <v>4743</v>
      </c>
      <c r="D5677" s="8" t="s">
        <v>970</v>
      </c>
      <c r="E5677" s="52">
        <v>1487</v>
      </c>
      <c r="F5677" s="13">
        <v>7815.07</v>
      </c>
      <c r="G5677" s="13"/>
    </row>
    <row r="5678" spans="1:7" hidden="1" x14ac:dyDescent="0.75">
      <c r="A5678" s="51">
        <v>44957</v>
      </c>
      <c r="B5678" s="52">
        <v>279</v>
      </c>
      <c r="C5678" s="8" t="s">
        <v>4744</v>
      </c>
      <c r="D5678" s="8" t="s">
        <v>970</v>
      </c>
      <c r="E5678" s="52">
        <v>1487</v>
      </c>
      <c r="F5678" s="13">
        <v>2266.36</v>
      </c>
      <c r="G5678" s="13"/>
    </row>
    <row r="5679" spans="1:7" hidden="1" x14ac:dyDescent="0.75">
      <c r="A5679" s="51">
        <v>44957</v>
      </c>
      <c r="B5679" s="52">
        <v>279</v>
      </c>
      <c r="C5679" s="8" t="s">
        <v>4745</v>
      </c>
      <c r="D5679" s="8" t="s">
        <v>970</v>
      </c>
      <c r="E5679" s="52">
        <v>1487</v>
      </c>
      <c r="F5679" s="13">
        <v>586.13</v>
      </c>
      <c r="G5679" s="13"/>
    </row>
    <row r="5680" spans="1:7" hidden="1" x14ac:dyDescent="0.75">
      <c r="A5680" s="51">
        <v>44957</v>
      </c>
      <c r="B5680" s="52">
        <v>279</v>
      </c>
      <c r="C5680" s="8" t="s">
        <v>4761</v>
      </c>
      <c r="D5680" s="8" t="s">
        <v>970</v>
      </c>
      <c r="E5680" s="52">
        <v>196</v>
      </c>
      <c r="F5680" s="13">
        <v>1243.56</v>
      </c>
      <c r="G5680" s="13"/>
    </row>
    <row r="5681" spans="1:7" hidden="1" x14ac:dyDescent="0.75">
      <c r="A5681" s="51">
        <v>44957</v>
      </c>
      <c r="B5681" s="52">
        <v>279</v>
      </c>
      <c r="C5681" s="8" t="s">
        <v>1006</v>
      </c>
      <c r="D5681" s="8" t="s">
        <v>970</v>
      </c>
      <c r="E5681" s="52">
        <v>197</v>
      </c>
      <c r="F5681" s="13">
        <v>923.01</v>
      </c>
      <c r="G5681" s="13"/>
    </row>
    <row r="5682" spans="1:7" hidden="1" x14ac:dyDescent="0.75">
      <c r="A5682" s="51">
        <v>44957</v>
      </c>
      <c r="B5682" s="52">
        <v>279</v>
      </c>
      <c r="C5682" s="8" t="s">
        <v>4763</v>
      </c>
      <c r="D5682" s="8" t="s">
        <v>970</v>
      </c>
      <c r="E5682" s="52">
        <v>196</v>
      </c>
      <c r="F5682" s="13"/>
      <c r="G5682" s="13">
        <v>412.31</v>
      </c>
    </row>
    <row r="5683" spans="1:7" hidden="1" x14ac:dyDescent="0.75">
      <c r="A5683" s="51">
        <v>44957</v>
      </c>
      <c r="B5683" s="52">
        <v>279</v>
      </c>
      <c r="C5683" s="8" t="s">
        <v>4790</v>
      </c>
      <c r="D5683" s="8" t="s">
        <v>970</v>
      </c>
      <c r="E5683" s="52"/>
      <c r="F5683" s="13"/>
      <c r="G5683" s="13">
        <v>1717.55</v>
      </c>
    </row>
    <row r="5684" spans="1:7" hidden="1" x14ac:dyDescent="0.75">
      <c r="A5684" s="51">
        <v>44957</v>
      </c>
      <c r="B5684" s="52">
        <v>279</v>
      </c>
      <c r="C5684" s="8" t="s">
        <v>4790</v>
      </c>
      <c r="D5684" s="8" t="s">
        <v>970</v>
      </c>
      <c r="E5684" s="52">
        <v>567</v>
      </c>
      <c r="F5684" s="13"/>
      <c r="G5684" s="13">
        <v>429.16</v>
      </c>
    </row>
    <row r="5685" spans="1:7" hidden="1" x14ac:dyDescent="0.75">
      <c r="A5685" s="51">
        <v>44957</v>
      </c>
      <c r="B5685" s="52">
        <v>280</v>
      </c>
      <c r="C5685" s="8" t="s">
        <v>4731</v>
      </c>
      <c r="D5685" s="8" t="s">
        <v>615</v>
      </c>
      <c r="E5685" s="52">
        <v>192</v>
      </c>
      <c r="F5685" s="13">
        <v>3009.2</v>
      </c>
      <c r="G5685" s="13"/>
    </row>
    <row r="5686" spans="1:7" hidden="1" x14ac:dyDescent="0.75">
      <c r="A5686" s="51">
        <v>44957</v>
      </c>
      <c r="B5686" s="52">
        <v>280</v>
      </c>
      <c r="C5686" s="8" t="s">
        <v>4764</v>
      </c>
      <c r="D5686" s="8" t="s">
        <v>615</v>
      </c>
      <c r="E5686" s="52">
        <v>198</v>
      </c>
      <c r="F5686" s="13">
        <v>364.39</v>
      </c>
      <c r="G5686" s="13"/>
    </row>
    <row r="5687" spans="1:7" hidden="1" x14ac:dyDescent="0.75">
      <c r="A5687" s="51">
        <v>44957</v>
      </c>
      <c r="B5687" s="52">
        <v>280</v>
      </c>
      <c r="C5687" s="8" t="s">
        <v>1006</v>
      </c>
      <c r="D5687" s="8" t="s">
        <v>615</v>
      </c>
      <c r="E5687" s="52">
        <v>199</v>
      </c>
      <c r="F5687" s="13">
        <v>270.38</v>
      </c>
      <c r="G5687" s="13"/>
    </row>
    <row r="5688" spans="1:7" hidden="1" x14ac:dyDescent="0.75">
      <c r="A5688" s="51">
        <v>44957</v>
      </c>
      <c r="B5688" s="52">
        <v>280</v>
      </c>
      <c r="C5688" s="8" t="s">
        <v>4766</v>
      </c>
      <c r="D5688" s="8" t="s">
        <v>615</v>
      </c>
      <c r="E5688" s="52">
        <v>198</v>
      </c>
      <c r="F5688" s="13"/>
      <c r="G5688" s="13">
        <v>160.96</v>
      </c>
    </row>
    <row r="5689" spans="1:7" hidden="1" x14ac:dyDescent="0.75">
      <c r="A5689" s="51">
        <v>44957</v>
      </c>
      <c r="B5689" s="52">
        <v>281</v>
      </c>
      <c r="C5689" s="8" t="s">
        <v>4791</v>
      </c>
      <c r="D5689" s="8" t="s">
        <v>617</v>
      </c>
      <c r="E5689" s="52"/>
      <c r="F5689" s="13">
        <v>300</v>
      </c>
      <c r="G5689" s="13"/>
    </row>
    <row r="5690" spans="1:7" hidden="1" x14ac:dyDescent="0.75">
      <c r="A5690" s="51">
        <v>44957</v>
      </c>
      <c r="B5690" s="52">
        <v>281</v>
      </c>
      <c r="C5690" s="8" t="s">
        <v>4734</v>
      </c>
      <c r="D5690" s="8" t="s">
        <v>617</v>
      </c>
      <c r="E5690" s="52">
        <v>192</v>
      </c>
      <c r="F5690" s="13">
        <v>140.79</v>
      </c>
      <c r="G5690" s="13"/>
    </row>
    <row r="5691" spans="1:7" hidden="1" x14ac:dyDescent="0.75">
      <c r="A5691" s="51">
        <v>44957</v>
      </c>
      <c r="B5691" s="52">
        <v>281</v>
      </c>
      <c r="C5691" s="8" t="s">
        <v>4735</v>
      </c>
      <c r="D5691" s="8" t="s">
        <v>617</v>
      </c>
      <c r="E5691" s="52">
        <v>192</v>
      </c>
      <c r="F5691" s="13">
        <v>1564.67</v>
      </c>
      <c r="G5691" s="13"/>
    </row>
    <row r="5692" spans="1:7" hidden="1" x14ac:dyDescent="0.75">
      <c r="A5692" s="51">
        <v>44932</v>
      </c>
      <c r="B5692" s="52">
        <v>282</v>
      </c>
      <c r="C5692" s="8" t="s">
        <v>4587</v>
      </c>
      <c r="D5692" s="8" t="s">
        <v>619</v>
      </c>
      <c r="E5692" s="52"/>
      <c r="F5692" s="13">
        <v>209.13</v>
      </c>
      <c r="G5692" s="13"/>
    </row>
    <row r="5693" spans="1:7" hidden="1" x14ac:dyDescent="0.75">
      <c r="A5693" s="51">
        <v>44943</v>
      </c>
      <c r="B5693" s="52">
        <v>282</v>
      </c>
      <c r="C5693" s="8" t="s">
        <v>4588</v>
      </c>
      <c r="D5693" s="8" t="s">
        <v>619</v>
      </c>
      <c r="E5693" s="52"/>
      <c r="F5693" s="13">
        <v>4636.22</v>
      </c>
      <c r="G5693" s="13"/>
    </row>
    <row r="5694" spans="1:7" hidden="1" x14ac:dyDescent="0.75">
      <c r="A5694" s="51">
        <v>44957</v>
      </c>
      <c r="B5694" s="52">
        <v>776</v>
      </c>
      <c r="C5694" s="8" t="s">
        <v>4792</v>
      </c>
      <c r="D5694" s="8" t="s">
        <v>620</v>
      </c>
      <c r="E5694" s="52"/>
      <c r="F5694" s="13">
        <v>3062.46</v>
      </c>
      <c r="G5694" s="13"/>
    </row>
    <row r="5695" spans="1:7" hidden="1" x14ac:dyDescent="0.75">
      <c r="A5695" s="51">
        <v>44957</v>
      </c>
      <c r="B5695" s="52">
        <v>776</v>
      </c>
      <c r="C5695" s="8" t="s">
        <v>4792</v>
      </c>
      <c r="D5695" s="8" t="s">
        <v>620</v>
      </c>
      <c r="E5695" s="52"/>
      <c r="F5695" s="13">
        <v>14.66</v>
      </c>
      <c r="G5695" s="13"/>
    </row>
    <row r="5696" spans="1:7" hidden="1" x14ac:dyDescent="0.75">
      <c r="A5696" s="51">
        <v>44957</v>
      </c>
      <c r="B5696" s="52">
        <v>776</v>
      </c>
      <c r="C5696" s="8" t="s">
        <v>1006</v>
      </c>
      <c r="D5696" s="8" t="s">
        <v>620</v>
      </c>
      <c r="E5696" s="52"/>
      <c r="F5696" s="13">
        <v>95.32</v>
      </c>
      <c r="G5696" s="13"/>
    </row>
    <row r="5697" spans="1:7" hidden="1" x14ac:dyDescent="0.75">
      <c r="A5697" s="51">
        <v>44957</v>
      </c>
      <c r="B5697" s="52">
        <v>647</v>
      </c>
      <c r="C5697" s="8" t="s">
        <v>4793</v>
      </c>
      <c r="D5697" s="8" t="s">
        <v>622</v>
      </c>
      <c r="E5697" s="52">
        <v>647</v>
      </c>
      <c r="F5697" s="13">
        <v>4180</v>
      </c>
      <c r="G5697" s="13"/>
    </row>
    <row r="5698" spans="1:7" hidden="1" x14ac:dyDescent="0.75">
      <c r="A5698" s="51">
        <v>44957</v>
      </c>
      <c r="B5698" s="52">
        <v>647</v>
      </c>
      <c r="C5698" s="8" t="s">
        <v>4793</v>
      </c>
      <c r="D5698" s="8" t="s">
        <v>622</v>
      </c>
      <c r="E5698" s="52">
        <v>647</v>
      </c>
      <c r="F5698" s="13">
        <v>220</v>
      </c>
      <c r="G5698" s="13"/>
    </row>
    <row r="5699" spans="1:7" hidden="1" x14ac:dyDescent="0.75">
      <c r="A5699" s="51">
        <v>44957</v>
      </c>
      <c r="B5699" s="52">
        <v>647</v>
      </c>
      <c r="C5699" s="8" t="s">
        <v>1003</v>
      </c>
      <c r="D5699" s="8" t="s">
        <v>622</v>
      </c>
      <c r="E5699" s="52">
        <v>1648</v>
      </c>
      <c r="F5699" s="13">
        <v>13987.74</v>
      </c>
      <c r="G5699" s="13"/>
    </row>
    <row r="5700" spans="1:7" hidden="1" x14ac:dyDescent="0.75">
      <c r="A5700" s="51">
        <v>44957</v>
      </c>
      <c r="B5700" s="52">
        <v>647</v>
      </c>
      <c r="C5700" s="8" t="s">
        <v>4794</v>
      </c>
      <c r="D5700" s="8" t="s">
        <v>622</v>
      </c>
      <c r="E5700" s="52"/>
      <c r="F5700" s="13"/>
      <c r="G5700" s="13">
        <v>9.5</v>
      </c>
    </row>
    <row r="5701" spans="1:7" hidden="1" x14ac:dyDescent="0.75">
      <c r="A5701" s="51">
        <v>44957</v>
      </c>
      <c r="B5701" s="52">
        <v>647</v>
      </c>
      <c r="C5701" s="8" t="s">
        <v>4793</v>
      </c>
      <c r="D5701" s="8" t="s">
        <v>622</v>
      </c>
      <c r="E5701" s="52">
        <v>647</v>
      </c>
      <c r="F5701" s="13"/>
      <c r="G5701" s="13">
        <v>4180</v>
      </c>
    </row>
    <row r="5702" spans="1:7" hidden="1" x14ac:dyDescent="0.75">
      <c r="A5702" s="51">
        <v>44957</v>
      </c>
      <c r="B5702" s="52">
        <v>647</v>
      </c>
      <c r="C5702" s="8" t="s">
        <v>4794</v>
      </c>
      <c r="D5702" s="8" t="s">
        <v>622</v>
      </c>
      <c r="E5702" s="52"/>
      <c r="F5702" s="13"/>
      <c r="G5702" s="13">
        <v>0.45</v>
      </c>
    </row>
    <row r="5703" spans="1:7" hidden="1" x14ac:dyDescent="0.75">
      <c r="A5703" s="51">
        <v>44957</v>
      </c>
      <c r="B5703" s="52">
        <v>647</v>
      </c>
      <c r="C5703" s="8" t="s">
        <v>4793</v>
      </c>
      <c r="D5703" s="8" t="s">
        <v>622</v>
      </c>
      <c r="E5703" s="52">
        <v>647</v>
      </c>
      <c r="F5703" s="13"/>
      <c r="G5703" s="13">
        <v>220</v>
      </c>
    </row>
    <row r="5704" spans="1:7" hidden="1" x14ac:dyDescent="0.75">
      <c r="A5704" s="51">
        <v>44957</v>
      </c>
      <c r="B5704" s="52">
        <v>650</v>
      </c>
      <c r="C5704" s="8" t="s">
        <v>1002</v>
      </c>
      <c r="D5704" s="8" t="s">
        <v>193</v>
      </c>
      <c r="E5704" s="52"/>
      <c r="F5704" s="13">
        <v>4940.91</v>
      </c>
      <c r="G5704" s="13"/>
    </row>
    <row r="5705" spans="1:7" hidden="1" x14ac:dyDescent="0.75">
      <c r="A5705" s="51">
        <v>44957</v>
      </c>
      <c r="B5705" s="52">
        <v>650</v>
      </c>
      <c r="C5705" s="8" t="s">
        <v>4795</v>
      </c>
      <c r="D5705" s="8" t="s">
        <v>193</v>
      </c>
      <c r="E5705" s="52"/>
      <c r="F5705" s="13"/>
      <c r="G5705" s="13">
        <v>530.58000000000004</v>
      </c>
    </row>
    <row r="5706" spans="1:7" hidden="1" x14ac:dyDescent="0.75">
      <c r="A5706" s="51">
        <v>44957</v>
      </c>
      <c r="B5706" s="52">
        <v>1809</v>
      </c>
      <c r="C5706" s="8" t="s">
        <v>4790</v>
      </c>
      <c r="D5706" s="8" t="s">
        <v>626</v>
      </c>
      <c r="E5706" s="52">
        <v>279</v>
      </c>
      <c r="F5706" s="13">
        <v>396.5</v>
      </c>
      <c r="G5706" s="13"/>
    </row>
    <row r="5707" spans="1:7" hidden="1" x14ac:dyDescent="0.75">
      <c r="A5707" s="51">
        <v>44957</v>
      </c>
      <c r="B5707" s="52">
        <v>1811</v>
      </c>
      <c r="C5707" s="8" t="s">
        <v>4790</v>
      </c>
      <c r="D5707" s="8" t="s">
        <v>628</v>
      </c>
      <c r="E5707" s="52">
        <v>279</v>
      </c>
      <c r="F5707" s="13">
        <v>1321.05</v>
      </c>
      <c r="G5707" s="13"/>
    </row>
    <row r="5708" spans="1:7" hidden="1" x14ac:dyDescent="0.75">
      <c r="A5708" s="51">
        <v>44957</v>
      </c>
      <c r="B5708" s="52">
        <v>1868</v>
      </c>
      <c r="C5708" s="8" t="s">
        <v>4786</v>
      </c>
      <c r="D5708" s="8" t="s">
        <v>606</v>
      </c>
      <c r="E5708" s="52"/>
      <c r="F5708" s="13">
        <v>37381.699999999997</v>
      </c>
      <c r="G5708" s="13"/>
    </row>
    <row r="5709" spans="1:7" hidden="1" x14ac:dyDescent="0.75">
      <c r="A5709" s="51">
        <v>44957</v>
      </c>
      <c r="B5709" s="52">
        <v>1868</v>
      </c>
      <c r="C5709" s="8" t="s">
        <v>4787</v>
      </c>
      <c r="D5709" s="8" t="s">
        <v>606</v>
      </c>
      <c r="E5709" s="52">
        <v>1868</v>
      </c>
      <c r="F5709" s="13">
        <v>4069.3</v>
      </c>
      <c r="G5709" s="13"/>
    </row>
    <row r="5710" spans="1:7" hidden="1" x14ac:dyDescent="0.75">
      <c r="A5710" s="51">
        <v>44957</v>
      </c>
      <c r="B5710" s="52">
        <v>1868</v>
      </c>
      <c r="C5710" s="8" t="s">
        <v>4793</v>
      </c>
      <c r="D5710" s="8" t="s">
        <v>606</v>
      </c>
      <c r="E5710" s="52">
        <v>1868</v>
      </c>
      <c r="F5710" s="13">
        <v>4680</v>
      </c>
      <c r="G5710" s="13"/>
    </row>
    <row r="5711" spans="1:7" hidden="1" x14ac:dyDescent="0.75">
      <c r="A5711" s="51">
        <v>44957</v>
      </c>
      <c r="B5711" s="52">
        <v>1868</v>
      </c>
      <c r="C5711" s="8" t="s">
        <v>4795</v>
      </c>
      <c r="D5711" s="8" t="s">
        <v>606</v>
      </c>
      <c r="E5711" s="52"/>
      <c r="F5711" s="13"/>
      <c r="G5711" s="13">
        <v>1057.8800000000001</v>
      </c>
    </row>
    <row r="5712" spans="1:7" hidden="1" x14ac:dyDescent="0.75">
      <c r="A5712" s="51">
        <v>44957</v>
      </c>
      <c r="B5712" s="52">
        <v>1868</v>
      </c>
      <c r="C5712" s="8" t="s">
        <v>4794</v>
      </c>
      <c r="D5712" s="8" t="s">
        <v>606</v>
      </c>
      <c r="E5712" s="52"/>
      <c r="F5712" s="13"/>
      <c r="G5712" s="13">
        <v>10.77</v>
      </c>
    </row>
    <row r="5713" spans="1:7" hidden="1" x14ac:dyDescent="0.75">
      <c r="A5713" s="51">
        <v>44957</v>
      </c>
      <c r="B5713" s="52">
        <v>1868</v>
      </c>
      <c r="C5713" s="8" t="s">
        <v>4788</v>
      </c>
      <c r="D5713" s="8" t="s">
        <v>606</v>
      </c>
      <c r="E5713" s="52"/>
      <c r="F5713" s="13"/>
      <c r="G5713" s="13">
        <v>4</v>
      </c>
    </row>
    <row r="5714" spans="1:7" hidden="1" x14ac:dyDescent="0.75">
      <c r="A5714" s="51">
        <v>44957</v>
      </c>
      <c r="B5714" s="52">
        <v>1868</v>
      </c>
      <c r="C5714" s="8" t="s">
        <v>4787</v>
      </c>
      <c r="D5714" s="8" t="s">
        <v>606</v>
      </c>
      <c r="E5714" s="52">
        <v>1868</v>
      </c>
      <c r="F5714" s="13"/>
      <c r="G5714" s="13">
        <v>4069.3</v>
      </c>
    </row>
    <row r="5715" spans="1:7" hidden="1" x14ac:dyDescent="0.75">
      <c r="A5715" s="51">
        <v>44957</v>
      </c>
      <c r="B5715" s="52">
        <v>1868</v>
      </c>
      <c r="C5715" s="8" t="s">
        <v>4793</v>
      </c>
      <c r="D5715" s="8" t="s">
        <v>606</v>
      </c>
      <c r="E5715" s="52">
        <v>1868</v>
      </c>
      <c r="F5715" s="13"/>
      <c r="G5715" s="13">
        <v>4680</v>
      </c>
    </row>
    <row r="5716" spans="1:7" hidden="1" x14ac:dyDescent="0.75">
      <c r="A5716" s="51">
        <v>44957</v>
      </c>
      <c r="B5716" s="52">
        <v>1870</v>
      </c>
      <c r="C5716" s="8" t="s">
        <v>4789</v>
      </c>
      <c r="D5716" s="8" t="s">
        <v>608</v>
      </c>
      <c r="E5716" s="52"/>
      <c r="F5716" s="13">
        <v>1200</v>
      </c>
      <c r="G5716" s="13"/>
    </row>
    <row r="5717" spans="1:7" hidden="1" x14ac:dyDescent="0.75">
      <c r="A5717" s="51">
        <v>44957</v>
      </c>
      <c r="B5717" s="52">
        <v>1871</v>
      </c>
      <c r="C5717" s="8" t="s">
        <v>1006</v>
      </c>
      <c r="D5717" s="8" t="s">
        <v>610</v>
      </c>
      <c r="E5717" s="52">
        <v>195</v>
      </c>
      <c r="F5717" s="13">
        <v>3411.89</v>
      </c>
      <c r="G5717" s="13"/>
    </row>
    <row r="5718" spans="1:7" hidden="1" x14ac:dyDescent="0.75">
      <c r="A5718" s="51">
        <v>44957</v>
      </c>
      <c r="B5718" s="52">
        <v>1871</v>
      </c>
      <c r="C5718" s="8" t="s">
        <v>4768</v>
      </c>
      <c r="D5718" s="8" t="s">
        <v>610</v>
      </c>
      <c r="E5718" s="52">
        <v>195</v>
      </c>
      <c r="F5718" s="13">
        <v>1099.78</v>
      </c>
      <c r="G5718" s="13"/>
    </row>
    <row r="5719" spans="1:7" hidden="1" x14ac:dyDescent="0.75">
      <c r="A5719" s="51">
        <v>44957</v>
      </c>
      <c r="B5719" s="52">
        <v>1872</v>
      </c>
      <c r="C5719" s="8" t="s">
        <v>4756</v>
      </c>
      <c r="D5719" s="8" t="s">
        <v>612</v>
      </c>
      <c r="E5719" s="52">
        <v>194</v>
      </c>
      <c r="F5719" s="13">
        <v>4904.71</v>
      </c>
      <c r="G5719" s="13"/>
    </row>
    <row r="5720" spans="1:7" hidden="1" x14ac:dyDescent="0.75">
      <c r="A5720" s="51">
        <v>44957</v>
      </c>
      <c r="B5720" s="52">
        <v>1872</v>
      </c>
      <c r="C5720" s="8" t="s">
        <v>4760</v>
      </c>
      <c r="D5720" s="8" t="s">
        <v>612</v>
      </c>
      <c r="E5720" s="52">
        <v>194</v>
      </c>
      <c r="F5720" s="13"/>
      <c r="G5720" s="13">
        <v>83.94</v>
      </c>
    </row>
    <row r="5721" spans="1:7" hidden="1" x14ac:dyDescent="0.75">
      <c r="A5721" s="51">
        <v>44957</v>
      </c>
      <c r="B5721" s="52">
        <v>1873</v>
      </c>
      <c r="C5721" s="8" t="s">
        <v>4743</v>
      </c>
      <c r="D5721" s="8" t="s">
        <v>970</v>
      </c>
      <c r="E5721" s="52">
        <v>1487</v>
      </c>
      <c r="F5721" s="13">
        <v>7811.17</v>
      </c>
      <c r="G5721" s="13"/>
    </row>
    <row r="5722" spans="1:7" hidden="1" x14ac:dyDescent="0.75">
      <c r="A5722" s="51">
        <v>44957</v>
      </c>
      <c r="B5722" s="52">
        <v>1873</v>
      </c>
      <c r="C5722" s="8" t="s">
        <v>4744</v>
      </c>
      <c r="D5722" s="8" t="s">
        <v>970</v>
      </c>
      <c r="E5722" s="52">
        <v>1487</v>
      </c>
      <c r="F5722" s="13">
        <v>2265.21</v>
      </c>
      <c r="G5722" s="13"/>
    </row>
    <row r="5723" spans="1:7" hidden="1" x14ac:dyDescent="0.75">
      <c r="A5723" s="51">
        <v>44957</v>
      </c>
      <c r="B5723" s="52">
        <v>1873</v>
      </c>
      <c r="C5723" s="8" t="s">
        <v>4745</v>
      </c>
      <c r="D5723" s="8" t="s">
        <v>970</v>
      </c>
      <c r="E5723" s="52">
        <v>1487</v>
      </c>
      <c r="F5723" s="13">
        <v>585.83000000000004</v>
      </c>
      <c r="G5723" s="13"/>
    </row>
    <row r="5724" spans="1:7" hidden="1" x14ac:dyDescent="0.75">
      <c r="A5724" s="51">
        <v>44957</v>
      </c>
      <c r="B5724" s="52">
        <v>1873</v>
      </c>
      <c r="C5724" s="8" t="s">
        <v>4761</v>
      </c>
      <c r="D5724" s="8" t="s">
        <v>970</v>
      </c>
      <c r="E5724" s="52">
        <v>196</v>
      </c>
      <c r="F5724" s="13">
        <v>1336.9</v>
      </c>
      <c r="G5724" s="13"/>
    </row>
    <row r="5725" spans="1:7" hidden="1" x14ac:dyDescent="0.75">
      <c r="A5725" s="51">
        <v>44957</v>
      </c>
      <c r="B5725" s="52">
        <v>1873</v>
      </c>
      <c r="C5725" s="8" t="s">
        <v>1006</v>
      </c>
      <c r="D5725" s="8" t="s">
        <v>970</v>
      </c>
      <c r="E5725" s="52">
        <v>197</v>
      </c>
      <c r="F5725" s="13">
        <v>931.63</v>
      </c>
      <c r="G5725" s="13"/>
    </row>
    <row r="5726" spans="1:7" hidden="1" x14ac:dyDescent="0.75">
      <c r="A5726" s="51">
        <v>44957</v>
      </c>
      <c r="B5726" s="52">
        <v>1873</v>
      </c>
      <c r="C5726" s="8" t="s">
        <v>4763</v>
      </c>
      <c r="D5726" s="8" t="s">
        <v>970</v>
      </c>
      <c r="E5726" s="52">
        <v>196</v>
      </c>
      <c r="F5726" s="13"/>
      <c r="G5726" s="13">
        <v>20.76</v>
      </c>
    </row>
    <row r="5727" spans="1:7" hidden="1" x14ac:dyDescent="0.75">
      <c r="A5727" s="51">
        <v>44957</v>
      </c>
      <c r="B5727" s="52">
        <v>1874</v>
      </c>
      <c r="C5727" s="8" t="s">
        <v>4731</v>
      </c>
      <c r="D5727" s="8" t="s">
        <v>615</v>
      </c>
      <c r="E5727" s="52">
        <v>192</v>
      </c>
      <c r="F5727" s="13">
        <v>3124.46</v>
      </c>
      <c r="G5727" s="13"/>
    </row>
    <row r="5728" spans="1:7" hidden="1" x14ac:dyDescent="0.75">
      <c r="A5728" s="51">
        <v>44957</v>
      </c>
      <c r="B5728" s="52">
        <v>1874</v>
      </c>
      <c r="C5728" s="8" t="s">
        <v>4764</v>
      </c>
      <c r="D5728" s="8" t="s">
        <v>615</v>
      </c>
      <c r="E5728" s="52">
        <v>198</v>
      </c>
      <c r="F5728" s="13">
        <v>391.74</v>
      </c>
      <c r="G5728" s="13"/>
    </row>
    <row r="5729" spans="1:7" hidden="1" x14ac:dyDescent="0.75">
      <c r="A5729" s="51">
        <v>44957</v>
      </c>
      <c r="B5729" s="52">
        <v>1874</v>
      </c>
      <c r="C5729" s="8" t="s">
        <v>1006</v>
      </c>
      <c r="D5729" s="8" t="s">
        <v>615</v>
      </c>
      <c r="E5729" s="52">
        <v>199</v>
      </c>
      <c r="F5729" s="13">
        <v>272.87</v>
      </c>
      <c r="G5729" s="13"/>
    </row>
    <row r="5730" spans="1:7" hidden="1" x14ac:dyDescent="0.75">
      <c r="A5730" s="51">
        <v>44957</v>
      </c>
      <c r="B5730" s="52">
        <v>1874</v>
      </c>
      <c r="C5730" s="8" t="s">
        <v>4766</v>
      </c>
      <c r="D5730" s="8" t="s">
        <v>615</v>
      </c>
      <c r="E5730" s="52">
        <v>198</v>
      </c>
      <c r="F5730" s="13"/>
      <c r="G5730" s="13">
        <v>6.08</v>
      </c>
    </row>
    <row r="5731" spans="1:7" hidden="1" x14ac:dyDescent="0.75">
      <c r="A5731" s="51">
        <v>44932</v>
      </c>
      <c r="B5731" s="52">
        <v>1876</v>
      </c>
      <c r="C5731" s="8" t="s">
        <v>4587</v>
      </c>
      <c r="D5731" s="8" t="s">
        <v>619</v>
      </c>
      <c r="E5731" s="52"/>
      <c r="F5731" s="13">
        <v>220.66</v>
      </c>
      <c r="G5731" s="13"/>
    </row>
    <row r="5732" spans="1:7" hidden="1" x14ac:dyDescent="0.75">
      <c r="A5732" s="51">
        <v>44943</v>
      </c>
      <c r="B5732" s="52">
        <v>1876</v>
      </c>
      <c r="C5732" s="8" t="s">
        <v>4588</v>
      </c>
      <c r="D5732" s="8" t="s">
        <v>619</v>
      </c>
      <c r="E5732" s="52"/>
      <c r="F5732" s="13">
        <v>4891.66</v>
      </c>
      <c r="G5732" s="13"/>
    </row>
    <row r="5733" spans="1:7" hidden="1" x14ac:dyDescent="0.75">
      <c r="A5733" s="51">
        <v>44957</v>
      </c>
      <c r="B5733" s="52">
        <v>1877</v>
      </c>
      <c r="C5733" s="8" t="s">
        <v>4792</v>
      </c>
      <c r="D5733" s="8" t="s">
        <v>620</v>
      </c>
      <c r="E5733" s="52"/>
      <c r="F5733" s="13">
        <v>471.5</v>
      </c>
      <c r="G5733" s="13"/>
    </row>
    <row r="5734" spans="1:7" hidden="1" x14ac:dyDescent="0.75">
      <c r="A5734" s="51">
        <v>44932</v>
      </c>
      <c r="B5734" s="52">
        <v>518</v>
      </c>
      <c r="C5734" s="8" t="s">
        <v>3876</v>
      </c>
      <c r="D5734" s="8" t="s">
        <v>634</v>
      </c>
      <c r="E5734" s="52">
        <v>55</v>
      </c>
      <c r="F5734" s="13">
        <v>14.95</v>
      </c>
      <c r="G5734" s="13"/>
    </row>
    <row r="5735" spans="1:7" hidden="1" x14ac:dyDescent="0.75">
      <c r="A5735" s="51">
        <v>44935</v>
      </c>
      <c r="B5735" s="52">
        <v>518</v>
      </c>
      <c r="C5735" s="8" t="s">
        <v>3949</v>
      </c>
      <c r="D5735" s="8" t="s">
        <v>634</v>
      </c>
      <c r="E5735" s="52">
        <v>55</v>
      </c>
      <c r="F5735" s="13">
        <v>13</v>
      </c>
      <c r="G5735" s="13"/>
    </row>
    <row r="5736" spans="1:7" hidden="1" x14ac:dyDescent="0.75">
      <c r="A5736" s="51">
        <v>44936</v>
      </c>
      <c r="B5736" s="52">
        <v>518</v>
      </c>
      <c r="C5736" s="8" t="s">
        <v>3984</v>
      </c>
      <c r="D5736" s="8" t="s">
        <v>634</v>
      </c>
      <c r="E5736" s="52">
        <v>55</v>
      </c>
      <c r="F5736" s="13">
        <v>34.799999999999997</v>
      </c>
      <c r="G5736" s="13"/>
    </row>
    <row r="5737" spans="1:7" hidden="1" x14ac:dyDescent="0.75">
      <c r="A5737" s="51">
        <v>44936</v>
      </c>
      <c r="B5737" s="52">
        <v>518</v>
      </c>
      <c r="C5737" s="8" t="s">
        <v>3985</v>
      </c>
      <c r="D5737" s="8" t="s">
        <v>634</v>
      </c>
      <c r="E5737" s="52">
        <v>55</v>
      </c>
      <c r="F5737" s="13">
        <v>53.35</v>
      </c>
      <c r="G5737" s="13"/>
    </row>
    <row r="5738" spans="1:7" hidden="1" x14ac:dyDescent="0.75">
      <c r="A5738" s="51">
        <v>44942</v>
      </c>
      <c r="B5738" s="52">
        <v>518</v>
      </c>
      <c r="C5738" s="8" t="s">
        <v>4134</v>
      </c>
      <c r="D5738" s="8" t="s">
        <v>634</v>
      </c>
      <c r="E5738" s="52">
        <v>55</v>
      </c>
      <c r="F5738" s="13">
        <v>13.14</v>
      </c>
      <c r="G5738" s="13"/>
    </row>
    <row r="5739" spans="1:7" hidden="1" x14ac:dyDescent="0.75">
      <c r="A5739" s="51">
        <v>44943</v>
      </c>
      <c r="B5739" s="52">
        <v>518</v>
      </c>
      <c r="C5739" s="8" t="s">
        <v>4160</v>
      </c>
      <c r="D5739" s="8" t="s">
        <v>634</v>
      </c>
      <c r="E5739" s="52">
        <v>55</v>
      </c>
      <c r="F5739" s="13">
        <v>4.7</v>
      </c>
      <c r="G5739" s="13"/>
    </row>
    <row r="5740" spans="1:7" hidden="1" x14ac:dyDescent="0.75">
      <c r="A5740" s="51">
        <v>44943</v>
      </c>
      <c r="B5740" s="52">
        <v>518</v>
      </c>
      <c r="C5740" s="8" t="s">
        <v>4164</v>
      </c>
      <c r="D5740" s="8" t="s">
        <v>634</v>
      </c>
      <c r="E5740" s="52">
        <v>55</v>
      </c>
      <c r="F5740" s="13">
        <v>39.299999999999997</v>
      </c>
      <c r="G5740" s="13"/>
    </row>
    <row r="5741" spans="1:7" hidden="1" x14ac:dyDescent="0.75">
      <c r="A5741" s="51">
        <v>44946</v>
      </c>
      <c r="B5741" s="52">
        <v>518</v>
      </c>
      <c r="C5741" s="8" t="s">
        <v>4252</v>
      </c>
      <c r="D5741" s="8" t="s">
        <v>634</v>
      </c>
      <c r="E5741" s="52">
        <v>55</v>
      </c>
      <c r="F5741" s="13">
        <v>20.6</v>
      </c>
      <c r="G5741" s="13"/>
    </row>
    <row r="5742" spans="1:7" hidden="1" x14ac:dyDescent="0.75">
      <c r="A5742" s="51">
        <v>44949</v>
      </c>
      <c r="B5742" s="52">
        <v>518</v>
      </c>
      <c r="C5742" s="8" t="s">
        <v>4310</v>
      </c>
      <c r="D5742" s="8" t="s">
        <v>634</v>
      </c>
      <c r="E5742" s="52">
        <v>55</v>
      </c>
      <c r="F5742" s="13">
        <v>54.5</v>
      </c>
      <c r="G5742" s="13"/>
    </row>
    <row r="5743" spans="1:7" hidden="1" x14ac:dyDescent="0.75">
      <c r="A5743" s="51">
        <v>44956</v>
      </c>
      <c r="B5743" s="52">
        <v>518</v>
      </c>
      <c r="C5743" s="8" t="s">
        <v>4506</v>
      </c>
      <c r="D5743" s="8" t="s">
        <v>634</v>
      </c>
      <c r="E5743" s="52">
        <v>55</v>
      </c>
      <c r="F5743" s="13">
        <v>29.6</v>
      </c>
      <c r="G5743" s="13"/>
    </row>
    <row r="5744" spans="1:7" hidden="1" x14ac:dyDescent="0.75">
      <c r="A5744" s="51">
        <v>44957</v>
      </c>
      <c r="B5744" s="52">
        <v>518</v>
      </c>
      <c r="C5744" s="8" t="s">
        <v>4549</v>
      </c>
      <c r="D5744" s="8" t="s">
        <v>634</v>
      </c>
      <c r="E5744" s="52">
        <v>55</v>
      </c>
      <c r="F5744" s="13">
        <v>46.7</v>
      </c>
      <c r="G5744" s="13"/>
    </row>
    <row r="5745" spans="1:7" hidden="1" x14ac:dyDescent="0.75">
      <c r="A5745" s="51">
        <v>44957</v>
      </c>
      <c r="B5745" s="52">
        <v>470</v>
      </c>
      <c r="C5745" s="8" t="s">
        <v>4554</v>
      </c>
      <c r="D5745" s="8" t="s">
        <v>636</v>
      </c>
      <c r="E5745" s="52">
        <v>55</v>
      </c>
      <c r="F5745" s="13">
        <v>638894.31999999995</v>
      </c>
      <c r="G5745" s="13"/>
    </row>
    <row r="5746" spans="1:7" hidden="1" x14ac:dyDescent="0.75">
      <c r="A5746" s="51">
        <v>44957</v>
      </c>
      <c r="B5746" s="52">
        <v>470</v>
      </c>
      <c r="C5746" s="8" t="s">
        <v>4570</v>
      </c>
      <c r="D5746" s="8" t="s">
        <v>636</v>
      </c>
      <c r="E5746" s="52">
        <v>58</v>
      </c>
      <c r="F5746" s="13">
        <v>17122.95</v>
      </c>
      <c r="G5746" s="13"/>
    </row>
    <row r="5747" spans="1:7" hidden="1" x14ac:dyDescent="0.75">
      <c r="A5747" s="51">
        <v>44928</v>
      </c>
      <c r="B5747" s="52">
        <v>1646</v>
      </c>
      <c r="C5747" s="8" t="s">
        <v>3746</v>
      </c>
      <c r="D5747" s="8" t="s">
        <v>640</v>
      </c>
      <c r="E5747" s="52">
        <v>55</v>
      </c>
      <c r="F5747" s="13">
        <v>120.3</v>
      </c>
      <c r="G5747" s="13"/>
    </row>
    <row r="5748" spans="1:7" hidden="1" x14ac:dyDescent="0.75">
      <c r="A5748" s="51">
        <v>44928</v>
      </c>
      <c r="B5748" s="52">
        <v>1646</v>
      </c>
      <c r="C5748" s="8" t="s">
        <v>3748</v>
      </c>
      <c r="D5748" s="8" t="s">
        <v>640</v>
      </c>
      <c r="E5748" s="52">
        <v>55</v>
      </c>
      <c r="F5748" s="13">
        <v>370.81</v>
      </c>
      <c r="G5748" s="13"/>
    </row>
    <row r="5749" spans="1:7" hidden="1" x14ac:dyDescent="0.75">
      <c r="A5749" s="51">
        <v>44928</v>
      </c>
      <c r="B5749" s="52">
        <v>1646</v>
      </c>
      <c r="C5749" s="8" t="s">
        <v>3749</v>
      </c>
      <c r="D5749" s="8" t="s">
        <v>640</v>
      </c>
      <c r="E5749" s="52">
        <v>55</v>
      </c>
      <c r="F5749" s="13">
        <v>24.5</v>
      </c>
      <c r="G5749" s="13"/>
    </row>
    <row r="5750" spans="1:7" hidden="1" x14ac:dyDescent="0.75">
      <c r="A5750" s="51">
        <v>44928</v>
      </c>
      <c r="B5750" s="52">
        <v>1646</v>
      </c>
      <c r="C5750" s="8" t="s">
        <v>3750</v>
      </c>
      <c r="D5750" s="8" t="s">
        <v>640</v>
      </c>
      <c r="E5750" s="52">
        <v>55</v>
      </c>
      <c r="F5750" s="13">
        <v>672.24</v>
      </c>
      <c r="G5750" s="13"/>
    </row>
    <row r="5751" spans="1:7" hidden="1" x14ac:dyDescent="0.75">
      <c r="A5751" s="51">
        <v>44928</v>
      </c>
      <c r="B5751" s="52">
        <v>1646</v>
      </c>
      <c r="C5751" s="8" t="s">
        <v>3751</v>
      </c>
      <c r="D5751" s="8" t="s">
        <v>640</v>
      </c>
      <c r="E5751" s="52">
        <v>55</v>
      </c>
      <c r="F5751" s="13">
        <v>274.3</v>
      </c>
      <c r="G5751" s="13"/>
    </row>
    <row r="5752" spans="1:7" hidden="1" x14ac:dyDescent="0.75">
      <c r="A5752" s="51">
        <v>44929</v>
      </c>
      <c r="B5752" s="52">
        <v>1646</v>
      </c>
      <c r="C5752" s="8" t="s">
        <v>3781</v>
      </c>
      <c r="D5752" s="8" t="s">
        <v>640</v>
      </c>
      <c r="E5752" s="52">
        <v>55</v>
      </c>
      <c r="F5752" s="13">
        <v>686.34</v>
      </c>
      <c r="G5752" s="13"/>
    </row>
    <row r="5753" spans="1:7" hidden="1" x14ac:dyDescent="0.75">
      <c r="A5753" s="51">
        <v>44929</v>
      </c>
      <c r="B5753" s="52">
        <v>1646</v>
      </c>
      <c r="C5753" s="8" t="s">
        <v>3782</v>
      </c>
      <c r="D5753" s="8" t="s">
        <v>640</v>
      </c>
      <c r="E5753" s="52">
        <v>55</v>
      </c>
      <c r="F5753" s="13">
        <v>338.92</v>
      </c>
      <c r="G5753" s="13"/>
    </row>
    <row r="5754" spans="1:7" hidden="1" x14ac:dyDescent="0.75">
      <c r="A5754" s="51">
        <v>44929</v>
      </c>
      <c r="B5754" s="52">
        <v>1646</v>
      </c>
      <c r="C5754" s="8" t="s">
        <v>3783</v>
      </c>
      <c r="D5754" s="8" t="s">
        <v>640</v>
      </c>
      <c r="E5754" s="52">
        <v>55</v>
      </c>
      <c r="F5754" s="13">
        <v>674.7</v>
      </c>
      <c r="G5754" s="13"/>
    </row>
    <row r="5755" spans="1:7" hidden="1" x14ac:dyDescent="0.75">
      <c r="A5755" s="51">
        <v>44930</v>
      </c>
      <c r="B5755" s="52">
        <v>1646</v>
      </c>
      <c r="C5755" s="8" t="s">
        <v>3808</v>
      </c>
      <c r="D5755" s="8" t="s">
        <v>640</v>
      </c>
      <c r="E5755" s="52">
        <v>55</v>
      </c>
      <c r="F5755" s="13">
        <v>306.86</v>
      </c>
      <c r="G5755" s="13"/>
    </row>
    <row r="5756" spans="1:7" hidden="1" x14ac:dyDescent="0.75">
      <c r="A5756" s="51">
        <v>44930</v>
      </c>
      <c r="B5756" s="52">
        <v>1646</v>
      </c>
      <c r="C5756" s="8" t="s">
        <v>3809</v>
      </c>
      <c r="D5756" s="8" t="s">
        <v>640</v>
      </c>
      <c r="E5756" s="52">
        <v>55</v>
      </c>
      <c r="F5756" s="13">
        <v>243.23</v>
      </c>
      <c r="G5756" s="13"/>
    </row>
    <row r="5757" spans="1:7" hidden="1" x14ac:dyDescent="0.75">
      <c r="A5757" s="51">
        <v>44930</v>
      </c>
      <c r="B5757" s="52">
        <v>1646</v>
      </c>
      <c r="C5757" s="8" t="s">
        <v>3810</v>
      </c>
      <c r="D5757" s="8" t="s">
        <v>640</v>
      </c>
      <c r="E5757" s="52">
        <v>55</v>
      </c>
      <c r="F5757" s="13">
        <v>420.35</v>
      </c>
      <c r="G5757" s="13"/>
    </row>
    <row r="5758" spans="1:7" hidden="1" x14ac:dyDescent="0.75">
      <c r="A5758" s="51">
        <v>44930</v>
      </c>
      <c r="B5758" s="52">
        <v>1646</v>
      </c>
      <c r="C5758" s="8" t="s">
        <v>3811</v>
      </c>
      <c r="D5758" s="8" t="s">
        <v>640</v>
      </c>
      <c r="E5758" s="52">
        <v>55</v>
      </c>
      <c r="F5758" s="13">
        <v>32.799999999999997</v>
      </c>
      <c r="G5758" s="13"/>
    </row>
    <row r="5759" spans="1:7" hidden="1" x14ac:dyDescent="0.75">
      <c r="A5759" s="51">
        <v>44931</v>
      </c>
      <c r="B5759" s="52">
        <v>1646</v>
      </c>
      <c r="C5759" s="8" t="s">
        <v>3836</v>
      </c>
      <c r="D5759" s="8" t="s">
        <v>640</v>
      </c>
      <c r="E5759" s="52">
        <v>55</v>
      </c>
      <c r="F5759" s="13">
        <v>194.05</v>
      </c>
      <c r="G5759" s="13"/>
    </row>
    <row r="5760" spans="1:7" hidden="1" x14ac:dyDescent="0.75">
      <c r="A5760" s="51">
        <v>44932</v>
      </c>
      <c r="B5760" s="52">
        <v>1646</v>
      </c>
      <c r="C5760" s="8" t="s">
        <v>3872</v>
      </c>
      <c r="D5760" s="8" t="s">
        <v>640</v>
      </c>
      <c r="E5760" s="52">
        <v>55</v>
      </c>
      <c r="F5760" s="13">
        <v>226.41</v>
      </c>
      <c r="G5760" s="13"/>
    </row>
    <row r="5761" spans="1:7" hidden="1" x14ac:dyDescent="0.75">
      <c r="A5761" s="51">
        <v>44932</v>
      </c>
      <c r="B5761" s="52">
        <v>1646</v>
      </c>
      <c r="C5761" s="8" t="s">
        <v>3873</v>
      </c>
      <c r="D5761" s="8" t="s">
        <v>640</v>
      </c>
      <c r="E5761" s="52">
        <v>55</v>
      </c>
      <c r="F5761" s="13">
        <v>442.38</v>
      </c>
      <c r="G5761" s="13"/>
    </row>
    <row r="5762" spans="1:7" hidden="1" x14ac:dyDescent="0.75">
      <c r="A5762" s="51">
        <v>44932</v>
      </c>
      <c r="B5762" s="52">
        <v>1646</v>
      </c>
      <c r="C5762" s="8" t="s">
        <v>3874</v>
      </c>
      <c r="D5762" s="8" t="s">
        <v>640</v>
      </c>
      <c r="E5762" s="52">
        <v>55</v>
      </c>
      <c r="F5762" s="13">
        <v>545</v>
      </c>
      <c r="G5762" s="13"/>
    </row>
    <row r="5763" spans="1:7" hidden="1" x14ac:dyDescent="0.75">
      <c r="A5763" s="51">
        <v>44933</v>
      </c>
      <c r="B5763" s="52">
        <v>1646</v>
      </c>
      <c r="C5763" s="8" t="s">
        <v>3911</v>
      </c>
      <c r="D5763" s="8" t="s">
        <v>640</v>
      </c>
      <c r="E5763" s="52">
        <v>55</v>
      </c>
      <c r="F5763" s="13">
        <v>497.15</v>
      </c>
      <c r="G5763" s="13"/>
    </row>
    <row r="5764" spans="1:7" hidden="1" x14ac:dyDescent="0.75">
      <c r="A5764" s="51">
        <v>44933</v>
      </c>
      <c r="B5764" s="52">
        <v>1646</v>
      </c>
      <c r="C5764" s="8" t="s">
        <v>3912</v>
      </c>
      <c r="D5764" s="8" t="s">
        <v>640</v>
      </c>
      <c r="E5764" s="52">
        <v>55</v>
      </c>
      <c r="F5764" s="13">
        <v>386.81</v>
      </c>
      <c r="G5764" s="13"/>
    </row>
    <row r="5765" spans="1:7" hidden="1" x14ac:dyDescent="0.75">
      <c r="A5765" s="51">
        <v>44933</v>
      </c>
      <c r="B5765" s="52">
        <v>1646</v>
      </c>
      <c r="C5765" s="8" t="s">
        <v>3913</v>
      </c>
      <c r="D5765" s="8" t="s">
        <v>640</v>
      </c>
      <c r="E5765" s="52">
        <v>55</v>
      </c>
      <c r="F5765" s="13">
        <v>319.2</v>
      </c>
      <c r="G5765" s="13"/>
    </row>
    <row r="5766" spans="1:7" hidden="1" x14ac:dyDescent="0.75">
      <c r="A5766" s="51">
        <v>44933</v>
      </c>
      <c r="B5766" s="52">
        <v>1646</v>
      </c>
      <c r="C5766" s="8" t="s">
        <v>3914</v>
      </c>
      <c r="D5766" s="8" t="s">
        <v>640</v>
      </c>
      <c r="E5766" s="52">
        <v>55</v>
      </c>
      <c r="F5766" s="13">
        <v>25</v>
      </c>
      <c r="G5766" s="13"/>
    </row>
    <row r="5767" spans="1:7" hidden="1" x14ac:dyDescent="0.75">
      <c r="A5767" s="51">
        <v>44933</v>
      </c>
      <c r="B5767" s="52">
        <v>1646</v>
      </c>
      <c r="C5767" s="8" t="s">
        <v>3915</v>
      </c>
      <c r="D5767" s="8" t="s">
        <v>640</v>
      </c>
      <c r="E5767" s="52">
        <v>55</v>
      </c>
      <c r="F5767" s="13">
        <v>49</v>
      </c>
      <c r="G5767" s="13"/>
    </row>
    <row r="5768" spans="1:7" hidden="1" x14ac:dyDescent="0.75">
      <c r="A5768" s="51">
        <v>44933</v>
      </c>
      <c r="B5768" s="52">
        <v>1646</v>
      </c>
      <c r="C5768" s="8" t="s">
        <v>3916</v>
      </c>
      <c r="D5768" s="8" t="s">
        <v>640</v>
      </c>
      <c r="E5768" s="52">
        <v>55</v>
      </c>
      <c r="F5768" s="13">
        <v>21.6</v>
      </c>
      <c r="G5768" s="13"/>
    </row>
    <row r="5769" spans="1:7" hidden="1" x14ac:dyDescent="0.75">
      <c r="A5769" s="51">
        <v>44933</v>
      </c>
      <c r="B5769" s="52">
        <v>1646</v>
      </c>
      <c r="C5769" s="8" t="s">
        <v>3917</v>
      </c>
      <c r="D5769" s="8" t="s">
        <v>640</v>
      </c>
      <c r="E5769" s="52">
        <v>55</v>
      </c>
      <c r="F5769" s="13">
        <v>3152.39</v>
      </c>
      <c r="G5769" s="13"/>
    </row>
    <row r="5770" spans="1:7" hidden="1" x14ac:dyDescent="0.75">
      <c r="A5770" s="51">
        <v>44935</v>
      </c>
      <c r="B5770" s="52">
        <v>1646</v>
      </c>
      <c r="C5770" s="8" t="s">
        <v>3944</v>
      </c>
      <c r="D5770" s="8" t="s">
        <v>640</v>
      </c>
      <c r="E5770" s="52">
        <v>55</v>
      </c>
      <c r="F5770" s="13">
        <v>640</v>
      </c>
      <c r="G5770" s="13"/>
    </row>
    <row r="5771" spans="1:7" hidden="1" x14ac:dyDescent="0.75">
      <c r="A5771" s="51">
        <v>44935</v>
      </c>
      <c r="B5771" s="52">
        <v>1646</v>
      </c>
      <c r="C5771" s="8" t="s">
        <v>3945</v>
      </c>
      <c r="D5771" s="8" t="s">
        <v>640</v>
      </c>
      <c r="E5771" s="52">
        <v>55</v>
      </c>
      <c r="F5771" s="13">
        <v>189</v>
      </c>
      <c r="G5771" s="13"/>
    </row>
    <row r="5772" spans="1:7" hidden="1" x14ac:dyDescent="0.75">
      <c r="A5772" s="51">
        <v>44935</v>
      </c>
      <c r="B5772" s="52">
        <v>1646</v>
      </c>
      <c r="C5772" s="8" t="s">
        <v>3946</v>
      </c>
      <c r="D5772" s="8" t="s">
        <v>640</v>
      </c>
      <c r="E5772" s="52">
        <v>55</v>
      </c>
      <c r="F5772" s="13">
        <v>442.71</v>
      </c>
      <c r="G5772" s="13"/>
    </row>
    <row r="5773" spans="1:7" hidden="1" x14ac:dyDescent="0.75">
      <c r="A5773" s="51">
        <v>44935</v>
      </c>
      <c r="B5773" s="52">
        <v>1646</v>
      </c>
      <c r="C5773" s="8" t="s">
        <v>3947</v>
      </c>
      <c r="D5773" s="8" t="s">
        <v>640</v>
      </c>
      <c r="E5773" s="52">
        <v>55</v>
      </c>
      <c r="F5773" s="13">
        <v>526.76</v>
      </c>
      <c r="G5773" s="13"/>
    </row>
    <row r="5774" spans="1:7" hidden="1" x14ac:dyDescent="0.75">
      <c r="A5774" s="51">
        <v>44936</v>
      </c>
      <c r="B5774" s="52">
        <v>1646</v>
      </c>
      <c r="C5774" s="8" t="s">
        <v>3980</v>
      </c>
      <c r="D5774" s="8" t="s">
        <v>640</v>
      </c>
      <c r="E5774" s="52">
        <v>55</v>
      </c>
      <c r="F5774" s="13">
        <v>75.260000000000005</v>
      </c>
      <c r="G5774" s="13"/>
    </row>
    <row r="5775" spans="1:7" hidden="1" x14ac:dyDescent="0.75">
      <c r="A5775" s="51">
        <v>44936</v>
      </c>
      <c r="B5775" s="52">
        <v>1646</v>
      </c>
      <c r="C5775" s="8" t="s">
        <v>3981</v>
      </c>
      <c r="D5775" s="8" t="s">
        <v>640</v>
      </c>
      <c r="E5775" s="52">
        <v>55</v>
      </c>
      <c r="F5775" s="13">
        <v>260.95</v>
      </c>
      <c r="G5775" s="13"/>
    </row>
    <row r="5776" spans="1:7" hidden="1" x14ac:dyDescent="0.75">
      <c r="A5776" s="51">
        <v>44936</v>
      </c>
      <c r="B5776" s="52">
        <v>1646</v>
      </c>
      <c r="C5776" s="8" t="s">
        <v>3982</v>
      </c>
      <c r="D5776" s="8" t="s">
        <v>640</v>
      </c>
      <c r="E5776" s="52">
        <v>55</v>
      </c>
      <c r="F5776" s="13">
        <v>174.3</v>
      </c>
      <c r="G5776" s="13"/>
    </row>
    <row r="5777" spans="1:7" hidden="1" x14ac:dyDescent="0.75">
      <c r="A5777" s="51">
        <v>44936</v>
      </c>
      <c r="B5777" s="52">
        <v>1646</v>
      </c>
      <c r="C5777" s="8" t="s">
        <v>3983</v>
      </c>
      <c r="D5777" s="8" t="s">
        <v>640</v>
      </c>
      <c r="E5777" s="52">
        <v>55</v>
      </c>
      <c r="F5777" s="13">
        <v>470.05</v>
      </c>
      <c r="G5777" s="13"/>
    </row>
    <row r="5778" spans="1:7" hidden="1" x14ac:dyDescent="0.75">
      <c r="A5778" s="51">
        <v>44937</v>
      </c>
      <c r="B5778" s="52">
        <v>1646</v>
      </c>
      <c r="C5778" s="8" t="s">
        <v>4012</v>
      </c>
      <c r="D5778" s="8" t="s">
        <v>640</v>
      </c>
      <c r="E5778" s="52">
        <v>55</v>
      </c>
      <c r="F5778" s="13">
        <v>305.5</v>
      </c>
      <c r="G5778" s="13"/>
    </row>
    <row r="5779" spans="1:7" hidden="1" x14ac:dyDescent="0.75">
      <c r="A5779" s="51">
        <v>44938</v>
      </c>
      <c r="B5779" s="52">
        <v>1646</v>
      </c>
      <c r="C5779" s="8" t="s">
        <v>4036</v>
      </c>
      <c r="D5779" s="8" t="s">
        <v>640</v>
      </c>
      <c r="E5779" s="52">
        <v>55</v>
      </c>
      <c r="F5779" s="13">
        <v>119.9</v>
      </c>
      <c r="G5779" s="13"/>
    </row>
    <row r="5780" spans="1:7" hidden="1" x14ac:dyDescent="0.75">
      <c r="A5780" s="51">
        <v>44938</v>
      </c>
      <c r="B5780" s="52">
        <v>1646</v>
      </c>
      <c r="C5780" s="8" t="s">
        <v>4037</v>
      </c>
      <c r="D5780" s="8" t="s">
        <v>640</v>
      </c>
      <c r="E5780" s="52">
        <v>55</v>
      </c>
      <c r="F5780" s="13">
        <v>294.47000000000003</v>
      </c>
      <c r="G5780" s="13"/>
    </row>
    <row r="5781" spans="1:7" hidden="1" x14ac:dyDescent="0.75">
      <c r="A5781" s="51">
        <v>44938</v>
      </c>
      <c r="B5781" s="52">
        <v>1646</v>
      </c>
      <c r="C5781" s="8" t="s">
        <v>4038</v>
      </c>
      <c r="D5781" s="8" t="s">
        <v>640</v>
      </c>
      <c r="E5781" s="52">
        <v>55</v>
      </c>
      <c r="F5781" s="13">
        <v>288.48</v>
      </c>
      <c r="G5781" s="13"/>
    </row>
    <row r="5782" spans="1:7" hidden="1" x14ac:dyDescent="0.75">
      <c r="A5782" s="51">
        <v>44939</v>
      </c>
      <c r="B5782" s="52">
        <v>1646</v>
      </c>
      <c r="C5782" s="8" t="s">
        <v>4068</v>
      </c>
      <c r="D5782" s="8" t="s">
        <v>640</v>
      </c>
      <c r="E5782" s="52">
        <v>55</v>
      </c>
      <c r="F5782" s="13">
        <v>1089.3</v>
      </c>
      <c r="G5782" s="13"/>
    </row>
    <row r="5783" spans="1:7" hidden="1" x14ac:dyDescent="0.75">
      <c r="A5783" s="51">
        <v>44939</v>
      </c>
      <c r="B5783" s="52">
        <v>1646</v>
      </c>
      <c r="C5783" s="8" t="s">
        <v>4069</v>
      </c>
      <c r="D5783" s="8" t="s">
        <v>640</v>
      </c>
      <c r="E5783" s="52">
        <v>55</v>
      </c>
      <c r="F5783" s="13">
        <v>76</v>
      </c>
      <c r="G5783" s="13"/>
    </row>
    <row r="5784" spans="1:7" hidden="1" x14ac:dyDescent="0.75">
      <c r="A5784" s="51">
        <v>44940</v>
      </c>
      <c r="B5784" s="52">
        <v>1646</v>
      </c>
      <c r="C5784" s="8" t="s">
        <v>4107</v>
      </c>
      <c r="D5784" s="8" t="s">
        <v>640</v>
      </c>
      <c r="E5784" s="52">
        <v>55</v>
      </c>
      <c r="F5784" s="13">
        <v>600.53</v>
      </c>
      <c r="G5784" s="13"/>
    </row>
    <row r="5785" spans="1:7" hidden="1" x14ac:dyDescent="0.75">
      <c r="A5785" s="51">
        <v>44940</v>
      </c>
      <c r="B5785" s="52">
        <v>1646</v>
      </c>
      <c r="C5785" s="8" t="s">
        <v>4108</v>
      </c>
      <c r="D5785" s="8" t="s">
        <v>640</v>
      </c>
      <c r="E5785" s="52">
        <v>55</v>
      </c>
      <c r="F5785" s="13">
        <v>743.18</v>
      </c>
      <c r="G5785" s="13"/>
    </row>
    <row r="5786" spans="1:7" hidden="1" x14ac:dyDescent="0.75">
      <c r="A5786" s="51">
        <v>44940</v>
      </c>
      <c r="B5786" s="52">
        <v>1646</v>
      </c>
      <c r="C5786" s="8" t="s">
        <v>4109</v>
      </c>
      <c r="D5786" s="8" t="s">
        <v>640</v>
      </c>
      <c r="E5786" s="52">
        <v>55</v>
      </c>
      <c r="F5786" s="13">
        <v>576.04999999999995</v>
      </c>
      <c r="G5786" s="13"/>
    </row>
    <row r="5787" spans="1:7" hidden="1" x14ac:dyDescent="0.75">
      <c r="A5787" s="51">
        <v>44942</v>
      </c>
      <c r="B5787" s="52">
        <v>1646</v>
      </c>
      <c r="C5787" s="8" t="s">
        <v>4133</v>
      </c>
      <c r="D5787" s="8" t="s">
        <v>640</v>
      </c>
      <c r="E5787" s="52">
        <v>55</v>
      </c>
      <c r="F5787" s="13">
        <v>736.1</v>
      </c>
      <c r="G5787" s="13"/>
    </row>
    <row r="5788" spans="1:7" hidden="1" x14ac:dyDescent="0.75">
      <c r="A5788" s="51">
        <v>44943</v>
      </c>
      <c r="B5788" s="52">
        <v>1646</v>
      </c>
      <c r="C5788" s="8" t="s">
        <v>4161</v>
      </c>
      <c r="D5788" s="8" t="s">
        <v>640</v>
      </c>
      <c r="E5788" s="52">
        <v>55</v>
      </c>
      <c r="F5788" s="13">
        <v>210.2</v>
      </c>
      <c r="G5788" s="13"/>
    </row>
    <row r="5789" spans="1:7" hidden="1" x14ac:dyDescent="0.75">
      <c r="A5789" s="51">
        <v>44943</v>
      </c>
      <c r="B5789" s="52">
        <v>1646</v>
      </c>
      <c r="C5789" s="8" t="s">
        <v>4162</v>
      </c>
      <c r="D5789" s="8" t="s">
        <v>640</v>
      </c>
      <c r="E5789" s="52">
        <v>55</v>
      </c>
      <c r="F5789" s="13">
        <v>631.54</v>
      </c>
      <c r="G5789" s="13"/>
    </row>
    <row r="5790" spans="1:7" hidden="1" x14ac:dyDescent="0.75">
      <c r="A5790" s="51">
        <v>44943</v>
      </c>
      <c r="B5790" s="52">
        <v>1646</v>
      </c>
      <c r="C5790" s="8" t="s">
        <v>4163</v>
      </c>
      <c r="D5790" s="8" t="s">
        <v>640</v>
      </c>
      <c r="E5790" s="52">
        <v>55</v>
      </c>
      <c r="F5790" s="13">
        <v>395.96</v>
      </c>
      <c r="G5790" s="13"/>
    </row>
    <row r="5791" spans="1:7" hidden="1" x14ac:dyDescent="0.75">
      <c r="A5791" s="51">
        <v>44944</v>
      </c>
      <c r="B5791" s="52">
        <v>1646</v>
      </c>
      <c r="C5791" s="8" t="s">
        <v>4193</v>
      </c>
      <c r="D5791" s="8" t="s">
        <v>640</v>
      </c>
      <c r="E5791" s="52">
        <v>55</v>
      </c>
      <c r="F5791" s="13">
        <v>358.49</v>
      </c>
      <c r="G5791" s="13"/>
    </row>
    <row r="5792" spans="1:7" hidden="1" x14ac:dyDescent="0.75">
      <c r="A5792" s="51">
        <v>44944</v>
      </c>
      <c r="B5792" s="52">
        <v>1646</v>
      </c>
      <c r="C5792" s="8" t="s">
        <v>4194</v>
      </c>
      <c r="D5792" s="8" t="s">
        <v>640</v>
      </c>
      <c r="E5792" s="52">
        <v>55</v>
      </c>
      <c r="F5792" s="13">
        <v>342.75</v>
      </c>
      <c r="G5792" s="13"/>
    </row>
    <row r="5793" spans="1:7" hidden="1" x14ac:dyDescent="0.75">
      <c r="A5793" s="51">
        <v>44944</v>
      </c>
      <c r="B5793" s="52">
        <v>1646</v>
      </c>
      <c r="C5793" s="8" t="s">
        <v>4195</v>
      </c>
      <c r="D5793" s="8" t="s">
        <v>640</v>
      </c>
      <c r="E5793" s="52">
        <v>55</v>
      </c>
      <c r="F5793" s="13">
        <v>322.3</v>
      </c>
      <c r="G5793" s="13"/>
    </row>
    <row r="5794" spans="1:7" hidden="1" x14ac:dyDescent="0.75">
      <c r="A5794" s="51">
        <v>44945</v>
      </c>
      <c r="B5794" s="52">
        <v>1646</v>
      </c>
      <c r="C5794" s="8" t="s">
        <v>4218</v>
      </c>
      <c r="D5794" s="8" t="s">
        <v>640</v>
      </c>
      <c r="E5794" s="52">
        <v>55</v>
      </c>
      <c r="F5794" s="13">
        <v>429.19</v>
      </c>
      <c r="G5794" s="13"/>
    </row>
    <row r="5795" spans="1:7" hidden="1" x14ac:dyDescent="0.75">
      <c r="A5795" s="51">
        <v>44945</v>
      </c>
      <c r="B5795" s="52">
        <v>1646</v>
      </c>
      <c r="C5795" s="8" t="s">
        <v>4219</v>
      </c>
      <c r="D5795" s="8" t="s">
        <v>640</v>
      </c>
      <c r="E5795" s="52">
        <v>55</v>
      </c>
      <c r="F5795" s="13">
        <v>181.64</v>
      </c>
      <c r="G5795" s="13"/>
    </row>
    <row r="5796" spans="1:7" hidden="1" x14ac:dyDescent="0.75">
      <c r="A5796" s="51">
        <v>44945</v>
      </c>
      <c r="B5796" s="52">
        <v>1646</v>
      </c>
      <c r="C5796" s="8" t="s">
        <v>4221</v>
      </c>
      <c r="D5796" s="8" t="s">
        <v>640</v>
      </c>
      <c r="E5796" s="52">
        <v>55</v>
      </c>
      <c r="F5796" s="13">
        <v>684.45</v>
      </c>
      <c r="G5796" s="13"/>
    </row>
    <row r="5797" spans="1:7" hidden="1" x14ac:dyDescent="0.75">
      <c r="A5797" s="51">
        <v>44945</v>
      </c>
      <c r="B5797" s="52">
        <v>1646</v>
      </c>
      <c r="C5797" s="8" t="s">
        <v>4222</v>
      </c>
      <c r="D5797" s="8" t="s">
        <v>640</v>
      </c>
      <c r="E5797" s="52">
        <v>55</v>
      </c>
      <c r="F5797" s="13">
        <v>4.57</v>
      </c>
      <c r="G5797" s="13"/>
    </row>
    <row r="5798" spans="1:7" hidden="1" x14ac:dyDescent="0.75">
      <c r="A5798" s="51">
        <v>44946</v>
      </c>
      <c r="B5798" s="52">
        <v>1646</v>
      </c>
      <c r="C5798" s="8" t="s">
        <v>4250</v>
      </c>
      <c r="D5798" s="8" t="s">
        <v>640</v>
      </c>
      <c r="E5798" s="52">
        <v>55</v>
      </c>
      <c r="F5798" s="13">
        <v>532.33000000000004</v>
      </c>
      <c r="G5798" s="13"/>
    </row>
    <row r="5799" spans="1:7" hidden="1" x14ac:dyDescent="0.75">
      <c r="A5799" s="51">
        <v>44946</v>
      </c>
      <c r="B5799" s="52">
        <v>1646</v>
      </c>
      <c r="C5799" s="8" t="s">
        <v>4251</v>
      </c>
      <c r="D5799" s="8" t="s">
        <v>640</v>
      </c>
      <c r="E5799" s="52">
        <v>55</v>
      </c>
      <c r="F5799" s="13">
        <v>499.6</v>
      </c>
      <c r="G5799" s="13"/>
    </row>
    <row r="5800" spans="1:7" hidden="1" x14ac:dyDescent="0.75">
      <c r="A5800" s="51">
        <v>44947</v>
      </c>
      <c r="B5800" s="52">
        <v>1646</v>
      </c>
      <c r="C5800" s="8" t="s">
        <v>4283</v>
      </c>
      <c r="D5800" s="8" t="s">
        <v>640</v>
      </c>
      <c r="E5800" s="52">
        <v>55</v>
      </c>
      <c r="F5800" s="13">
        <v>465.1</v>
      </c>
      <c r="G5800" s="13"/>
    </row>
    <row r="5801" spans="1:7" hidden="1" x14ac:dyDescent="0.75">
      <c r="A5801" s="51">
        <v>44947</v>
      </c>
      <c r="B5801" s="52">
        <v>1646</v>
      </c>
      <c r="C5801" s="8" t="s">
        <v>4284</v>
      </c>
      <c r="D5801" s="8" t="s">
        <v>640</v>
      </c>
      <c r="E5801" s="52">
        <v>55</v>
      </c>
      <c r="F5801" s="13">
        <v>365.18</v>
      </c>
      <c r="G5801" s="13"/>
    </row>
    <row r="5802" spans="1:7" hidden="1" x14ac:dyDescent="0.75">
      <c r="A5802" s="51">
        <v>44947</v>
      </c>
      <c r="B5802" s="52">
        <v>1646</v>
      </c>
      <c r="C5802" s="8" t="s">
        <v>4285</v>
      </c>
      <c r="D5802" s="8" t="s">
        <v>640</v>
      </c>
      <c r="E5802" s="52">
        <v>55</v>
      </c>
      <c r="F5802" s="13">
        <v>582.95000000000005</v>
      </c>
      <c r="G5802" s="13"/>
    </row>
    <row r="5803" spans="1:7" hidden="1" x14ac:dyDescent="0.75">
      <c r="A5803" s="51">
        <v>44949</v>
      </c>
      <c r="B5803" s="52">
        <v>1646</v>
      </c>
      <c r="C5803" s="8" t="s">
        <v>4311</v>
      </c>
      <c r="D5803" s="8" t="s">
        <v>640</v>
      </c>
      <c r="E5803" s="52">
        <v>55</v>
      </c>
      <c r="F5803" s="13">
        <v>308.86</v>
      </c>
      <c r="G5803" s="13"/>
    </row>
    <row r="5804" spans="1:7" hidden="1" x14ac:dyDescent="0.75">
      <c r="A5804" s="51">
        <v>44949</v>
      </c>
      <c r="B5804" s="52">
        <v>1646</v>
      </c>
      <c r="C5804" s="8" t="s">
        <v>4312</v>
      </c>
      <c r="D5804" s="8" t="s">
        <v>640</v>
      </c>
      <c r="E5804" s="52">
        <v>55</v>
      </c>
      <c r="F5804" s="13">
        <v>232.95</v>
      </c>
      <c r="G5804" s="13"/>
    </row>
    <row r="5805" spans="1:7" hidden="1" x14ac:dyDescent="0.75">
      <c r="A5805" s="51">
        <v>44950</v>
      </c>
      <c r="B5805" s="52">
        <v>1646</v>
      </c>
      <c r="C5805" s="8" t="s">
        <v>4346</v>
      </c>
      <c r="D5805" s="8" t="s">
        <v>640</v>
      </c>
      <c r="E5805" s="52">
        <v>55</v>
      </c>
      <c r="F5805" s="13">
        <v>417.27</v>
      </c>
      <c r="G5805" s="13"/>
    </row>
    <row r="5806" spans="1:7" hidden="1" x14ac:dyDescent="0.75">
      <c r="A5806" s="51">
        <v>44950</v>
      </c>
      <c r="B5806" s="52">
        <v>1646</v>
      </c>
      <c r="C5806" s="8" t="s">
        <v>4347</v>
      </c>
      <c r="D5806" s="8" t="s">
        <v>640</v>
      </c>
      <c r="E5806" s="52">
        <v>55</v>
      </c>
      <c r="F5806" s="13">
        <v>254.15</v>
      </c>
      <c r="G5806" s="13"/>
    </row>
    <row r="5807" spans="1:7" hidden="1" x14ac:dyDescent="0.75">
      <c r="A5807" s="51">
        <v>44950</v>
      </c>
      <c r="B5807" s="52">
        <v>1646</v>
      </c>
      <c r="C5807" s="8" t="s">
        <v>4348</v>
      </c>
      <c r="D5807" s="8" t="s">
        <v>640</v>
      </c>
      <c r="E5807" s="52">
        <v>55</v>
      </c>
      <c r="F5807" s="13">
        <v>35</v>
      </c>
      <c r="G5807" s="13"/>
    </row>
    <row r="5808" spans="1:7" hidden="1" x14ac:dyDescent="0.75">
      <c r="A5808" s="51">
        <v>44950</v>
      </c>
      <c r="B5808" s="52">
        <v>1646</v>
      </c>
      <c r="C5808" s="8" t="s">
        <v>4349</v>
      </c>
      <c r="D5808" s="8" t="s">
        <v>640</v>
      </c>
      <c r="E5808" s="52">
        <v>55</v>
      </c>
      <c r="F5808" s="13">
        <v>2.08</v>
      </c>
      <c r="G5808" s="13"/>
    </row>
    <row r="5809" spans="1:7" hidden="1" x14ac:dyDescent="0.75">
      <c r="A5809" s="51">
        <v>44950</v>
      </c>
      <c r="B5809" s="52">
        <v>1646</v>
      </c>
      <c r="C5809" s="8" t="s">
        <v>4350</v>
      </c>
      <c r="D5809" s="8" t="s">
        <v>640</v>
      </c>
      <c r="E5809" s="52">
        <v>55</v>
      </c>
      <c r="F5809" s="13">
        <v>665.95</v>
      </c>
      <c r="G5809" s="13"/>
    </row>
    <row r="5810" spans="1:7" hidden="1" x14ac:dyDescent="0.75">
      <c r="A5810" s="51">
        <v>44950</v>
      </c>
      <c r="B5810" s="52">
        <v>1646</v>
      </c>
      <c r="C5810" s="8" t="s">
        <v>4351</v>
      </c>
      <c r="D5810" s="8" t="s">
        <v>640</v>
      </c>
      <c r="E5810" s="52">
        <v>55</v>
      </c>
      <c r="F5810" s="13">
        <v>261.14999999999998</v>
      </c>
      <c r="G5810" s="13"/>
    </row>
    <row r="5811" spans="1:7" hidden="1" x14ac:dyDescent="0.75">
      <c r="A5811" s="51">
        <v>44951</v>
      </c>
      <c r="B5811" s="52">
        <v>1646</v>
      </c>
      <c r="C5811" s="8" t="s">
        <v>4380</v>
      </c>
      <c r="D5811" s="8" t="s">
        <v>640</v>
      </c>
      <c r="E5811" s="52">
        <v>55</v>
      </c>
      <c r="F5811" s="13">
        <v>222.5</v>
      </c>
      <c r="G5811" s="13"/>
    </row>
    <row r="5812" spans="1:7" hidden="1" x14ac:dyDescent="0.75">
      <c r="A5812" s="51">
        <v>44951</v>
      </c>
      <c r="B5812" s="52">
        <v>1646</v>
      </c>
      <c r="C5812" s="8" t="s">
        <v>4381</v>
      </c>
      <c r="D5812" s="8" t="s">
        <v>640</v>
      </c>
      <c r="E5812" s="52">
        <v>55</v>
      </c>
      <c r="F5812" s="13">
        <v>108.41</v>
      </c>
      <c r="G5812" s="13"/>
    </row>
    <row r="5813" spans="1:7" hidden="1" x14ac:dyDescent="0.75">
      <c r="A5813" s="51">
        <v>44951</v>
      </c>
      <c r="B5813" s="52">
        <v>1646</v>
      </c>
      <c r="C5813" s="8" t="s">
        <v>4382</v>
      </c>
      <c r="D5813" s="8" t="s">
        <v>640</v>
      </c>
      <c r="E5813" s="52">
        <v>55</v>
      </c>
      <c r="F5813" s="13">
        <v>531.85</v>
      </c>
      <c r="G5813" s="13"/>
    </row>
    <row r="5814" spans="1:7" hidden="1" x14ac:dyDescent="0.75">
      <c r="A5814" s="51">
        <v>44952</v>
      </c>
      <c r="B5814" s="52">
        <v>1646</v>
      </c>
      <c r="C5814" s="8" t="s">
        <v>4408</v>
      </c>
      <c r="D5814" s="8" t="s">
        <v>640</v>
      </c>
      <c r="E5814" s="52">
        <v>55</v>
      </c>
      <c r="F5814" s="13">
        <v>88.5</v>
      </c>
      <c r="G5814" s="13"/>
    </row>
    <row r="5815" spans="1:7" hidden="1" x14ac:dyDescent="0.75">
      <c r="A5815" s="51">
        <v>44952</v>
      </c>
      <c r="B5815" s="52">
        <v>1646</v>
      </c>
      <c r="C5815" s="8" t="s">
        <v>4409</v>
      </c>
      <c r="D5815" s="8" t="s">
        <v>640</v>
      </c>
      <c r="E5815" s="52">
        <v>55</v>
      </c>
      <c r="F5815" s="13">
        <v>135.75</v>
      </c>
      <c r="G5815" s="13"/>
    </row>
    <row r="5816" spans="1:7" hidden="1" x14ac:dyDescent="0.75">
      <c r="A5816" s="51">
        <v>44952</v>
      </c>
      <c r="B5816" s="52">
        <v>1646</v>
      </c>
      <c r="C5816" s="8" t="s">
        <v>4410</v>
      </c>
      <c r="D5816" s="8" t="s">
        <v>640</v>
      </c>
      <c r="E5816" s="52">
        <v>55</v>
      </c>
      <c r="F5816" s="13">
        <v>2.88</v>
      </c>
      <c r="G5816" s="13"/>
    </row>
    <row r="5817" spans="1:7" hidden="1" x14ac:dyDescent="0.75">
      <c r="A5817" s="51">
        <v>44952</v>
      </c>
      <c r="B5817" s="52">
        <v>1646</v>
      </c>
      <c r="C5817" s="8" t="s">
        <v>4411</v>
      </c>
      <c r="D5817" s="8" t="s">
        <v>640</v>
      </c>
      <c r="E5817" s="52">
        <v>55</v>
      </c>
      <c r="F5817" s="13">
        <v>80.5</v>
      </c>
      <c r="G5817" s="13"/>
    </row>
    <row r="5818" spans="1:7" hidden="1" x14ac:dyDescent="0.75">
      <c r="A5818" s="51">
        <v>44952</v>
      </c>
      <c r="B5818" s="52">
        <v>1646</v>
      </c>
      <c r="C5818" s="8" t="s">
        <v>4412</v>
      </c>
      <c r="D5818" s="8" t="s">
        <v>640</v>
      </c>
      <c r="E5818" s="52">
        <v>55</v>
      </c>
      <c r="F5818" s="13">
        <v>263.88</v>
      </c>
      <c r="G5818" s="13"/>
    </row>
    <row r="5819" spans="1:7" hidden="1" x14ac:dyDescent="0.75">
      <c r="A5819" s="51">
        <v>44952</v>
      </c>
      <c r="B5819" s="52">
        <v>1646</v>
      </c>
      <c r="C5819" s="8" t="s">
        <v>4413</v>
      </c>
      <c r="D5819" s="8" t="s">
        <v>640</v>
      </c>
      <c r="E5819" s="52">
        <v>55</v>
      </c>
      <c r="F5819" s="13">
        <v>348</v>
      </c>
      <c r="G5819" s="13"/>
    </row>
    <row r="5820" spans="1:7" hidden="1" x14ac:dyDescent="0.75">
      <c r="A5820" s="51">
        <v>44953</v>
      </c>
      <c r="B5820" s="52">
        <v>1646</v>
      </c>
      <c r="C5820" s="8" t="s">
        <v>4449</v>
      </c>
      <c r="D5820" s="8" t="s">
        <v>640</v>
      </c>
      <c r="E5820" s="52">
        <v>55</v>
      </c>
      <c r="F5820" s="13">
        <v>590.20000000000005</v>
      </c>
      <c r="G5820" s="13"/>
    </row>
    <row r="5821" spans="1:7" hidden="1" x14ac:dyDescent="0.75">
      <c r="A5821" s="51">
        <v>44954</v>
      </c>
      <c r="B5821" s="52">
        <v>1646</v>
      </c>
      <c r="C5821" s="8" t="s">
        <v>4478</v>
      </c>
      <c r="D5821" s="8" t="s">
        <v>640</v>
      </c>
      <c r="E5821" s="52">
        <v>55</v>
      </c>
      <c r="F5821" s="13">
        <v>431.65</v>
      </c>
      <c r="G5821" s="13"/>
    </row>
    <row r="5822" spans="1:7" hidden="1" x14ac:dyDescent="0.75">
      <c r="A5822" s="51">
        <v>44954</v>
      </c>
      <c r="B5822" s="52">
        <v>1646</v>
      </c>
      <c r="C5822" s="8" t="s">
        <v>4479</v>
      </c>
      <c r="D5822" s="8" t="s">
        <v>640</v>
      </c>
      <c r="E5822" s="52">
        <v>55</v>
      </c>
      <c r="F5822" s="13">
        <v>656.85</v>
      </c>
      <c r="G5822" s="13"/>
    </row>
    <row r="5823" spans="1:7" hidden="1" x14ac:dyDescent="0.75">
      <c r="A5823" s="51">
        <v>44954</v>
      </c>
      <c r="B5823" s="52">
        <v>1646</v>
      </c>
      <c r="C5823" s="8" t="s">
        <v>4480</v>
      </c>
      <c r="D5823" s="8" t="s">
        <v>640</v>
      </c>
      <c r="E5823" s="52">
        <v>55</v>
      </c>
      <c r="F5823" s="13">
        <v>706.6</v>
      </c>
      <c r="G5823" s="13"/>
    </row>
    <row r="5824" spans="1:7" hidden="1" x14ac:dyDescent="0.75">
      <c r="A5824" s="51">
        <v>44956</v>
      </c>
      <c r="B5824" s="52">
        <v>1646</v>
      </c>
      <c r="C5824" s="8" t="s">
        <v>4505</v>
      </c>
      <c r="D5824" s="8" t="s">
        <v>640</v>
      </c>
      <c r="E5824" s="52">
        <v>55</v>
      </c>
      <c r="F5824" s="13">
        <v>475.58</v>
      </c>
      <c r="G5824" s="13"/>
    </row>
    <row r="5825" spans="1:7" hidden="1" x14ac:dyDescent="0.75">
      <c r="A5825" s="51">
        <v>44957</v>
      </c>
      <c r="B5825" s="52">
        <v>1646</v>
      </c>
      <c r="C5825" s="8" t="s">
        <v>4544</v>
      </c>
      <c r="D5825" s="8" t="s">
        <v>640</v>
      </c>
      <c r="E5825" s="52">
        <v>55</v>
      </c>
      <c r="F5825" s="13">
        <v>28.5</v>
      </c>
      <c r="G5825" s="13"/>
    </row>
    <row r="5826" spans="1:7" hidden="1" x14ac:dyDescent="0.75">
      <c r="A5826" s="51">
        <v>44957</v>
      </c>
      <c r="B5826" s="52">
        <v>1646</v>
      </c>
      <c r="C5826" s="8" t="s">
        <v>4545</v>
      </c>
      <c r="D5826" s="8" t="s">
        <v>640</v>
      </c>
      <c r="E5826" s="52">
        <v>55</v>
      </c>
      <c r="F5826" s="13">
        <v>218.2</v>
      </c>
      <c r="G5826" s="13"/>
    </row>
    <row r="5827" spans="1:7" hidden="1" x14ac:dyDescent="0.75">
      <c r="A5827" s="51">
        <v>44957</v>
      </c>
      <c r="B5827" s="52">
        <v>1646</v>
      </c>
      <c r="C5827" s="8" t="s">
        <v>4546</v>
      </c>
      <c r="D5827" s="8" t="s">
        <v>640</v>
      </c>
      <c r="E5827" s="52">
        <v>55</v>
      </c>
      <c r="F5827" s="13">
        <v>60</v>
      </c>
      <c r="G5827" s="13"/>
    </row>
    <row r="5828" spans="1:7" hidden="1" x14ac:dyDescent="0.75">
      <c r="A5828" s="51">
        <v>44957</v>
      </c>
      <c r="B5828" s="52">
        <v>1646</v>
      </c>
      <c r="C5828" s="8" t="s">
        <v>4547</v>
      </c>
      <c r="D5828" s="8" t="s">
        <v>640</v>
      </c>
      <c r="E5828" s="52">
        <v>55</v>
      </c>
      <c r="F5828" s="13">
        <v>44.8</v>
      </c>
      <c r="G5828" s="13"/>
    </row>
    <row r="5829" spans="1:7" hidden="1" x14ac:dyDescent="0.75">
      <c r="A5829" s="51">
        <v>44957</v>
      </c>
      <c r="B5829" s="52">
        <v>1646</v>
      </c>
      <c r="C5829" s="8" t="s">
        <v>4548</v>
      </c>
      <c r="D5829" s="8" t="s">
        <v>640</v>
      </c>
      <c r="E5829" s="52">
        <v>55</v>
      </c>
      <c r="F5829" s="13">
        <v>809.48</v>
      </c>
      <c r="G5829" s="13"/>
    </row>
    <row r="5830" spans="1:7" hidden="1" x14ac:dyDescent="0.75">
      <c r="A5830" s="51">
        <v>44957</v>
      </c>
      <c r="B5830" s="52">
        <v>1646</v>
      </c>
      <c r="C5830" s="8" t="s">
        <v>4550</v>
      </c>
      <c r="D5830" s="8" t="s">
        <v>640</v>
      </c>
      <c r="E5830" s="52">
        <v>55</v>
      </c>
      <c r="F5830" s="13">
        <v>572.28</v>
      </c>
      <c r="G5830" s="13"/>
    </row>
    <row r="5831" spans="1:7" hidden="1" x14ac:dyDescent="0.75">
      <c r="A5831" s="51">
        <v>44957</v>
      </c>
      <c r="B5831" s="52">
        <v>1646</v>
      </c>
      <c r="C5831" s="8" t="s">
        <v>4551</v>
      </c>
      <c r="D5831" s="8" t="s">
        <v>640</v>
      </c>
      <c r="E5831" s="52">
        <v>55</v>
      </c>
      <c r="F5831" s="13">
        <v>85.48</v>
      </c>
      <c r="G5831" s="13"/>
    </row>
    <row r="5832" spans="1:7" hidden="1" x14ac:dyDescent="0.75">
      <c r="A5832" s="51">
        <v>44957</v>
      </c>
      <c r="B5832" s="52">
        <v>1646</v>
      </c>
      <c r="C5832" s="8" t="s">
        <v>4552</v>
      </c>
      <c r="D5832" s="8" t="s">
        <v>640</v>
      </c>
      <c r="E5832" s="52">
        <v>55</v>
      </c>
      <c r="F5832" s="13">
        <v>8993.57</v>
      </c>
      <c r="G5832" s="13"/>
    </row>
    <row r="5833" spans="1:7" hidden="1" x14ac:dyDescent="0.75">
      <c r="A5833" s="51">
        <v>44957</v>
      </c>
      <c r="B5833" s="52">
        <v>1646</v>
      </c>
      <c r="C5833" s="8" t="s">
        <v>4553</v>
      </c>
      <c r="D5833" s="8" t="s">
        <v>640</v>
      </c>
      <c r="E5833" s="52">
        <v>55</v>
      </c>
      <c r="F5833" s="13">
        <v>6285.31</v>
      </c>
      <c r="G5833" s="13"/>
    </row>
    <row r="5834" spans="1:7" hidden="1" x14ac:dyDescent="0.75">
      <c r="A5834" s="51">
        <v>44928</v>
      </c>
      <c r="B5834" s="52">
        <v>312</v>
      </c>
      <c r="C5834" s="8" t="s">
        <v>4600</v>
      </c>
      <c r="D5834" s="8" t="s">
        <v>648</v>
      </c>
      <c r="E5834" s="52">
        <v>1292</v>
      </c>
      <c r="F5834" s="13">
        <v>32.53</v>
      </c>
      <c r="G5834" s="13"/>
    </row>
    <row r="5835" spans="1:7" hidden="1" x14ac:dyDescent="0.75">
      <c r="A5835" s="51">
        <v>44929</v>
      </c>
      <c r="B5835" s="52">
        <v>312</v>
      </c>
      <c r="C5835" s="8" t="s">
        <v>4616</v>
      </c>
      <c r="D5835" s="8" t="s">
        <v>648</v>
      </c>
      <c r="E5835" s="52">
        <v>1292</v>
      </c>
      <c r="F5835" s="13">
        <v>65.06</v>
      </c>
      <c r="G5835" s="13"/>
    </row>
    <row r="5836" spans="1:7" hidden="1" x14ac:dyDescent="0.75">
      <c r="A5836" s="51">
        <v>44929</v>
      </c>
      <c r="B5836" s="52">
        <v>312</v>
      </c>
      <c r="C5836" s="8" t="s">
        <v>4617</v>
      </c>
      <c r="D5836" s="8" t="s">
        <v>648</v>
      </c>
      <c r="E5836" s="52">
        <v>1292</v>
      </c>
      <c r="F5836" s="13">
        <v>32.53</v>
      </c>
      <c r="G5836" s="13"/>
    </row>
    <row r="5837" spans="1:7" hidden="1" x14ac:dyDescent="0.75">
      <c r="A5837" s="51">
        <v>44930</v>
      </c>
      <c r="B5837" s="52">
        <v>312</v>
      </c>
      <c r="C5837" s="8" t="s">
        <v>4618</v>
      </c>
      <c r="D5837" s="8" t="s">
        <v>648</v>
      </c>
      <c r="E5837" s="52">
        <v>1292</v>
      </c>
      <c r="F5837" s="13">
        <v>65.06</v>
      </c>
      <c r="G5837" s="13"/>
    </row>
    <row r="5838" spans="1:7" hidden="1" x14ac:dyDescent="0.75">
      <c r="A5838" s="51">
        <v>44930</v>
      </c>
      <c r="B5838" s="52">
        <v>312</v>
      </c>
      <c r="C5838" s="8" t="s">
        <v>4703</v>
      </c>
      <c r="D5838" s="8" t="s">
        <v>648</v>
      </c>
      <c r="E5838" s="52">
        <v>1859</v>
      </c>
      <c r="F5838" s="13">
        <v>14850</v>
      </c>
      <c r="G5838" s="13"/>
    </row>
    <row r="5839" spans="1:7" hidden="1" x14ac:dyDescent="0.75">
      <c r="A5839" s="51">
        <v>44930</v>
      </c>
      <c r="B5839" s="52">
        <v>312</v>
      </c>
      <c r="C5839" s="8" t="s">
        <v>4579</v>
      </c>
      <c r="D5839" s="8" t="s">
        <v>648</v>
      </c>
      <c r="E5839" s="52">
        <v>948</v>
      </c>
      <c r="F5839" s="13">
        <v>1622.1</v>
      </c>
      <c r="G5839" s="13"/>
    </row>
    <row r="5840" spans="1:7" hidden="1" x14ac:dyDescent="0.75">
      <c r="A5840" s="51">
        <v>44931</v>
      </c>
      <c r="B5840" s="52">
        <v>312</v>
      </c>
      <c r="C5840" s="8" t="s">
        <v>4689</v>
      </c>
      <c r="D5840" s="8" t="s">
        <v>648</v>
      </c>
      <c r="E5840" s="52">
        <v>1500</v>
      </c>
      <c r="F5840" s="13">
        <v>24000</v>
      </c>
      <c r="G5840" s="13"/>
    </row>
    <row r="5841" spans="1:7" hidden="1" x14ac:dyDescent="0.75">
      <c r="A5841" s="51">
        <v>44931</v>
      </c>
      <c r="B5841" s="52">
        <v>312</v>
      </c>
      <c r="C5841" s="8" t="s">
        <v>4595</v>
      </c>
      <c r="D5841" s="8" t="s">
        <v>648</v>
      </c>
      <c r="E5841" s="52">
        <v>985</v>
      </c>
      <c r="F5841" s="13">
        <v>11550</v>
      </c>
      <c r="G5841" s="13"/>
    </row>
    <row r="5842" spans="1:7" hidden="1" x14ac:dyDescent="0.75">
      <c r="A5842" s="51">
        <v>44931</v>
      </c>
      <c r="B5842" s="52">
        <v>312</v>
      </c>
      <c r="C5842" s="8" t="s">
        <v>4619</v>
      </c>
      <c r="D5842" s="8" t="s">
        <v>648</v>
      </c>
      <c r="E5842" s="52">
        <v>1292</v>
      </c>
      <c r="F5842" s="13">
        <v>32.53</v>
      </c>
      <c r="G5842" s="13"/>
    </row>
    <row r="5843" spans="1:7" hidden="1" x14ac:dyDescent="0.75">
      <c r="A5843" s="51">
        <v>44932</v>
      </c>
      <c r="B5843" s="52">
        <v>312</v>
      </c>
      <c r="C5843" s="8" t="s">
        <v>4620</v>
      </c>
      <c r="D5843" s="8" t="s">
        <v>648</v>
      </c>
      <c r="E5843" s="52">
        <v>1292</v>
      </c>
      <c r="F5843" s="13">
        <v>130.12</v>
      </c>
      <c r="G5843" s="13"/>
    </row>
    <row r="5844" spans="1:7" hidden="1" x14ac:dyDescent="0.75">
      <c r="A5844" s="51">
        <v>44933</v>
      </c>
      <c r="B5844" s="52">
        <v>312</v>
      </c>
      <c r="C5844" s="8" t="s">
        <v>4621</v>
      </c>
      <c r="D5844" s="8" t="s">
        <v>648</v>
      </c>
      <c r="E5844" s="52">
        <v>1292</v>
      </c>
      <c r="F5844" s="13">
        <v>32.53</v>
      </c>
      <c r="G5844" s="13"/>
    </row>
    <row r="5845" spans="1:7" hidden="1" x14ac:dyDescent="0.75">
      <c r="A5845" s="51">
        <v>44933</v>
      </c>
      <c r="B5845" s="52">
        <v>312</v>
      </c>
      <c r="C5845" s="8" t="s">
        <v>4707</v>
      </c>
      <c r="D5845" s="8" t="s">
        <v>648</v>
      </c>
      <c r="E5845" s="52">
        <v>1915</v>
      </c>
      <c r="F5845" s="13">
        <v>4500</v>
      </c>
      <c r="G5845" s="13"/>
    </row>
    <row r="5846" spans="1:7" hidden="1" x14ac:dyDescent="0.75">
      <c r="A5846" s="51">
        <v>44935</v>
      </c>
      <c r="B5846" s="52">
        <v>312</v>
      </c>
      <c r="C5846" s="8" t="s">
        <v>4622</v>
      </c>
      <c r="D5846" s="8" t="s">
        <v>648</v>
      </c>
      <c r="E5846" s="52">
        <v>1292</v>
      </c>
      <c r="F5846" s="13">
        <v>32.53</v>
      </c>
      <c r="G5846" s="13"/>
    </row>
    <row r="5847" spans="1:7" hidden="1" x14ac:dyDescent="0.75">
      <c r="A5847" s="51">
        <v>44936</v>
      </c>
      <c r="B5847" s="52">
        <v>312</v>
      </c>
      <c r="C5847" s="8" t="s">
        <v>4623</v>
      </c>
      <c r="D5847" s="8" t="s">
        <v>648</v>
      </c>
      <c r="E5847" s="52">
        <v>1292</v>
      </c>
      <c r="F5847" s="13">
        <v>65.06</v>
      </c>
      <c r="G5847" s="13"/>
    </row>
    <row r="5848" spans="1:7" hidden="1" x14ac:dyDescent="0.75">
      <c r="A5848" s="51">
        <v>44936</v>
      </c>
      <c r="B5848" s="52">
        <v>312</v>
      </c>
      <c r="C5848" s="8" t="s">
        <v>4580</v>
      </c>
      <c r="D5848" s="8" t="s">
        <v>648</v>
      </c>
      <c r="E5848" s="52">
        <v>948</v>
      </c>
      <c r="F5848" s="13">
        <v>1504.82</v>
      </c>
      <c r="G5848" s="13"/>
    </row>
    <row r="5849" spans="1:7" hidden="1" x14ac:dyDescent="0.75">
      <c r="A5849" s="51">
        <v>44937</v>
      </c>
      <c r="B5849" s="52">
        <v>312</v>
      </c>
      <c r="C5849" s="8" t="s">
        <v>4632</v>
      </c>
      <c r="D5849" s="8" t="s">
        <v>648</v>
      </c>
      <c r="E5849" s="52">
        <v>1292</v>
      </c>
      <c r="F5849" s="13">
        <v>65.06</v>
      </c>
      <c r="G5849" s="13"/>
    </row>
    <row r="5850" spans="1:7" hidden="1" x14ac:dyDescent="0.75">
      <c r="A5850" s="51">
        <v>44938</v>
      </c>
      <c r="B5850" s="52">
        <v>312</v>
      </c>
      <c r="C5850" s="8" t="s">
        <v>4633</v>
      </c>
      <c r="D5850" s="8" t="s">
        <v>648</v>
      </c>
      <c r="E5850" s="52">
        <v>1292</v>
      </c>
      <c r="F5850" s="13">
        <v>32.53</v>
      </c>
      <c r="G5850" s="13"/>
    </row>
    <row r="5851" spans="1:7" hidden="1" x14ac:dyDescent="0.75">
      <c r="A5851" s="51">
        <v>44938</v>
      </c>
      <c r="B5851" s="52">
        <v>312</v>
      </c>
      <c r="C5851" s="8" t="s">
        <v>4634</v>
      </c>
      <c r="D5851" s="8" t="s">
        <v>648</v>
      </c>
      <c r="E5851" s="52">
        <v>1292</v>
      </c>
      <c r="F5851" s="13">
        <v>32.53</v>
      </c>
      <c r="G5851" s="13"/>
    </row>
    <row r="5852" spans="1:7" hidden="1" x14ac:dyDescent="0.75">
      <c r="A5852" s="51">
        <v>44938</v>
      </c>
      <c r="B5852" s="52">
        <v>312</v>
      </c>
      <c r="C5852" s="8" t="s">
        <v>4635</v>
      </c>
      <c r="D5852" s="8" t="s">
        <v>648</v>
      </c>
      <c r="E5852" s="52">
        <v>1292</v>
      </c>
      <c r="F5852" s="13">
        <v>65.06</v>
      </c>
      <c r="G5852" s="13"/>
    </row>
    <row r="5853" spans="1:7" hidden="1" x14ac:dyDescent="0.75">
      <c r="A5853" s="51">
        <v>44939</v>
      </c>
      <c r="B5853" s="52">
        <v>312</v>
      </c>
      <c r="C5853" s="8" t="s">
        <v>4636</v>
      </c>
      <c r="D5853" s="8" t="s">
        <v>648</v>
      </c>
      <c r="E5853" s="52">
        <v>1292</v>
      </c>
      <c r="F5853" s="13">
        <v>32.53</v>
      </c>
      <c r="G5853" s="13"/>
    </row>
    <row r="5854" spans="1:7" hidden="1" x14ac:dyDescent="0.75">
      <c r="A5854" s="51">
        <v>44939</v>
      </c>
      <c r="B5854" s="52">
        <v>312</v>
      </c>
      <c r="C5854" s="8" t="s">
        <v>4637</v>
      </c>
      <c r="D5854" s="8" t="s">
        <v>648</v>
      </c>
      <c r="E5854" s="52">
        <v>1292</v>
      </c>
      <c r="F5854" s="13">
        <v>32.53</v>
      </c>
      <c r="G5854" s="13"/>
    </row>
    <row r="5855" spans="1:7" hidden="1" x14ac:dyDescent="0.75">
      <c r="A5855" s="51">
        <v>44940</v>
      </c>
      <c r="B5855" s="52">
        <v>312</v>
      </c>
      <c r="C5855" s="8" t="s">
        <v>4638</v>
      </c>
      <c r="D5855" s="8" t="s">
        <v>648</v>
      </c>
      <c r="E5855" s="52">
        <v>1292</v>
      </c>
      <c r="F5855" s="13">
        <v>32.53</v>
      </c>
      <c r="G5855" s="13"/>
    </row>
    <row r="5856" spans="1:7" hidden="1" x14ac:dyDescent="0.75">
      <c r="A5856" s="51">
        <v>44940</v>
      </c>
      <c r="B5856" s="52">
        <v>312</v>
      </c>
      <c r="C5856" s="8" t="s">
        <v>4685</v>
      </c>
      <c r="D5856" s="8" t="s">
        <v>648</v>
      </c>
      <c r="E5856" s="52">
        <v>1483</v>
      </c>
      <c r="F5856" s="13">
        <v>600</v>
      </c>
      <c r="G5856" s="13"/>
    </row>
    <row r="5857" spans="1:7" hidden="1" x14ac:dyDescent="0.75">
      <c r="A5857" s="51">
        <v>44941</v>
      </c>
      <c r="B5857" s="52">
        <v>312</v>
      </c>
      <c r="C5857" s="8" t="s">
        <v>4708</v>
      </c>
      <c r="D5857" s="8" t="s">
        <v>648</v>
      </c>
      <c r="E5857" s="52">
        <v>1915</v>
      </c>
      <c r="F5857" s="13">
        <v>4950</v>
      </c>
      <c r="G5857" s="13"/>
    </row>
    <row r="5858" spans="1:7" hidden="1" x14ac:dyDescent="0.75">
      <c r="A5858" s="51">
        <v>44942</v>
      </c>
      <c r="B5858" s="52">
        <v>312</v>
      </c>
      <c r="C5858" s="8" t="s">
        <v>4639</v>
      </c>
      <c r="D5858" s="8" t="s">
        <v>648</v>
      </c>
      <c r="E5858" s="52">
        <v>1292</v>
      </c>
      <c r="F5858" s="13">
        <v>130.12</v>
      </c>
      <c r="G5858" s="13"/>
    </row>
    <row r="5859" spans="1:7" hidden="1" x14ac:dyDescent="0.75">
      <c r="A5859" s="51">
        <v>44942</v>
      </c>
      <c r="B5859" s="52">
        <v>312</v>
      </c>
      <c r="C5859" s="8" t="s">
        <v>4686</v>
      </c>
      <c r="D5859" s="8" t="s">
        <v>648</v>
      </c>
      <c r="E5859" s="52">
        <v>1483</v>
      </c>
      <c r="F5859" s="13">
        <v>1750</v>
      </c>
      <c r="G5859" s="13"/>
    </row>
    <row r="5860" spans="1:7" hidden="1" x14ac:dyDescent="0.75">
      <c r="A5860" s="51">
        <v>44943</v>
      </c>
      <c r="B5860" s="52">
        <v>312</v>
      </c>
      <c r="C5860" s="8" t="s">
        <v>4640</v>
      </c>
      <c r="D5860" s="8" t="s">
        <v>648</v>
      </c>
      <c r="E5860" s="52">
        <v>1292</v>
      </c>
      <c r="F5860" s="13">
        <v>17.88</v>
      </c>
      <c r="G5860" s="13"/>
    </row>
    <row r="5861" spans="1:7" hidden="1" x14ac:dyDescent="0.75">
      <c r="A5861" s="51">
        <v>44943</v>
      </c>
      <c r="B5861" s="52">
        <v>312</v>
      </c>
      <c r="C5861" s="8" t="s">
        <v>4641</v>
      </c>
      <c r="D5861" s="8" t="s">
        <v>648</v>
      </c>
      <c r="E5861" s="52">
        <v>1292</v>
      </c>
      <c r="F5861" s="13">
        <v>65.06</v>
      </c>
      <c r="G5861" s="13"/>
    </row>
    <row r="5862" spans="1:7" hidden="1" x14ac:dyDescent="0.75">
      <c r="A5862" s="51">
        <v>44943</v>
      </c>
      <c r="B5862" s="52">
        <v>312</v>
      </c>
      <c r="C5862" s="8" t="s">
        <v>4581</v>
      </c>
      <c r="D5862" s="8" t="s">
        <v>648</v>
      </c>
      <c r="E5862" s="52">
        <v>948</v>
      </c>
      <c r="F5862" s="13">
        <v>1323.72</v>
      </c>
      <c r="G5862" s="13"/>
    </row>
    <row r="5863" spans="1:7" hidden="1" x14ac:dyDescent="0.75">
      <c r="A5863" s="51">
        <v>44943</v>
      </c>
      <c r="B5863" s="52">
        <v>312</v>
      </c>
      <c r="C5863" s="8" t="s">
        <v>4582</v>
      </c>
      <c r="D5863" s="8" t="s">
        <v>648</v>
      </c>
      <c r="E5863" s="52">
        <v>948</v>
      </c>
      <c r="F5863" s="13">
        <v>1663.27</v>
      </c>
      <c r="G5863" s="13"/>
    </row>
    <row r="5864" spans="1:7" hidden="1" x14ac:dyDescent="0.75">
      <c r="A5864" s="51">
        <v>44944</v>
      </c>
      <c r="B5864" s="52">
        <v>312</v>
      </c>
      <c r="C5864" s="8" t="s">
        <v>4642</v>
      </c>
      <c r="D5864" s="8" t="s">
        <v>648</v>
      </c>
      <c r="E5864" s="52">
        <v>1292</v>
      </c>
      <c r="F5864" s="13">
        <v>32.53</v>
      </c>
      <c r="G5864" s="13"/>
    </row>
    <row r="5865" spans="1:7" hidden="1" x14ac:dyDescent="0.75">
      <c r="A5865" s="51">
        <v>44945</v>
      </c>
      <c r="B5865" s="52">
        <v>312</v>
      </c>
      <c r="C5865" s="8" t="s">
        <v>4643</v>
      </c>
      <c r="D5865" s="8" t="s">
        <v>648</v>
      </c>
      <c r="E5865" s="52">
        <v>1292</v>
      </c>
      <c r="F5865" s="13">
        <v>65.06</v>
      </c>
      <c r="G5865" s="13"/>
    </row>
    <row r="5866" spans="1:7" hidden="1" x14ac:dyDescent="0.75">
      <c r="A5866" s="51">
        <v>44945</v>
      </c>
      <c r="B5866" s="52">
        <v>312</v>
      </c>
      <c r="C5866" s="8" t="s">
        <v>4644</v>
      </c>
      <c r="D5866" s="8" t="s">
        <v>648</v>
      </c>
      <c r="E5866" s="52">
        <v>1292</v>
      </c>
      <c r="F5866" s="13">
        <v>65.06</v>
      </c>
      <c r="G5866" s="13"/>
    </row>
    <row r="5867" spans="1:7" hidden="1" x14ac:dyDescent="0.75">
      <c r="A5867" s="51">
        <v>44945</v>
      </c>
      <c r="B5867" s="52">
        <v>312</v>
      </c>
      <c r="C5867" s="8" t="s">
        <v>4645</v>
      </c>
      <c r="D5867" s="8" t="s">
        <v>648</v>
      </c>
      <c r="E5867" s="52">
        <v>1292</v>
      </c>
      <c r="F5867" s="13">
        <v>65.06</v>
      </c>
      <c r="G5867" s="13"/>
    </row>
    <row r="5868" spans="1:7" hidden="1" x14ac:dyDescent="0.75">
      <c r="A5868" s="51">
        <v>44945</v>
      </c>
      <c r="B5868" s="52">
        <v>312</v>
      </c>
      <c r="C5868" s="8" t="s">
        <v>4687</v>
      </c>
      <c r="D5868" s="8" t="s">
        <v>648</v>
      </c>
      <c r="E5868" s="52">
        <v>1483</v>
      </c>
      <c r="F5868" s="13">
        <v>600</v>
      </c>
      <c r="G5868" s="13"/>
    </row>
    <row r="5869" spans="1:7" hidden="1" x14ac:dyDescent="0.75">
      <c r="A5869" s="51">
        <v>44946</v>
      </c>
      <c r="B5869" s="52">
        <v>312</v>
      </c>
      <c r="C5869" s="8" t="s">
        <v>4646</v>
      </c>
      <c r="D5869" s="8" t="s">
        <v>648</v>
      </c>
      <c r="E5869" s="52">
        <v>1292</v>
      </c>
      <c r="F5869" s="13">
        <v>65.06</v>
      </c>
      <c r="G5869" s="13"/>
    </row>
    <row r="5870" spans="1:7" hidden="1" x14ac:dyDescent="0.75">
      <c r="A5870" s="51">
        <v>44946</v>
      </c>
      <c r="B5870" s="52">
        <v>312</v>
      </c>
      <c r="C5870" s="8" t="s">
        <v>4647</v>
      </c>
      <c r="D5870" s="8" t="s">
        <v>648</v>
      </c>
      <c r="E5870" s="52">
        <v>1292</v>
      </c>
      <c r="F5870" s="13">
        <v>32.53</v>
      </c>
      <c r="G5870" s="13"/>
    </row>
    <row r="5871" spans="1:7" hidden="1" x14ac:dyDescent="0.75">
      <c r="A5871" s="51">
        <v>44947</v>
      </c>
      <c r="B5871" s="52">
        <v>312</v>
      </c>
      <c r="C5871" s="8" t="s">
        <v>4657</v>
      </c>
      <c r="D5871" s="8" t="s">
        <v>648</v>
      </c>
      <c r="E5871" s="52">
        <v>1292</v>
      </c>
      <c r="F5871" s="13">
        <v>32.53</v>
      </c>
      <c r="G5871" s="13"/>
    </row>
    <row r="5872" spans="1:7" hidden="1" x14ac:dyDescent="0.75">
      <c r="A5872" s="51">
        <v>44947</v>
      </c>
      <c r="B5872" s="52">
        <v>312</v>
      </c>
      <c r="C5872" s="8" t="s">
        <v>4658</v>
      </c>
      <c r="D5872" s="8" t="s">
        <v>648</v>
      </c>
      <c r="E5872" s="52">
        <v>1292</v>
      </c>
      <c r="F5872" s="13">
        <v>32.53</v>
      </c>
      <c r="G5872" s="13"/>
    </row>
    <row r="5873" spans="1:7" hidden="1" x14ac:dyDescent="0.75">
      <c r="A5873" s="51">
        <v>44947</v>
      </c>
      <c r="B5873" s="52">
        <v>312</v>
      </c>
      <c r="C5873" s="8" t="s">
        <v>4709</v>
      </c>
      <c r="D5873" s="8" t="s">
        <v>648</v>
      </c>
      <c r="E5873" s="52">
        <v>1915</v>
      </c>
      <c r="F5873" s="13">
        <v>4500</v>
      </c>
      <c r="G5873" s="13"/>
    </row>
    <row r="5874" spans="1:7" hidden="1" x14ac:dyDescent="0.75">
      <c r="A5874" s="51">
        <v>44949</v>
      </c>
      <c r="B5874" s="52">
        <v>312</v>
      </c>
      <c r="C5874" s="8" t="s">
        <v>4659</v>
      </c>
      <c r="D5874" s="8" t="s">
        <v>648</v>
      </c>
      <c r="E5874" s="52">
        <v>1292</v>
      </c>
      <c r="F5874" s="13">
        <v>65.06</v>
      </c>
      <c r="G5874" s="13"/>
    </row>
    <row r="5875" spans="1:7" hidden="1" x14ac:dyDescent="0.75">
      <c r="A5875" s="51">
        <v>44950</v>
      </c>
      <c r="B5875" s="52">
        <v>312</v>
      </c>
      <c r="C5875" s="8" t="s">
        <v>4660</v>
      </c>
      <c r="D5875" s="8" t="s">
        <v>648</v>
      </c>
      <c r="E5875" s="52">
        <v>1292</v>
      </c>
      <c r="F5875" s="13">
        <v>65.06</v>
      </c>
      <c r="G5875" s="13"/>
    </row>
    <row r="5876" spans="1:7" hidden="1" x14ac:dyDescent="0.75">
      <c r="A5876" s="51">
        <v>44951</v>
      </c>
      <c r="B5876" s="52">
        <v>312</v>
      </c>
      <c r="C5876" s="8" t="s">
        <v>4661</v>
      </c>
      <c r="D5876" s="8" t="s">
        <v>648</v>
      </c>
      <c r="E5876" s="52">
        <v>1292</v>
      </c>
      <c r="F5876" s="13">
        <v>97.59</v>
      </c>
      <c r="G5876" s="13"/>
    </row>
    <row r="5877" spans="1:7" hidden="1" x14ac:dyDescent="0.75">
      <c r="A5877" s="51">
        <v>44951</v>
      </c>
      <c r="B5877" s="52">
        <v>312</v>
      </c>
      <c r="C5877" s="8" t="s">
        <v>4662</v>
      </c>
      <c r="D5877" s="8" t="s">
        <v>648</v>
      </c>
      <c r="E5877" s="52">
        <v>1292</v>
      </c>
      <c r="F5877" s="13">
        <v>97.59</v>
      </c>
      <c r="G5877" s="13"/>
    </row>
    <row r="5878" spans="1:7" hidden="1" x14ac:dyDescent="0.75">
      <c r="A5878" s="51">
        <v>44951</v>
      </c>
      <c r="B5878" s="52">
        <v>312</v>
      </c>
      <c r="C5878" s="8" t="s">
        <v>4583</v>
      </c>
      <c r="D5878" s="8" t="s">
        <v>648</v>
      </c>
      <c r="E5878" s="52">
        <v>948</v>
      </c>
      <c r="F5878" s="13">
        <v>1491.49</v>
      </c>
      <c r="G5878" s="13"/>
    </row>
    <row r="5879" spans="1:7" hidden="1" x14ac:dyDescent="0.75">
      <c r="A5879" s="51">
        <v>44952</v>
      </c>
      <c r="B5879" s="52">
        <v>312</v>
      </c>
      <c r="C5879" s="8" t="s">
        <v>4664</v>
      </c>
      <c r="D5879" s="8" t="s">
        <v>648</v>
      </c>
      <c r="E5879" s="52">
        <v>1292</v>
      </c>
      <c r="F5879" s="13">
        <v>32.53</v>
      </c>
      <c r="G5879" s="13"/>
    </row>
    <row r="5880" spans="1:7" hidden="1" x14ac:dyDescent="0.75">
      <c r="A5880" s="51">
        <v>44952</v>
      </c>
      <c r="B5880" s="52">
        <v>312</v>
      </c>
      <c r="C5880" s="8" t="s">
        <v>4665</v>
      </c>
      <c r="D5880" s="8" t="s">
        <v>648</v>
      </c>
      <c r="E5880" s="52">
        <v>1292</v>
      </c>
      <c r="F5880" s="13">
        <v>65.02</v>
      </c>
      <c r="G5880" s="13"/>
    </row>
    <row r="5881" spans="1:7" hidden="1" x14ac:dyDescent="0.75">
      <c r="A5881" s="51">
        <v>44953</v>
      </c>
      <c r="B5881" s="52">
        <v>312</v>
      </c>
      <c r="C5881" s="8" t="s">
        <v>4666</v>
      </c>
      <c r="D5881" s="8" t="s">
        <v>648</v>
      </c>
      <c r="E5881" s="52">
        <v>1292</v>
      </c>
      <c r="F5881" s="13">
        <v>32.53</v>
      </c>
      <c r="G5881" s="13"/>
    </row>
    <row r="5882" spans="1:7" hidden="1" x14ac:dyDescent="0.75">
      <c r="A5882" s="51">
        <v>44953</v>
      </c>
      <c r="B5882" s="52">
        <v>312</v>
      </c>
      <c r="C5882" s="8" t="s">
        <v>4688</v>
      </c>
      <c r="D5882" s="8" t="s">
        <v>648</v>
      </c>
      <c r="E5882" s="52">
        <v>1483</v>
      </c>
      <c r="F5882" s="13">
        <v>900</v>
      </c>
      <c r="G5882" s="13"/>
    </row>
    <row r="5883" spans="1:7" hidden="1" x14ac:dyDescent="0.75">
      <c r="A5883" s="51">
        <v>44954</v>
      </c>
      <c r="B5883" s="52">
        <v>312</v>
      </c>
      <c r="C5883" s="8" t="s">
        <v>4667</v>
      </c>
      <c r="D5883" s="8" t="s">
        <v>648</v>
      </c>
      <c r="E5883" s="52">
        <v>1292</v>
      </c>
      <c r="F5883" s="13">
        <v>32.53</v>
      </c>
      <c r="G5883" s="13"/>
    </row>
    <row r="5884" spans="1:7" hidden="1" x14ac:dyDescent="0.75">
      <c r="A5884" s="51">
        <v>44955</v>
      </c>
      <c r="B5884" s="52">
        <v>312</v>
      </c>
      <c r="C5884" s="8" t="s">
        <v>4710</v>
      </c>
      <c r="D5884" s="8" t="s">
        <v>648</v>
      </c>
      <c r="E5884" s="52">
        <v>1915</v>
      </c>
      <c r="F5884" s="13">
        <v>5400</v>
      </c>
      <c r="G5884" s="13"/>
    </row>
    <row r="5885" spans="1:7" hidden="1" x14ac:dyDescent="0.75">
      <c r="A5885" s="51">
        <v>44956</v>
      </c>
      <c r="B5885" s="52">
        <v>312</v>
      </c>
      <c r="C5885" s="8" t="s">
        <v>4668</v>
      </c>
      <c r="D5885" s="8" t="s">
        <v>648</v>
      </c>
      <c r="E5885" s="52">
        <v>1292</v>
      </c>
      <c r="F5885" s="13">
        <v>32.53</v>
      </c>
      <c r="G5885" s="13"/>
    </row>
    <row r="5886" spans="1:7" hidden="1" x14ac:dyDescent="0.75">
      <c r="A5886" s="51">
        <v>44957</v>
      </c>
      <c r="B5886" s="52">
        <v>312</v>
      </c>
      <c r="C5886" s="8" t="s">
        <v>4672</v>
      </c>
      <c r="D5886" s="8" t="s">
        <v>648</v>
      </c>
      <c r="E5886" s="52">
        <v>1331</v>
      </c>
      <c r="F5886" s="13">
        <v>13400</v>
      </c>
      <c r="G5886" s="13"/>
    </row>
    <row r="5887" spans="1:7" hidden="1" x14ac:dyDescent="0.75">
      <c r="A5887" s="51">
        <v>44957</v>
      </c>
      <c r="B5887" s="52">
        <v>312</v>
      </c>
      <c r="C5887" s="8" t="s">
        <v>4669</v>
      </c>
      <c r="D5887" s="8" t="s">
        <v>648</v>
      </c>
      <c r="E5887" s="52">
        <v>1292</v>
      </c>
      <c r="F5887" s="13">
        <v>32.53</v>
      </c>
      <c r="G5887" s="13"/>
    </row>
    <row r="5888" spans="1:7" hidden="1" x14ac:dyDescent="0.75">
      <c r="A5888" s="51">
        <v>44957</v>
      </c>
      <c r="B5888" s="52">
        <v>312</v>
      </c>
      <c r="C5888" s="8" t="s">
        <v>4584</v>
      </c>
      <c r="D5888" s="8" t="s">
        <v>648</v>
      </c>
      <c r="E5888" s="52">
        <v>948</v>
      </c>
      <c r="F5888" s="13">
        <v>2198.25</v>
      </c>
      <c r="G5888" s="13"/>
    </row>
    <row r="5889" spans="1:7" hidden="1" x14ac:dyDescent="0.75">
      <c r="A5889" s="51">
        <v>44957</v>
      </c>
      <c r="B5889" s="52">
        <v>312</v>
      </c>
      <c r="C5889" s="8" t="s">
        <v>1236</v>
      </c>
      <c r="D5889" s="8" t="s">
        <v>648</v>
      </c>
      <c r="E5889" s="52">
        <v>40</v>
      </c>
      <c r="F5889" s="13"/>
      <c r="G5889" s="13">
        <v>878.08</v>
      </c>
    </row>
    <row r="5890" spans="1:7" hidden="1" x14ac:dyDescent="0.75">
      <c r="A5890" s="51">
        <v>44957</v>
      </c>
      <c r="B5890" s="52">
        <v>312</v>
      </c>
      <c r="C5890" s="8" t="s">
        <v>1236</v>
      </c>
      <c r="D5890" s="8" t="s">
        <v>648</v>
      </c>
      <c r="E5890" s="52">
        <v>41</v>
      </c>
      <c r="F5890" s="13"/>
      <c r="G5890" s="13">
        <v>190.64</v>
      </c>
    </row>
    <row r="5891" spans="1:7" hidden="1" x14ac:dyDescent="0.75">
      <c r="A5891" s="51">
        <v>44928</v>
      </c>
      <c r="B5891" s="52">
        <v>677</v>
      </c>
      <c r="C5891" s="8" t="s">
        <v>1371</v>
      </c>
      <c r="D5891" s="8" t="s">
        <v>650</v>
      </c>
      <c r="E5891" s="52">
        <v>5</v>
      </c>
      <c r="F5891" s="13">
        <v>10</v>
      </c>
      <c r="G5891" s="13"/>
    </row>
    <row r="5892" spans="1:7" hidden="1" x14ac:dyDescent="0.75">
      <c r="A5892" s="51">
        <v>44928</v>
      </c>
      <c r="B5892" s="52">
        <v>677</v>
      </c>
      <c r="C5892" s="8" t="s">
        <v>4772</v>
      </c>
      <c r="D5892" s="8" t="s">
        <v>650</v>
      </c>
      <c r="E5892" s="52">
        <v>1474</v>
      </c>
      <c r="F5892" s="13">
        <v>247.3</v>
      </c>
      <c r="G5892" s="13"/>
    </row>
    <row r="5893" spans="1:7" hidden="1" x14ac:dyDescent="0.75">
      <c r="A5893" s="51">
        <v>44928</v>
      </c>
      <c r="B5893" s="52">
        <v>677</v>
      </c>
      <c r="C5893" s="8" t="s">
        <v>4773</v>
      </c>
      <c r="D5893" s="8" t="s">
        <v>650</v>
      </c>
      <c r="E5893" s="52">
        <v>1474</v>
      </c>
      <c r="F5893" s="13">
        <v>252.5</v>
      </c>
      <c r="G5893" s="13"/>
    </row>
    <row r="5894" spans="1:7" hidden="1" x14ac:dyDescent="0.75">
      <c r="A5894" s="51">
        <v>44928</v>
      </c>
      <c r="B5894" s="52">
        <v>677</v>
      </c>
      <c r="C5894" s="8" t="s">
        <v>4777</v>
      </c>
      <c r="D5894" s="8" t="s">
        <v>650</v>
      </c>
      <c r="E5894" s="52">
        <v>1474</v>
      </c>
      <c r="F5894" s="13">
        <v>171.63</v>
      </c>
      <c r="G5894" s="13"/>
    </row>
    <row r="5895" spans="1:7" hidden="1" x14ac:dyDescent="0.75">
      <c r="A5895" s="51">
        <v>44928</v>
      </c>
      <c r="B5895" s="52">
        <v>677</v>
      </c>
      <c r="C5895" s="8" t="s">
        <v>4779</v>
      </c>
      <c r="D5895" s="8" t="s">
        <v>650</v>
      </c>
      <c r="E5895" s="52">
        <v>1474</v>
      </c>
      <c r="F5895" s="13">
        <v>200.56</v>
      </c>
      <c r="G5895" s="13"/>
    </row>
    <row r="5896" spans="1:7" hidden="1" x14ac:dyDescent="0.75">
      <c r="A5896" s="51">
        <v>44928</v>
      </c>
      <c r="B5896" s="52">
        <v>677</v>
      </c>
      <c r="C5896" s="8" t="s">
        <v>4781</v>
      </c>
      <c r="D5896" s="8" t="s">
        <v>650</v>
      </c>
      <c r="E5896" s="52">
        <v>1474</v>
      </c>
      <c r="F5896" s="13">
        <v>100</v>
      </c>
      <c r="G5896" s="13"/>
    </row>
    <row r="5897" spans="1:7" hidden="1" x14ac:dyDescent="0.75">
      <c r="A5897" s="51">
        <v>44928</v>
      </c>
      <c r="B5897" s="52">
        <v>677</v>
      </c>
      <c r="C5897" s="8" t="s">
        <v>4782</v>
      </c>
      <c r="D5897" s="8" t="s">
        <v>650</v>
      </c>
      <c r="E5897" s="52">
        <v>1474</v>
      </c>
      <c r="F5897" s="13">
        <v>200</v>
      </c>
      <c r="G5897" s="13"/>
    </row>
    <row r="5898" spans="1:7" hidden="1" x14ac:dyDescent="0.75">
      <c r="A5898" s="51">
        <v>44929</v>
      </c>
      <c r="B5898" s="52">
        <v>677</v>
      </c>
      <c r="C5898" s="8" t="s">
        <v>4676</v>
      </c>
      <c r="D5898" s="8" t="s">
        <v>650</v>
      </c>
      <c r="E5898" s="52">
        <v>1372</v>
      </c>
      <c r="F5898" s="13">
        <v>3101.9</v>
      </c>
      <c r="G5898" s="13"/>
    </row>
    <row r="5899" spans="1:7" hidden="1" x14ac:dyDescent="0.75">
      <c r="A5899" s="51">
        <v>44929</v>
      </c>
      <c r="B5899" s="52">
        <v>677</v>
      </c>
      <c r="C5899" s="8" t="s">
        <v>4598</v>
      </c>
      <c r="D5899" s="8" t="s">
        <v>650</v>
      </c>
      <c r="E5899" s="52">
        <v>751</v>
      </c>
      <c r="F5899" s="13">
        <v>12056.98</v>
      </c>
      <c r="G5899" s="13"/>
    </row>
    <row r="5900" spans="1:7" hidden="1" x14ac:dyDescent="0.75">
      <c r="A5900" s="51">
        <v>44935</v>
      </c>
      <c r="B5900" s="52">
        <v>677</v>
      </c>
      <c r="C5900" s="8" t="s">
        <v>4677</v>
      </c>
      <c r="D5900" s="8" t="s">
        <v>650</v>
      </c>
      <c r="E5900" s="52">
        <v>1372</v>
      </c>
      <c r="F5900" s="13">
        <v>2795.18</v>
      </c>
      <c r="G5900" s="13"/>
    </row>
    <row r="5901" spans="1:7" hidden="1" x14ac:dyDescent="0.75">
      <c r="A5901" s="51">
        <v>44935</v>
      </c>
      <c r="B5901" s="52">
        <v>677</v>
      </c>
      <c r="C5901" s="8" t="s">
        <v>4599</v>
      </c>
      <c r="D5901" s="8" t="s">
        <v>650</v>
      </c>
      <c r="E5901" s="52">
        <v>751</v>
      </c>
      <c r="F5901" s="13">
        <v>1393.29</v>
      </c>
      <c r="G5901" s="13"/>
    </row>
    <row r="5902" spans="1:7" hidden="1" x14ac:dyDescent="0.75">
      <c r="A5902" s="51">
        <v>44942</v>
      </c>
      <c r="B5902" s="52">
        <v>677</v>
      </c>
      <c r="C5902" s="8" t="s">
        <v>4678</v>
      </c>
      <c r="D5902" s="8" t="s">
        <v>650</v>
      </c>
      <c r="E5902" s="52">
        <v>1372</v>
      </c>
      <c r="F5902" s="13">
        <v>2636.73</v>
      </c>
      <c r="G5902" s="13"/>
    </row>
    <row r="5903" spans="1:7" hidden="1" x14ac:dyDescent="0.75">
      <c r="A5903" s="51">
        <v>44949</v>
      </c>
      <c r="B5903" s="52">
        <v>677</v>
      </c>
      <c r="C5903" s="8" t="s">
        <v>4679</v>
      </c>
      <c r="D5903" s="8" t="s">
        <v>650</v>
      </c>
      <c r="E5903" s="52">
        <v>1372</v>
      </c>
      <c r="F5903" s="13">
        <v>2808.51</v>
      </c>
      <c r="G5903" s="13"/>
    </row>
    <row r="5904" spans="1:7" hidden="1" x14ac:dyDescent="0.75">
      <c r="A5904" s="51">
        <v>44956</v>
      </c>
      <c r="B5904" s="52">
        <v>677</v>
      </c>
      <c r="C5904" s="8" t="s">
        <v>4680</v>
      </c>
      <c r="D5904" s="8" t="s">
        <v>650</v>
      </c>
      <c r="E5904" s="52">
        <v>1372</v>
      </c>
      <c r="F5904" s="13">
        <v>2631.75</v>
      </c>
      <c r="G5904" s="13"/>
    </row>
    <row r="5905" spans="1:7" hidden="1" x14ac:dyDescent="0.75">
      <c r="A5905" s="51">
        <v>44932</v>
      </c>
      <c r="B5905" s="52">
        <v>1316</v>
      </c>
      <c r="C5905" s="8" t="s">
        <v>1388</v>
      </c>
      <c r="D5905" s="8" t="s">
        <v>652</v>
      </c>
      <c r="E5905" s="52">
        <v>5</v>
      </c>
      <c r="F5905" s="13">
        <v>90</v>
      </c>
      <c r="G5905" s="13"/>
    </row>
    <row r="5906" spans="1:7" hidden="1" x14ac:dyDescent="0.75">
      <c r="A5906" s="51">
        <v>44935</v>
      </c>
      <c r="B5906" s="52">
        <v>1316</v>
      </c>
      <c r="C5906" s="8" t="s">
        <v>4589</v>
      </c>
      <c r="D5906" s="8" t="s">
        <v>652</v>
      </c>
      <c r="E5906" s="52">
        <v>744</v>
      </c>
      <c r="F5906" s="13">
        <v>2620</v>
      </c>
      <c r="G5906" s="13"/>
    </row>
    <row r="5907" spans="1:7" hidden="1" x14ac:dyDescent="0.75">
      <c r="A5907" s="51">
        <v>44935</v>
      </c>
      <c r="B5907" s="52">
        <v>1316</v>
      </c>
      <c r="C5907" s="8" t="s">
        <v>4578</v>
      </c>
      <c r="D5907" s="8" t="s">
        <v>652</v>
      </c>
      <c r="E5907" s="52">
        <v>968</v>
      </c>
      <c r="F5907" s="13">
        <v>110.74</v>
      </c>
      <c r="G5907" s="13"/>
    </row>
    <row r="5908" spans="1:7" hidden="1" x14ac:dyDescent="0.75">
      <c r="A5908" s="51">
        <v>44937</v>
      </c>
      <c r="B5908" s="52">
        <v>1316</v>
      </c>
      <c r="C5908" s="8" t="s">
        <v>1402</v>
      </c>
      <c r="D5908" s="8" t="s">
        <v>652</v>
      </c>
      <c r="E5908" s="52">
        <v>5</v>
      </c>
      <c r="F5908" s="13">
        <v>22</v>
      </c>
      <c r="G5908" s="13"/>
    </row>
    <row r="5909" spans="1:7" hidden="1" x14ac:dyDescent="0.75">
      <c r="A5909" s="51">
        <v>44944</v>
      </c>
      <c r="B5909" s="52">
        <v>1316</v>
      </c>
      <c r="C5909" s="8" t="s">
        <v>1434</v>
      </c>
      <c r="D5909" s="8" t="s">
        <v>652</v>
      </c>
      <c r="E5909" s="52">
        <v>5</v>
      </c>
      <c r="F5909" s="13">
        <v>50</v>
      </c>
      <c r="G5909" s="13"/>
    </row>
    <row r="5910" spans="1:7" hidden="1" x14ac:dyDescent="0.75">
      <c r="A5910" s="51">
        <v>44949</v>
      </c>
      <c r="B5910" s="52">
        <v>1316</v>
      </c>
      <c r="C5910" s="8" t="s">
        <v>1388</v>
      </c>
      <c r="D5910" s="8" t="s">
        <v>652</v>
      </c>
      <c r="E5910" s="52">
        <v>5</v>
      </c>
      <c r="F5910" s="13">
        <v>84</v>
      </c>
      <c r="G5910" s="13"/>
    </row>
    <row r="5911" spans="1:7" hidden="1" x14ac:dyDescent="0.75">
      <c r="A5911" s="51">
        <v>44950</v>
      </c>
      <c r="B5911" s="52">
        <v>1316</v>
      </c>
      <c r="C5911" s="8" t="s">
        <v>4715</v>
      </c>
      <c r="D5911" s="8" t="s">
        <v>652</v>
      </c>
      <c r="E5911" s="52">
        <v>1945</v>
      </c>
      <c r="F5911" s="13">
        <v>350</v>
      </c>
      <c r="G5911" s="13"/>
    </row>
    <row r="5912" spans="1:7" hidden="1" x14ac:dyDescent="0.75">
      <c r="A5912" s="51">
        <v>44927</v>
      </c>
      <c r="B5912" s="52">
        <v>1353</v>
      </c>
      <c r="C5912" s="8" t="s">
        <v>1218</v>
      </c>
      <c r="D5912" s="8" t="s">
        <v>654</v>
      </c>
      <c r="E5912" s="52">
        <v>1965</v>
      </c>
      <c r="F5912" s="13">
        <v>880.48</v>
      </c>
      <c r="G5912" s="13"/>
    </row>
    <row r="5913" spans="1:7" hidden="1" x14ac:dyDescent="0.75">
      <c r="A5913" s="51">
        <v>44949</v>
      </c>
      <c r="B5913" s="52">
        <v>1353</v>
      </c>
      <c r="C5913" s="8" t="s">
        <v>1782</v>
      </c>
      <c r="D5913" s="8" t="s">
        <v>654</v>
      </c>
      <c r="E5913" s="52">
        <v>8</v>
      </c>
      <c r="F5913" s="13">
        <v>880.48</v>
      </c>
      <c r="G5913" s="13"/>
    </row>
    <row r="5914" spans="1:7" hidden="1" x14ac:dyDescent="0.75">
      <c r="A5914" s="51">
        <v>44957</v>
      </c>
      <c r="B5914" s="52">
        <v>1353</v>
      </c>
      <c r="C5914" s="8" t="s">
        <v>1251</v>
      </c>
      <c r="D5914" s="8" t="s">
        <v>654</v>
      </c>
      <c r="E5914" s="52"/>
      <c r="F5914" s="13">
        <v>7826.19</v>
      </c>
      <c r="G5914" s="13"/>
    </row>
    <row r="5915" spans="1:7" hidden="1" x14ac:dyDescent="0.75">
      <c r="A5915" s="51">
        <v>44928</v>
      </c>
      <c r="B5915" s="52">
        <v>1385</v>
      </c>
      <c r="C5915" s="8" t="s">
        <v>4696</v>
      </c>
      <c r="D5915" s="8" t="s">
        <v>656</v>
      </c>
      <c r="E5915" s="52">
        <v>1679</v>
      </c>
      <c r="F5915" s="13">
        <v>6600</v>
      </c>
      <c r="G5915" s="13"/>
    </row>
    <row r="5916" spans="1:7" hidden="1" x14ac:dyDescent="0.75">
      <c r="A5916" s="51">
        <v>44932</v>
      </c>
      <c r="B5916" s="52">
        <v>1385</v>
      </c>
      <c r="C5916" s="8" t="s">
        <v>4699</v>
      </c>
      <c r="D5916" s="8" t="s">
        <v>656</v>
      </c>
      <c r="E5916" s="52">
        <v>1777</v>
      </c>
      <c r="F5916" s="13">
        <v>6175.49</v>
      </c>
      <c r="G5916" s="13"/>
    </row>
    <row r="5917" spans="1:7" hidden="1" x14ac:dyDescent="0.75">
      <c r="A5917" s="51">
        <v>44957</v>
      </c>
      <c r="B5917" s="52">
        <v>1596</v>
      </c>
      <c r="C5917" s="8" t="s">
        <v>999</v>
      </c>
      <c r="D5917" s="8" t="s">
        <v>658</v>
      </c>
      <c r="E5917" s="52">
        <v>67</v>
      </c>
      <c r="F5917" s="13">
        <v>209.14</v>
      </c>
      <c r="G5917" s="13"/>
    </row>
    <row r="5918" spans="1:7" hidden="1" x14ac:dyDescent="0.75">
      <c r="A5918" s="51">
        <v>44957</v>
      </c>
      <c r="B5918" s="52">
        <v>1596</v>
      </c>
      <c r="C5918" s="8" t="s">
        <v>1000</v>
      </c>
      <c r="D5918" s="8" t="s">
        <v>658</v>
      </c>
      <c r="E5918" s="52">
        <v>67</v>
      </c>
      <c r="F5918" s="13">
        <v>209.93</v>
      </c>
      <c r="G5918" s="13"/>
    </row>
    <row r="5919" spans="1:7" hidden="1" x14ac:dyDescent="0.75">
      <c r="A5919" s="51">
        <v>44957</v>
      </c>
      <c r="B5919" s="52">
        <v>1639</v>
      </c>
      <c r="C5919" s="8" t="s">
        <v>994</v>
      </c>
      <c r="D5919" s="8" t="s">
        <v>660</v>
      </c>
      <c r="E5919" s="52">
        <v>1428</v>
      </c>
      <c r="F5919" s="13">
        <v>93893.34</v>
      </c>
      <c r="G5919" s="13"/>
    </row>
    <row r="5920" spans="1:7" hidden="1" x14ac:dyDescent="0.75">
      <c r="A5920" s="51">
        <v>44957</v>
      </c>
      <c r="B5920" s="52">
        <v>1639</v>
      </c>
      <c r="C5920" s="8" t="s">
        <v>995</v>
      </c>
      <c r="D5920" s="8" t="s">
        <v>660</v>
      </c>
      <c r="E5920" s="52">
        <v>1428</v>
      </c>
      <c r="F5920" s="13">
        <v>1948.03</v>
      </c>
      <c r="G5920" s="13"/>
    </row>
    <row r="5921" spans="1:7" hidden="1" x14ac:dyDescent="0.75">
      <c r="A5921" s="51">
        <v>44957</v>
      </c>
      <c r="B5921" s="52">
        <v>1639</v>
      </c>
      <c r="C5921" s="8" t="s">
        <v>1333</v>
      </c>
      <c r="D5921" s="8" t="s">
        <v>660</v>
      </c>
      <c r="E5921" s="52">
        <v>1424</v>
      </c>
      <c r="F5921" s="13">
        <v>16988.43</v>
      </c>
      <c r="G5921" s="13"/>
    </row>
    <row r="5922" spans="1:7" hidden="1" x14ac:dyDescent="0.75">
      <c r="A5922" s="51">
        <v>44957</v>
      </c>
      <c r="B5922" s="52">
        <v>1639</v>
      </c>
      <c r="C5922" s="8" t="s">
        <v>1334</v>
      </c>
      <c r="D5922" s="8" t="s">
        <v>660</v>
      </c>
      <c r="E5922" s="52">
        <v>1398</v>
      </c>
      <c r="F5922" s="13">
        <v>27809.07</v>
      </c>
      <c r="G5922" s="13"/>
    </row>
    <row r="5923" spans="1:7" hidden="1" x14ac:dyDescent="0.75">
      <c r="A5923" s="51">
        <v>44957</v>
      </c>
      <c r="B5923" s="52">
        <v>1639</v>
      </c>
      <c r="C5923" s="8" t="s">
        <v>1335</v>
      </c>
      <c r="D5923" s="8" t="s">
        <v>660</v>
      </c>
      <c r="E5923" s="52">
        <v>1426</v>
      </c>
      <c r="F5923" s="13">
        <v>3830.46</v>
      </c>
      <c r="G5923" s="13"/>
    </row>
    <row r="5924" spans="1:7" hidden="1" x14ac:dyDescent="0.75">
      <c r="A5924" s="51">
        <v>44957</v>
      </c>
      <c r="B5924" s="52">
        <v>1639</v>
      </c>
      <c r="C5924" s="8" t="s">
        <v>1336</v>
      </c>
      <c r="D5924" s="8" t="s">
        <v>660</v>
      </c>
      <c r="E5924" s="52">
        <v>1810</v>
      </c>
      <c r="F5924" s="13">
        <v>1389.27</v>
      </c>
      <c r="G5924" s="13"/>
    </row>
    <row r="5925" spans="1:7" hidden="1" x14ac:dyDescent="0.75">
      <c r="A5925" s="51">
        <v>44957</v>
      </c>
      <c r="B5925" s="52">
        <v>1639</v>
      </c>
      <c r="C5925" s="8" t="s">
        <v>1338</v>
      </c>
      <c r="D5925" s="8" t="s">
        <v>660</v>
      </c>
      <c r="E5925" s="52">
        <v>1946</v>
      </c>
      <c r="F5925" s="13">
        <v>3771.18</v>
      </c>
      <c r="G5925" s="13"/>
    </row>
    <row r="5926" spans="1:7" hidden="1" x14ac:dyDescent="0.75">
      <c r="A5926" s="51">
        <v>44957</v>
      </c>
      <c r="B5926" s="52">
        <v>1639</v>
      </c>
      <c r="C5926" s="8" t="s">
        <v>1337</v>
      </c>
      <c r="D5926" s="8" t="s">
        <v>660</v>
      </c>
      <c r="E5926" s="52">
        <v>1921</v>
      </c>
      <c r="F5926" s="13">
        <v>12300</v>
      </c>
      <c r="G5926" s="13"/>
    </row>
    <row r="5927" spans="1:7" hidden="1" x14ac:dyDescent="0.75">
      <c r="A5927" s="51">
        <v>44957</v>
      </c>
      <c r="B5927" s="52">
        <v>298</v>
      </c>
      <c r="C5927" s="8" t="s">
        <v>4796</v>
      </c>
      <c r="D5927" s="8" t="s">
        <v>606</v>
      </c>
      <c r="E5927" s="52"/>
      <c r="F5927" s="13">
        <v>14985.26</v>
      </c>
      <c r="G5927" s="13"/>
    </row>
    <row r="5928" spans="1:7" hidden="1" x14ac:dyDescent="0.75">
      <c r="A5928" s="51">
        <v>44957</v>
      </c>
      <c r="B5928" s="52">
        <v>298</v>
      </c>
      <c r="C5928" s="8" t="s">
        <v>4797</v>
      </c>
      <c r="D5928" s="8" t="s">
        <v>606</v>
      </c>
      <c r="E5928" s="52"/>
      <c r="F5928" s="13">
        <v>100</v>
      </c>
      <c r="G5928" s="13"/>
    </row>
    <row r="5929" spans="1:7" hidden="1" x14ac:dyDescent="0.75">
      <c r="A5929" s="51">
        <v>44957</v>
      </c>
      <c r="B5929" s="52">
        <v>298</v>
      </c>
      <c r="C5929" s="8" t="s">
        <v>1006</v>
      </c>
      <c r="D5929" s="8" t="s">
        <v>606</v>
      </c>
      <c r="E5929" s="52">
        <v>298</v>
      </c>
      <c r="F5929" s="13">
        <v>1523</v>
      </c>
      <c r="G5929" s="13"/>
    </row>
    <row r="5930" spans="1:7" hidden="1" x14ac:dyDescent="0.75">
      <c r="A5930" s="51">
        <v>44957</v>
      </c>
      <c r="B5930" s="52">
        <v>298</v>
      </c>
      <c r="C5930" s="8" t="s">
        <v>4798</v>
      </c>
      <c r="D5930" s="8" t="s">
        <v>606</v>
      </c>
      <c r="E5930" s="52"/>
      <c r="F5930" s="13"/>
      <c r="G5930" s="13">
        <v>593.5</v>
      </c>
    </row>
    <row r="5931" spans="1:7" hidden="1" x14ac:dyDescent="0.75">
      <c r="A5931" s="51">
        <v>44957</v>
      </c>
      <c r="B5931" s="52">
        <v>298</v>
      </c>
      <c r="C5931" s="8" t="s">
        <v>1006</v>
      </c>
      <c r="D5931" s="8" t="s">
        <v>606</v>
      </c>
      <c r="E5931" s="52">
        <v>298</v>
      </c>
      <c r="F5931" s="13"/>
      <c r="G5931" s="13">
        <v>1523</v>
      </c>
    </row>
    <row r="5932" spans="1:7" hidden="1" x14ac:dyDescent="0.75">
      <c r="A5932" s="51">
        <v>44957</v>
      </c>
      <c r="B5932" s="52">
        <v>301</v>
      </c>
      <c r="C5932" s="8" t="s">
        <v>4767</v>
      </c>
      <c r="D5932" s="8" t="s">
        <v>610</v>
      </c>
      <c r="E5932" s="52">
        <v>195</v>
      </c>
      <c r="F5932" s="13">
        <v>1257.1099999999999</v>
      </c>
      <c r="G5932" s="13"/>
    </row>
    <row r="5933" spans="1:7" hidden="1" x14ac:dyDescent="0.75">
      <c r="A5933" s="51">
        <v>44957</v>
      </c>
      <c r="B5933" s="52">
        <v>302</v>
      </c>
      <c r="C5933" s="8" t="s">
        <v>4757</v>
      </c>
      <c r="D5933" s="8" t="s">
        <v>612</v>
      </c>
      <c r="E5933" s="52">
        <v>194</v>
      </c>
      <c r="F5933" s="13">
        <v>1535.39</v>
      </c>
      <c r="G5933" s="13"/>
    </row>
    <row r="5934" spans="1:7" hidden="1" x14ac:dyDescent="0.75">
      <c r="A5934" s="51">
        <v>44957</v>
      </c>
      <c r="B5934" s="52">
        <v>302</v>
      </c>
      <c r="C5934" s="8" t="s">
        <v>4758</v>
      </c>
      <c r="D5934" s="8" t="s">
        <v>612</v>
      </c>
      <c r="E5934" s="52">
        <v>194</v>
      </c>
      <c r="F5934" s="13">
        <v>4436.13</v>
      </c>
      <c r="G5934" s="13"/>
    </row>
    <row r="5935" spans="1:7" hidden="1" x14ac:dyDescent="0.75">
      <c r="A5935" s="51">
        <v>44957</v>
      </c>
      <c r="B5935" s="52">
        <v>303</v>
      </c>
      <c r="C5935" s="8" t="s">
        <v>1006</v>
      </c>
      <c r="D5935" s="8" t="s">
        <v>1007</v>
      </c>
      <c r="E5935" s="52">
        <v>196</v>
      </c>
      <c r="F5935" s="13">
        <v>307.07</v>
      </c>
      <c r="G5935" s="13"/>
    </row>
    <row r="5936" spans="1:7" hidden="1" x14ac:dyDescent="0.75">
      <c r="A5936" s="51">
        <v>44957</v>
      </c>
      <c r="B5936" s="52">
        <v>303</v>
      </c>
      <c r="C5936" s="8" t="s">
        <v>1006</v>
      </c>
      <c r="D5936" s="8" t="s">
        <v>1007</v>
      </c>
      <c r="E5936" s="52">
        <v>196</v>
      </c>
      <c r="F5936" s="13">
        <v>23.04</v>
      </c>
      <c r="G5936" s="13"/>
    </row>
    <row r="5937" spans="1:7" hidden="1" x14ac:dyDescent="0.75">
      <c r="A5937" s="51">
        <v>44957</v>
      </c>
      <c r="B5937" s="52">
        <v>303</v>
      </c>
      <c r="C5937" s="8" t="s">
        <v>4762</v>
      </c>
      <c r="D5937" s="8" t="s">
        <v>1007</v>
      </c>
      <c r="E5937" s="52">
        <v>196</v>
      </c>
      <c r="F5937" s="13">
        <v>89.05</v>
      </c>
      <c r="G5937" s="13"/>
    </row>
    <row r="5938" spans="1:7" hidden="1" x14ac:dyDescent="0.75">
      <c r="A5938" s="51">
        <v>44957</v>
      </c>
      <c r="B5938" s="52">
        <v>303</v>
      </c>
      <c r="C5938" s="8" t="s">
        <v>1006</v>
      </c>
      <c r="D5938" s="8" t="s">
        <v>1007</v>
      </c>
      <c r="E5938" s="52">
        <v>197</v>
      </c>
      <c r="F5938" s="13">
        <v>251.41</v>
      </c>
      <c r="G5938" s="13"/>
    </row>
    <row r="5939" spans="1:7" hidden="1" x14ac:dyDescent="0.75">
      <c r="A5939" s="51">
        <v>44957</v>
      </c>
      <c r="B5939" s="52">
        <v>303</v>
      </c>
      <c r="C5939" s="8" t="s">
        <v>1006</v>
      </c>
      <c r="D5939" s="8" t="s">
        <v>1007</v>
      </c>
      <c r="E5939" s="52">
        <v>197</v>
      </c>
      <c r="F5939" s="13">
        <v>18.87</v>
      </c>
      <c r="G5939" s="13"/>
    </row>
    <row r="5940" spans="1:7" hidden="1" x14ac:dyDescent="0.75">
      <c r="A5940" s="51">
        <v>44957</v>
      </c>
      <c r="B5940" s="52">
        <v>303</v>
      </c>
      <c r="C5940" s="8" t="s">
        <v>1006</v>
      </c>
      <c r="D5940" s="8" t="s">
        <v>1007</v>
      </c>
      <c r="E5940" s="52">
        <v>196</v>
      </c>
      <c r="F5940" s="13">
        <v>72.930000000000007</v>
      </c>
      <c r="G5940" s="13"/>
    </row>
    <row r="5941" spans="1:7" hidden="1" x14ac:dyDescent="0.75">
      <c r="A5941" s="51">
        <v>44957</v>
      </c>
      <c r="B5941" s="52">
        <v>304</v>
      </c>
      <c r="C5941" s="8" t="s">
        <v>4736</v>
      </c>
      <c r="D5941" s="8" t="s">
        <v>615</v>
      </c>
      <c r="E5941" s="52">
        <v>192</v>
      </c>
      <c r="F5941" s="13">
        <v>1206.79</v>
      </c>
      <c r="G5941" s="13"/>
    </row>
    <row r="5942" spans="1:7" hidden="1" x14ac:dyDescent="0.75">
      <c r="A5942" s="51">
        <v>44957</v>
      </c>
      <c r="B5942" s="52">
        <v>304</v>
      </c>
      <c r="C5942" s="8" t="s">
        <v>4749</v>
      </c>
      <c r="D5942" s="8" t="s">
        <v>615</v>
      </c>
      <c r="E5942" s="52">
        <v>1487</v>
      </c>
      <c r="F5942" s="13">
        <v>3017.05</v>
      </c>
      <c r="G5942" s="13"/>
    </row>
    <row r="5943" spans="1:7" hidden="1" x14ac:dyDescent="0.75">
      <c r="A5943" s="51">
        <v>44957</v>
      </c>
      <c r="B5943" s="52">
        <v>304</v>
      </c>
      <c r="C5943" s="8" t="s">
        <v>4750</v>
      </c>
      <c r="D5943" s="8" t="s">
        <v>615</v>
      </c>
      <c r="E5943" s="52">
        <v>1487</v>
      </c>
      <c r="F5943" s="13">
        <v>874.93</v>
      </c>
      <c r="G5943" s="13"/>
    </row>
    <row r="5944" spans="1:7" hidden="1" x14ac:dyDescent="0.75">
      <c r="A5944" s="51">
        <v>44957</v>
      </c>
      <c r="B5944" s="52">
        <v>304</v>
      </c>
      <c r="C5944" s="8" t="s">
        <v>4751</v>
      </c>
      <c r="D5944" s="8" t="s">
        <v>615</v>
      </c>
      <c r="E5944" s="52">
        <v>1487</v>
      </c>
      <c r="F5944" s="13">
        <v>226.27</v>
      </c>
      <c r="G5944" s="13"/>
    </row>
    <row r="5945" spans="1:7" hidden="1" x14ac:dyDescent="0.75">
      <c r="A5945" s="51">
        <v>44957</v>
      </c>
      <c r="B5945" s="52">
        <v>304</v>
      </c>
      <c r="C5945" s="8" t="s">
        <v>4765</v>
      </c>
      <c r="D5945" s="8" t="s">
        <v>615</v>
      </c>
      <c r="E5945" s="52">
        <v>198</v>
      </c>
      <c r="F5945" s="13">
        <v>122.83</v>
      </c>
      <c r="G5945" s="13"/>
    </row>
    <row r="5946" spans="1:7" hidden="1" x14ac:dyDescent="0.75">
      <c r="A5946" s="51">
        <v>44957</v>
      </c>
      <c r="B5946" s="52">
        <v>304</v>
      </c>
      <c r="C5946" s="8" t="s">
        <v>1006</v>
      </c>
      <c r="D5946" s="8" t="s">
        <v>615</v>
      </c>
      <c r="E5946" s="52">
        <v>199</v>
      </c>
      <c r="F5946" s="13">
        <v>100.54</v>
      </c>
      <c r="G5946" s="13"/>
    </row>
    <row r="5947" spans="1:7" hidden="1" x14ac:dyDescent="0.75">
      <c r="A5947" s="51">
        <v>44932</v>
      </c>
      <c r="B5947" s="52">
        <v>306</v>
      </c>
      <c r="C5947" s="8" t="s">
        <v>4587</v>
      </c>
      <c r="D5947" s="8" t="s">
        <v>619</v>
      </c>
      <c r="E5947" s="52"/>
      <c r="F5947" s="13">
        <v>72.05</v>
      </c>
      <c r="G5947" s="13"/>
    </row>
    <row r="5948" spans="1:7" hidden="1" x14ac:dyDescent="0.75">
      <c r="A5948" s="51">
        <v>44943</v>
      </c>
      <c r="B5948" s="52">
        <v>306</v>
      </c>
      <c r="C5948" s="8" t="s">
        <v>4588</v>
      </c>
      <c r="D5948" s="8" t="s">
        <v>619</v>
      </c>
      <c r="E5948" s="52"/>
      <c r="F5948" s="13">
        <v>1597.27</v>
      </c>
      <c r="G5948" s="13"/>
    </row>
    <row r="5949" spans="1:7" hidden="1" x14ac:dyDescent="0.75">
      <c r="A5949" s="51">
        <v>44957</v>
      </c>
      <c r="B5949" s="52">
        <v>306</v>
      </c>
      <c r="C5949" s="8" t="s">
        <v>4799</v>
      </c>
      <c r="D5949" s="8" t="s">
        <v>619</v>
      </c>
      <c r="E5949" s="52"/>
      <c r="F5949" s="13"/>
      <c r="G5949" s="13">
        <v>1</v>
      </c>
    </row>
    <row r="5950" spans="1:7" hidden="1" x14ac:dyDescent="0.75">
      <c r="A5950" s="51">
        <v>44957</v>
      </c>
      <c r="B5950" s="52">
        <v>649</v>
      </c>
      <c r="C5950" s="8" t="s">
        <v>1006</v>
      </c>
      <c r="D5950" s="8" t="s">
        <v>193</v>
      </c>
      <c r="E5950" s="52">
        <v>649</v>
      </c>
      <c r="F5950" s="13">
        <v>1304.4000000000001</v>
      </c>
      <c r="G5950" s="13"/>
    </row>
    <row r="5951" spans="1:7" hidden="1" x14ac:dyDescent="0.75">
      <c r="A5951" s="51">
        <v>44957</v>
      </c>
      <c r="B5951" s="52">
        <v>649</v>
      </c>
      <c r="C5951" s="8" t="s">
        <v>1002</v>
      </c>
      <c r="D5951" s="8" t="s">
        <v>193</v>
      </c>
      <c r="E5951" s="52"/>
      <c r="F5951" s="13">
        <v>1235.22</v>
      </c>
      <c r="G5951" s="13"/>
    </row>
    <row r="5952" spans="1:7" hidden="1" x14ac:dyDescent="0.75">
      <c r="A5952" s="51">
        <v>44957</v>
      </c>
      <c r="B5952" s="52">
        <v>649</v>
      </c>
      <c r="C5952" s="8" t="s">
        <v>4800</v>
      </c>
      <c r="D5952" s="8" t="s">
        <v>193</v>
      </c>
      <c r="E5952" s="52"/>
      <c r="F5952" s="13"/>
      <c r="G5952" s="13">
        <v>797</v>
      </c>
    </row>
    <row r="5953" spans="1:7" hidden="1" x14ac:dyDescent="0.75">
      <c r="A5953" s="51">
        <v>44957</v>
      </c>
      <c r="B5953" s="52">
        <v>649</v>
      </c>
      <c r="C5953" s="8" t="s">
        <v>1006</v>
      </c>
      <c r="D5953" s="8" t="s">
        <v>193</v>
      </c>
      <c r="E5953" s="52">
        <v>649</v>
      </c>
      <c r="F5953" s="13"/>
      <c r="G5953" s="13">
        <v>1304.4000000000001</v>
      </c>
    </row>
    <row r="5954" spans="1:7" hidden="1" x14ac:dyDescent="0.75">
      <c r="A5954" s="51">
        <v>44957</v>
      </c>
      <c r="B5954" s="52">
        <v>566</v>
      </c>
      <c r="C5954" s="8" t="s">
        <v>4758</v>
      </c>
      <c r="D5954" s="8" t="s">
        <v>626</v>
      </c>
      <c r="E5954" s="52">
        <v>198</v>
      </c>
      <c r="F5954" s="13">
        <v>275.8</v>
      </c>
      <c r="G5954" s="13"/>
    </row>
    <row r="5955" spans="1:7" hidden="1" x14ac:dyDescent="0.75">
      <c r="A5955" s="51">
        <v>44957</v>
      </c>
      <c r="B5955" s="52">
        <v>567</v>
      </c>
      <c r="C5955" s="8" t="s">
        <v>4790</v>
      </c>
      <c r="D5955" s="8" t="s">
        <v>628</v>
      </c>
      <c r="E5955" s="52">
        <v>279</v>
      </c>
      <c r="F5955" s="13">
        <v>429.16</v>
      </c>
      <c r="G5955" s="13"/>
    </row>
    <row r="5956" spans="1:7" hidden="1" x14ac:dyDescent="0.75">
      <c r="A5956" s="51">
        <v>44957</v>
      </c>
      <c r="B5956" s="52">
        <v>567</v>
      </c>
      <c r="C5956" s="8" t="s">
        <v>4758</v>
      </c>
      <c r="D5956" s="8" t="s">
        <v>628</v>
      </c>
      <c r="E5956" s="52">
        <v>196</v>
      </c>
      <c r="F5956" s="13">
        <v>354.83</v>
      </c>
      <c r="G5956" s="13"/>
    </row>
    <row r="5957" spans="1:7" hidden="1" x14ac:dyDescent="0.75">
      <c r="A5957" s="51">
        <v>44927</v>
      </c>
      <c r="B5957" s="52">
        <v>349</v>
      </c>
      <c r="C5957" s="8" t="s">
        <v>4573</v>
      </c>
      <c r="D5957" s="8" t="s">
        <v>191</v>
      </c>
      <c r="E5957" s="52">
        <v>680</v>
      </c>
      <c r="F5957" s="13">
        <v>156.44999999999999</v>
      </c>
      <c r="G5957" s="13"/>
    </row>
    <row r="5958" spans="1:7" hidden="1" x14ac:dyDescent="0.75">
      <c r="A5958" s="51">
        <v>44943</v>
      </c>
      <c r="B5958" s="52">
        <v>350</v>
      </c>
      <c r="C5958" s="8" t="s">
        <v>1713</v>
      </c>
      <c r="D5958" s="8" t="s">
        <v>678</v>
      </c>
      <c r="E5958" s="52">
        <v>8</v>
      </c>
      <c r="F5958" s="13">
        <v>549.62</v>
      </c>
      <c r="G5958" s="13"/>
    </row>
    <row r="5959" spans="1:7" hidden="1" x14ac:dyDescent="0.75">
      <c r="A5959" s="51">
        <v>44953</v>
      </c>
      <c r="B5959" s="52">
        <v>350</v>
      </c>
      <c r="C5959" s="8" t="s">
        <v>1818</v>
      </c>
      <c r="D5959" s="8" t="s">
        <v>678</v>
      </c>
      <c r="E5959" s="52">
        <v>8</v>
      </c>
      <c r="F5959" s="13">
        <v>383.76</v>
      </c>
      <c r="G5959" s="13"/>
    </row>
    <row r="5960" spans="1:7" hidden="1" x14ac:dyDescent="0.75">
      <c r="A5960" s="51">
        <v>44957</v>
      </c>
      <c r="B5960" s="52">
        <v>678</v>
      </c>
      <c r="C5960" s="8" t="s">
        <v>1001</v>
      </c>
      <c r="D5960" s="8" t="s">
        <v>680</v>
      </c>
      <c r="E5960" s="52">
        <v>679</v>
      </c>
      <c r="F5960" s="13">
        <v>145.86000000000001</v>
      </c>
      <c r="G5960" s="13"/>
    </row>
    <row r="5961" spans="1:7" hidden="1" x14ac:dyDescent="0.75">
      <c r="A5961" s="51">
        <v>44957</v>
      </c>
      <c r="B5961" s="52">
        <v>354</v>
      </c>
      <c r="C5961" s="8" t="s">
        <v>4784</v>
      </c>
      <c r="D5961" s="8" t="s">
        <v>684</v>
      </c>
      <c r="E5961" s="52">
        <v>1378</v>
      </c>
      <c r="F5961" s="13">
        <v>3486.66</v>
      </c>
      <c r="G5961" s="13"/>
    </row>
    <row r="5962" spans="1:7" hidden="1" x14ac:dyDescent="0.75">
      <c r="A5962" s="51">
        <v>44957</v>
      </c>
      <c r="B5962" s="52">
        <v>355</v>
      </c>
      <c r="C5962" s="8" t="s">
        <v>4785</v>
      </c>
      <c r="D5962" s="8" t="s">
        <v>686</v>
      </c>
      <c r="E5962" s="52">
        <v>1379</v>
      </c>
      <c r="F5962" s="13">
        <v>1945.01</v>
      </c>
      <c r="G5962" s="13"/>
    </row>
    <row r="5963" spans="1:7" hidden="1" x14ac:dyDescent="0.75">
      <c r="A5963" s="51">
        <v>44928</v>
      </c>
      <c r="B5963" s="52">
        <v>356</v>
      </c>
      <c r="C5963" s="8" t="s">
        <v>1495</v>
      </c>
      <c r="D5963" s="8" t="s">
        <v>688</v>
      </c>
      <c r="E5963" s="52">
        <v>8</v>
      </c>
      <c r="F5963" s="13">
        <v>139.82</v>
      </c>
      <c r="G5963" s="13"/>
    </row>
    <row r="5964" spans="1:7" hidden="1" x14ac:dyDescent="0.75">
      <c r="A5964" s="51">
        <v>44951</v>
      </c>
      <c r="B5964" s="52">
        <v>356</v>
      </c>
      <c r="C5964" s="8" t="s">
        <v>1792</v>
      </c>
      <c r="D5964" s="8" t="s">
        <v>688</v>
      </c>
      <c r="E5964" s="52">
        <v>8</v>
      </c>
      <c r="F5964" s="13">
        <v>795.62</v>
      </c>
      <c r="G5964" s="13"/>
    </row>
    <row r="5965" spans="1:7" hidden="1" x14ac:dyDescent="0.75">
      <c r="A5965" s="51">
        <v>44930</v>
      </c>
      <c r="B5965" s="52">
        <v>360</v>
      </c>
      <c r="C5965" s="8" t="s">
        <v>1378</v>
      </c>
      <c r="D5965" s="8" t="s">
        <v>692</v>
      </c>
      <c r="E5965" s="52">
        <v>5</v>
      </c>
      <c r="F5965" s="13">
        <v>34</v>
      </c>
      <c r="G5965" s="13"/>
    </row>
    <row r="5966" spans="1:7" hidden="1" x14ac:dyDescent="0.75">
      <c r="A5966" s="51">
        <v>44936</v>
      </c>
      <c r="B5966" s="52">
        <v>360</v>
      </c>
      <c r="C5966" s="8" t="s">
        <v>1398</v>
      </c>
      <c r="D5966" s="8" t="s">
        <v>692</v>
      </c>
      <c r="E5966" s="52">
        <v>5</v>
      </c>
      <c r="F5966" s="13">
        <v>25.75</v>
      </c>
      <c r="G5966" s="13"/>
    </row>
    <row r="5967" spans="1:7" hidden="1" x14ac:dyDescent="0.75">
      <c r="A5967" s="51">
        <v>44943</v>
      </c>
      <c r="B5967" s="52">
        <v>360</v>
      </c>
      <c r="C5967" s="8" t="s">
        <v>1429</v>
      </c>
      <c r="D5967" s="8" t="s">
        <v>692</v>
      </c>
      <c r="E5967" s="52">
        <v>5</v>
      </c>
      <c r="F5967" s="13">
        <v>47.1</v>
      </c>
      <c r="G5967" s="13"/>
    </row>
    <row r="5968" spans="1:7" hidden="1" x14ac:dyDescent="0.75">
      <c r="A5968" s="51">
        <v>44950</v>
      </c>
      <c r="B5968" s="52">
        <v>360</v>
      </c>
      <c r="C5968" s="8" t="s">
        <v>1378</v>
      </c>
      <c r="D5968" s="8" t="s">
        <v>692</v>
      </c>
      <c r="E5968" s="52">
        <v>5</v>
      </c>
      <c r="F5968" s="13">
        <v>34</v>
      </c>
      <c r="G5968" s="13"/>
    </row>
    <row r="5969" spans="1:7" hidden="1" x14ac:dyDescent="0.75">
      <c r="A5969" s="51">
        <v>44956</v>
      </c>
      <c r="B5969" s="52">
        <v>361</v>
      </c>
      <c r="C5969" s="8" t="s">
        <v>1851</v>
      </c>
      <c r="D5969" s="8" t="s">
        <v>694</v>
      </c>
      <c r="E5969" s="52">
        <v>8</v>
      </c>
      <c r="F5969" s="13">
        <v>4608.5</v>
      </c>
      <c r="G5969" s="13"/>
    </row>
    <row r="5970" spans="1:7" hidden="1" x14ac:dyDescent="0.75">
      <c r="A5970" s="51">
        <v>44957</v>
      </c>
      <c r="B5970" s="52">
        <v>361</v>
      </c>
      <c r="C5970" s="8" t="s">
        <v>1856</v>
      </c>
      <c r="D5970" s="8" t="s">
        <v>694</v>
      </c>
      <c r="E5970" s="52">
        <v>8</v>
      </c>
      <c r="F5970" s="13"/>
      <c r="G5970" s="13">
        <v>59.7</v>
      </c>
    </row>
    <row r="5971" spans="1:7" hidden="1" x14ac:dyDescent="0.75">
      <c r="A5971" s="51">
        <v>44957</v>
      </c>
      <c r="B5971" s="52">
        <v>363</v>
      </c>
      <c r="C5971" s="8" t="s">
        <v>1004</v>
      </c>
      <c r="D5971" s="8" t="s">
        <v>696</v>
      </c>
      <c r="E5971" s="52">
        <v>126</v>
      </c>
      <c r="F5971" s="13">
        <v>76.95</v>
      </c>
      <c r="G5971" s="13"/>
    </row>
    <row r="5972" spans="1:7" hidden="1" x14ac:dyDescent="0.75">
      <c r="A5972" s="51">
        <v>44957</v>
      </c>
      <c r="B5972" s="52">
        <v>363</v>
      </c>
      <c r="C5972" s="8" t="s">
        <v>1004</v>
      </c>
      <c r="D5972" s="8" t="s">
        <v>696</v>
      </c>
      <c r="E5972" s="52">
        <v>127</v>
      </c>
      <c r="F5972" s="13">
        <v>888.03</v>
      </c>
      <c r="G5972" s="13"/>
    </row>
    <row r="5973" spans="1:7" hidden="1" x14ac:dyDescent="0.75">
      <c r="A5973" s="51">
        <v>44957</v>
      </c>
      <c r="B5973" s="52">
        <v>363</v>
      </c>
      <c r="C5973" s="8" t="s">
        <v>1004</v>
      </c>
      <c r="D5973" s="8" t="s">
        <v>696</v>
      </c>
      <c r="E5973" s="52">
        <v>128</v>
      </c>
      <c r="F5973" s="13">
        <v>2002.09</v>
      </c>
      <c r="G5973" s="13"/>
    </row>
    <row r="5974" spans="1:7" hidden="1" x14ac:dyDescent="0.75">
      <c r="A5974" s="51">
        <v>44957</v>
      </c>
      <c r="B5974" s="52">
        <v>363</v>
      </c>
      <c r="C5974" s="8" t="s">
        <v>1004</v>
      </c>
      <c r="D5974" s="8" t="s">
        <v>696</v>
      </c>
      <c r="E5974" s="52">
        <v>729</v>
      </c>
      <c r="F5974" s="13">
        <v>42.5</v>
      </c>
      <c r="G5974" s="13"/>
    </row>
    <row r="5975" spans="1:7" hidden="1" x14ac:dyDescent="0.75">
      <c r="A5975" s="51">
        <v>44928</v>
      </c>
      <c r="B5975" s="52">
        <v>557</v>
      </c>
      <c r="C5975" s="8" t="s">
        <v>4774</v>
      </c>
      <c r="D5975" s="8" t="s">
        <v>698</v>
      </c>
      <c r="E5975" s="52">
        <v>1474</v>
      </c>
      <c r="F5975" s="13">
        <v>4</v>
      </c>
      <c r="G5975" s="13"/>
    </row>
    <row r="5976" spans="1:7" hidden="1" x14ac:dyDescent="0.75">
      <c r="A5976" s="51">
        <v>44927</v>
      </c>
      <c r="B5976" s="52">
        <v>585</v>
      </c>
      <c r="C5976" s="8" t="s">
        <v>4683</v>
      </c>
      <c r="D5976" s="8" t="s">
        <v>700</v>
      </c>
      <c r="E5976" s="52">
        <v>1444</v>
      </c>
      <c r="F5976" s="13">
        <v>175</v>
      </c>
      <c r="G5976" s="13"/>
    </row>
    <row r="5977" spans="1:7" hidden="1" x14ac:dyDescent="0.75">
      <c r="A5977" s="51">
        <v>44929</v>
      </c>
      <c r="B5977" s="52">
        <v>585</v>
      </c>
      <c r="C5977" s="8" t="s">
        <v>4704</v>
      </c>
      <c r="D5977" s="8" t="s">
        <v>700</v>
      </c>
      <c r="E5977" s="52">
        <v>1912</v>
      </c>
      <c r="F5977" s="13">
        <v>260</v>
      </c>
      <c r="G5977" s="13"/>
    </row>
    <row r="5978" spans="1:7" hidden="1" x14ac:dyDescent="0.75">
      <c r="A5978" s="51">
        <v>44930</v>
      </c>
      <c r="B5978" s="52">
        <v>585</v>
      </c>
      <c r="C5978" s="8" t="s">
        <v>1379</v>
      </c>
      <c r="D5978" s="8" t="s">
        <v>700</v>
      </c>
      <c r="E5978" s="52">
        <v>5</v>
      </c>
      <c r="F5978" s="13">
        <v>18</v>
      </c>
      <c r="G5978" s="13"/>
    </row>
    <row r="5979" spans="1:7" hidden="1" x14ac:dyDescent="0.75">
      <c r="A5979" s="51">
        <v>44932</v>
      </c>
      <c r="B5979" s="52">
        <v>585</v>
      </c>
      <c r="C5979" s="8" t="s">
        <v>4691</v>
      </c>
      <c r="D5979" s="8" t="s">
        <v>700</v>
      </c>
      <c r="E5979" s="52">
        <v>1637</v>
      </c>
      <c r="F5979" s="13">
        <v>184.9</v>
      </c>
      <c r="G5979" s="13"/>
    </row>
    <row r="5980" spans="1:7" hidden="1" x14ac:dyDescent="0.75">
      <c r="A5980" s="51">
        <v>44937</v>
      </c>
      <c r="B5980" s="52">
        <v>585</v>
      </c>
      <c r="C5980" s="8" t="s">
        <v>1401</v>
      </c>
      <c r="D5980" s="8" t="s">
        <v>700</v>
      </c>
      <c r="E5980" s="52">
        <v>5</v>
      </c>
      <c r="F5980" s="13">
        <v>189.5</v>
      </c>
      <c r="G5980" s="13"/>
    </row>
    <row r="5981" spans="1:7" hidden="1" x14ac:dyDescent="0.75">
      <c r="A5981" s="51">
        <v>44943</v>
      </c>
      <c r="B5981" s="52">
        <v>585</v>
      </c>
      <c r="C5981" s="8" t="s">
        <v>1401</v>
      </c>
      <c r="D5981" s="8" t="s">
        <v>700</v>
      </c>
      <c r="E5981" s="52">
        <v>5</v>
      </c>
      <c r="F5981" s="13">
        <v>72</v>
      </c>
      <c r="G5981" s="13"/>
    </row>
    <row r="5982" spans="1:7" hidden="1" x14ac:dyDescent="0.75">
      <c r="A5982" s="51">
        <v>44944</v>
      </c>
      <c r="B5982" s="52">
        <v>585</v>
      </c>
      <c r="C5982" s="8" t="s">
        <v>1431</v>
      </c>
      <c r="D5982" s="8" t="s">
        <v>700</v>
      </c>
      <c r="E5982" s="52">
        <v>5</v>
      </c>
      <c r="F5982" s="13">
        <v>81.2</v>
      </c>
      <c r="G5982" s="13"/>
    </row>
    <row r="5983" spans="1:7" hidden="1" x14ac:dyDescent="0.75">
      <c r="A5983" s="51">
        <v>44945</v>
      </c>
      <c r="B5983" s="52">
        <v>585</v>
      </c>
      <c r="C5983" s="8" t="s">
        <v>4690</v>
      </c>
      <c r="D5983" s="8" t="s">
        <v>700</v>
      </c>
      <c r="E5983" s="52">
        <v>1573</v>
      </c>
      <c r="F5983" s="13">
        <v>80</v>
      </c>
      <c r="G5983" s="13"/>
    </row>
    <row r="5984" spans="1:7" hidden="1" x14ac:dyDescent="0.75">
      <c r="A5984" s="51">
        <v>44946</v>
      </c>
      <c r="B5984" s="52">
        <v>585</v>
      </c>
      <c r="C5984" s="8" t="s">
        <v>4697</v>
      </c>
      <c r="D5984" s="8" t="s">
        <v>700</v>
      </c>
      <c r="E5984" s="52">
        <v>1711</v>
      </c>
      <c r="F5984" s="13">
        <v>500</v>
      </c>
      <c r="G5984" s="13"/>
    </row>
    <row r="5985" spans="1:7" hidden="1" x14ac:dyDescent="0.75">
      <c r="A5985" s="51">
        <v>44946</v>
      </c>
      <c r="B5985" s="52">
        <v>585</v>
      </c>
      <c r="C5985" s="8" t="s">
        <v>4698</v>
      </c>
      <c r="D5985" s="8" t="s">
        <v>700</v>
      </c>
      <c r="E5985" s="52">
        <v>1711</v>
      </c>
      <c r="F5985" s="13">
        <v>400</v>
      </c>
      <c r="G5985" s="13"/>
    </row>
    <row r="5986" spans="1:7" hidden="1" x14ac:dyDescent="0.75">
      <c r="A5986" s="51">
        <v>44949</v>
      </c>
      <c r="B5986" s="52">
        <v>585</v>
      </c>
      <c r="C5986" s="8" t="s">
        <v>4714</v>
      </c>
      <c r="D5986" s="8" t="s">
        <v>700</v>
      </c>
      <c r="E5986" s="52">
        <v>1918</v>
      </c>
      <c r="F5986" s="13">
        <v>486.96</v>
      </c>
      <c r="G5986" s="13"/>
    </row>
    <row r="5987" spans="1:7" hidden="1" x14ac:dyDescent="0.75">
      <c r="A5987" s="51">
        <v>44949</v>
      </c>
      <c r="B5987" s="52">
        <v>585</v>
      </c>
      <c r="C5987" s="8" t="s">
        <v>4714</v>
      </c>
      <c r="D5987" s="8" t="s">
        <v>700</v>
      </c>
      <c r="E5987" s="52">
        <v>1918</v>
      </c>
      <c r="F5987" s="13">
        <v>736.01</v>
      </c>
      <c r="G5987" s="13"/>
    </row>
    <row r="5988" spans="1:7" hidden="1" x14ac:dyDescent="0.75">
      <c r="A5988" s="51">
        <v>44956</v>
      </c>
      <c r="B5988" s="52">
        <v>585</v>
      </c>
      <c r="C5988" s="8" t="s">
        <v>4727</v>
      </c>
      <c r="D5988" s="8" t="s">
        <v>700</v>
      </c>
      <c r="E5988" s="52">
        <v>1983</v>
      </c>
      <c r="F5988" s="13">
        <v>64</v>
      </c>
      <c r="G5988" s="13"/>
    </row>
    <row r="5989" spans="1:7" hidden="1" x14ac:dyDescent="0.75">
      <c r="A5989" s="51">
        <v>44943</v>
      </c>
      <c r="B5989" s="52">
        <v>659</v>
      </c>
      <c r="C5989" s="8" t="s">
        <v>4682</v>
      </c>
      <c r="D5989" s="8" t="s">
        <v>702</v>
      </c>
      <c r="E5989" s="52">
        <v>1419</v>
      </c>
      <c r="F5989" s="13">
        <v>381.05</v>
      </c>
      <c r="G5989" s="13"/>
    </row>
    <row r="5990" spans="1:7" hidden="1" x14ac:dyDescent="0.75">
      <c r="A5990" s="51">
        <v>44927</v>
      </c>
      <c r="B5990" s="52">
        <v>660</v>
      </c>
      <c r="C5990" s="8" t="s">
        <v>1219</v>
      </c>
      <c r="D5990" s="8" t="s">
        <v>704</v>
      </c>
      <c r="E5990" s="52">
        <v>1966</v>
      </c>
      <c r="F5990" s="13">
        <v>320</v>
      </c>
      <c r="G5990" s="13"/>
    </row>
    <row r="5991" spans="1:7" hidden="1" x14ac:dyDescent="0.75">
      <c r="A5991" s="51">
        <v>44928</v>
      </c>
      <c r="B5991" s="52">
        <v>660</v>
      </c>
      <c r="C5991" s="8" t="s">
        <v>4673</v>
      </c>
      <c r="D5991" s="8" t="s">
        <v>704</v>
      </c>
      <c r="E5991" s="52">
        <v>1359</v>
      </c>
      <c r="F5991" s="13">
        <v>80</v>
      </c>
      <c r="G5991" s="13"/>
    </row>
    <row r="5992" spans="1:7" hidden="1" x14ac:dyDescent="0.75">
      <c r="A5992" s="51">
        <v>44957</v>
      </c>
      <c r="B5992" s="52">
        <v>660</v>
      </c>
      <c r="C5992" s="8" t="s">
        <v>4674</v>
      </c>
      <c r="D5992" s="8" t="s">
        <v>704</v>
      </c>
      <c r="E5992" s="52">
        <v>1359</v>
      </c>
      <c r="F5992" s="13">
        <v>320</v>
      </c>
      <c r="G5992" s="13"/>
    </row>
    <row r="5993" spans="1:7" hidden="1" x14ac:dyDescent="0.75">
      <c r="A5993" s="51">
        <v>44928</v>
      </c>
      <c r="B5993" s="52">
        <v>662</v>
      </c>
      <c r="C5993" s="57" t="s">
        <v>4719</v>
      </c>
      <c r="D5993" s="8" t="s">
        <v>706</v>
      </c>
      <c r="E5993" s="52">
        <v>1982</v>
      </c>
      <c r="F5993" s="13">
        <v>648</v>
      </c>
      <c r="G5993" s="13"/>
    </row>
    <row r="5994" spans="1:7" hidden="1" x14ac:dyDescent="0.75">
      <c r="A5994" s="51">
        <v>44928</v>
      </c>
      <c r="B5994" s="52">
        <v>662</v>
      </c>
      <c r="C5994" s="57" t="s">
        <v>4720</v>
      </c>
      <c r="D5994" s="8" t="s">
        <v>706</v>
      </c>
      <c r="E5994" s="52">
        <v>1982</v>
      </c>
      <c r="F5994" s="13">
        <v>1047</v>
      </c>
      <c r="G5994" s="13"/>
    </row>
    <row r="5995" spans="1:7" hidden="1" x14ac:dyDescent="0.75">
      <c r="A5995" s="51">
        <v>44933</v>
      </c>
      <c r="B5995" s="52">
        <v>662</v>
      </c>
      <c r="C5995" s="57" t="s">
        <v>4721</v>
      </c>
      <c r="D5995" s="8" t="s">
        <v>706</v>
      </c>
      <c r="E5995" s="52">
        <v>1982</v>
      </c>
      <c r="F5995" s="13">
        <v>16000</v>
      </c>
      <c r="G5995" s="13"/>
    </row>
    <row r="5996" spans="1:7" hidden="1" x14ac:dyDescent="0.75">
      <c r="A5996" s="51">
        <v>44934</v>
      </c>
      <c r="B5996" s="52">
        <v>662</v>
      </c>
      <c r="C5996" s="8" t="s">
        <v>4671</v>
      </c>
      <c r="D5996" s="8" t="s">
        <v>706</v>
      </c>
      <c r="E5996" s="52">
        <v>1327</v>
      </c>
      <c r="F5996" s="13">
        <v>834</v>
      </c>
      <c r="G5996" s="13"/>
    </row>
    <row r="5997" spans="1:7" hidden="1" x14ac:dyDescent="0.75">
      <c r="A5997" s="51">
        <v>44943</v>
      </c>
      <c r="B5997" s="52">
        <v>662</v>
      </c>
      <c r="C5997" s="8" t="s">
        <v>4701</v>
      </c>
      <c r="D5997" s="8" t="s">
        <v>706</v>
      </c>
      <c r="E5997" s="52">
        <v>1803</v>
      </c>
      <c r="F5997" s="13">
        <v>1000</v>
      </c>
      <c r="G5997" s="13"/>
    </row>
    <row r="5998" spans="1:7" hidden="1" x14ac:dyDescent="0.75">
      <c r="A5998" s="51">
        <v>44943</v>
      </c>
      <c r="B5998" s="52">
        <v>662</v>
      </c>
      <c r="C5998" s="57" t="s">
        <v>4722</v>
      </c>
      <c r="D5998" s="8" t="s">
        <v>706</v>
      </c>
      <c r="E5998" s="52">
        <v>1982</v>
      </c>
      <c r="F5998" s="13">
        <v>2700</v>
      </c>
      <c r="G5998" s="13"/>
    </row>
    <row r="5999" spans="1:7" hidden="1" x14ac:dyDescent="0.75">
      <c r="A5999" s="51">
        <v>44946</v>
      </c>
      <c r="B5999" s="52">
        <v>662</v>
      </c>
      <c r="C5999" s="8" t="s">
        <v>4705</v>
      </c>
      <c r="D5999" s="8" t="s">
        <v>706</v>
      </c>
      <c r="E5999" s="52">
        <v>1914</v>
      </c>
      <c r="F5999" s="13">
        <v>1500</v>
      </c>
      <c r="G5999" s="13"/>
    </row>
    <row r="6000" spans="1:7" hidden="1" x14ac:dyDescent="0.75">
      <c r="A6000" s="51">
        <v>44946</v>
      </c>
      <c r="B6000" s="52">
        <v>662</v>
      </c>
      <c r="C6000" s="8" t="s">
        <v>4706</v>
      </c>
      <c r="D6000" s="8" t="s">
        <v>706</v>
      </c>
      <c r="E6000" s="52">
        <v>1914</v>
      </c>
      <c r="F6000" s="13">
        <v>2600</v>
      </c>
      <c r="G6000" s="13"/>
    </row>
    <row r="6001" spans="1:7" hidden="1" x14ac:dyDescent="0.75">
      <c r="A6001" s="51">
        <v>44950</v>
      </c>
      <c r="B6001" s="52">
        <v>662</v>
      </c>
      <c r="C6001" s="8" t="s">
        <v>4702</v>
      </c>
      <c r="D6001" s="8" t="s">
        <v>706</v>
      </c>
      <c r="E6001" s="52">
        <v>1803</v>
      </c>
      <c r="F6001" s="13">
        <v>113.35</v>
      </c>
      <c r="G6001" s="13"/>
    </row>
    <row r="6002" spans="1:7" hidden="1" x14ac:dyDescent="0.75">
      <c r="A6002" s="51">
        <v>44950</v>
      </c>
      <c r="B6002" s="52">
        <v>662</v>
      </c>
      <c r="C6002" s="57" t="s">
        <v>4723</v>
      </c>
      <c r="D6002" s="8" t="s">
        <v>706</v>
      </c>
      <c r="E6002" s="52">
        <v>1982</v>
      </c>
      <c r="F6002" s="13">
        <v>2700</v>
      </c>
      <c r="G6002" s="13"/>
    </row>
    <row r="6003" spans="1:7" hidden="1" x14ac:dyDescent="0.75">
      <c r="A6003" s="51">
        <v>44950</v>
      </c>
      <c r="B6003" s="52">
        <v>662</v>
      </c>
      <c r="C6003" s="57" t="s">
        <v>4724</v>
      </c>
      <c r="D6003" s="8" t="s">
        <v>706</v>
      </c>
      <c r="E6003" s="52">
        <v>1982</v>
      </c>
      <c r="F6003" s="13">
        <v>16000</v>
      </c>
      <c r="G6003" s="13"/>
    </row>
    <row r="6004" spans="1:7" hidden="1" x14ac:dyDescent="0.75">
      <c r="A6004" s="51">
        <v>44953</v>
      </c>
      <c r="B6004" s="52">
        <v>662</v>
      </c>
      <c r="C6004" s="8" t="s">
        <v>4692</v>
      </c>
      <c r="D6004" s="8" t="s">
        <v>706</v>
      </c>
      <c r="E6004" s="52">
        <v>1641</v>
      </c>
      <c r="F6004" s="13">
        <v>7500</v>
      </c>
      <c r="G6004" s="13"/>
    </row>
    <row r="6005" spans="1:7" hidden="1" x14ac:dyDescent="0.75">
      <c r="A6005" s="51">
        <v>44953</v>
      </c>
      <c r="B6005" s="52">
        <v>662</v>
      </c>
      <c r="C6005" s="8" t="s">
        <v>4693</v>
      </c>
      <c r="D6005" s="8" t="s">
        <v>706</v>
      </c>
      <c r="E6005" s="52">
        <v>1641</v>
      </c>
      <c r="F6005" s="13">
        <v>1250</v>
      </c>
      <c r="G6005" s="13"/>
    </row>
    <row r="6006" spans="1:7" hidden="1" x14ac:dyDescent="0.75">
      <c r="A6006" s="51">
        <v>44956</v>
      </c>
      <c r="B6006" s="52">
        <v>662</v>
      </c>
      <c r="C6006" s="57" t="s">
        <v>4725</v>
      </c>
      <c r="D6006" s="8" t="s">
        <v>706</v>
      </c>
      <c r="E6006" s="52">
        <v>1982</v>
      </c>
      <c r="F6006" s="13">
        <v>450</v>
      </c>
      <c r="G6006" s="13"/>
    </row>
    <row r="6007" spans="1:7" hidden="1" x14ac:dyDescent="0.75">
      <c r="A6007" s="51">
        <v>44957</v>
      </c>
      <c r="B6007" s="52">
        <v>662</v>
      </c>
      <c r="C6007" s="8" t="s">
        <v>4694</v>
      </c>
      <c r="D6007" s="8" t="s">
        <v>706</v>
      </c>
      <c r="E6007" s="52">
        <v>1642</v>
      </c>
      <c r="F6007" s="13">
        <v>3850</v>
      </c>
      <c r="G6007" s="13"/>
    </row>
    <row r="6008" spans="1:7" hidden="1" x14ac:dyDescent="0.75">
      <c r="A6008" s="51">
        <v>44957</v>
      </c>
      <c r="B6008" s="52">
        <v>662</v>
      </c>
      <c r="C6008" s="57" t="s">
        <v>4726</v>
      </c>
      <c r="D6008" s="8" t="s">
        <v>706</v>
      </c>
      <c r="E6008" s="52">
        <v>1982</v>
      </c>
      <c r="F6008" s="13">
        <v>3359</v>
      </c>
      <c r="G6008" s="13"/>
    </row>
    <row r="6009" spans="1:7" hidden="1" x14ac:dyDescent="0.75">
      <c r="A6009" s="51">
        <v>44928</v>
      </c>
      <c r="B6009" s="52">
        <v>664</v>
      </c>
      <c r="C6009" s="8" t="s">
        <v>4695</v>
      </c>
      <c r="D6009" s="8" t="s">
        <v>1252</v>
      </c>
      <c r="E6009" s="52">
        <v>1677</v>
      </c>
      <c r="F6009" s="13">
        <v>178.2</v>
      </c>
      <c r="G6009" s="13"/>
    </row>
    <row r="6010" spans="1:7" hidden="1" x14ac:dyDescent="0.75">
      <c r="A6010" s="51">
        <v>44928</v>
      </c>
      <c r="B6010" s="52">
        <v>664</v>
      </c>
      <c r="C6010" s="8" t="s">
        <v>4670</v>
      </c>
      <c r="D6010" s="8" t="s">
        <v>1252</v>
      </c>
      <c r="E6010" s="52">
        <v>1325</v>
      </c>
      <c r="F6010" s="13">
        <v>1642</v>
      </c>
      <c r="G6010" s="13"/>
    </row>
    <row r="6011" spans="1:7" hidden="1" x14ac:dyDescent="0.75">
      <c r="A6011" s="51">
        <v>44928</v>
      </c>
      <c r="B6011" s="52">
        <v>664</v>
      </c>
      <c r="C6011" s="8" t="s">
        <v>4776</v>
      </c>
      <c r="D6011" s="8" t="s">
        <v>1252</v>
      </c>
      <c r="E6011" s="52">
        <v>1474</v>
      </c>
      <c r="F6011" s="13">
        <v>429.46</v>
      </c>
      <c r="G6011" s="13"/>
    </row>
    <row r="6012" spans="1:7" hidden="1" x14ac:dyDescent="0.75">
      <c r="A6012" s="51">
        <v>44931</v>
      </c>
      <c r="B6012" s="52">
        <v>664</v>
      </c>
      <c r="C6012" s="8" t="s">
        <v>4675</v>
      </c>
      <c r="D6012" s="8" t="s">
        <v>1252</v>
      </c>
      <c r="E6012" s="52">
        <v>1368</v>
      </c>
      <c r="F6012" s="13">
        <v>119.8</v>
      </c>
      <c r="G6012" s="13"/>
    </row>
    <row r="6013" spans="1:7" hidden="1" x14ac:dyDescent="0.75">
      <c r="A6013" s="51">
        <v>44939</v>
      </c>
      <c r="B6013" s="52">
        <v>664</v>
      </c>
      <c r="C6013" s="8" t="s">
        <v>4716</v>
      </c>
      <c r="D6013" s="8" t="s">
        <v>1252</v>
      </c>
      <c r="E6013" s="52">
        <v>1947</v>
      </c>
      <c r="F6013" s="13">
        <v>2199</v>
      </c>
      <c r="G6013" s="13"/>
    </row>
    <row r="6014" spans="1:7" hidden="1" x14ac:dyDescent="0.75">
      <c r="A6014" s="51">
        <v>44943</v>
      </c>
      <c r="B6014" s="52">
        <v>792</v>
      </c>
      <c r="C6014" s="8" t="s">
        <v>4596</v>
      </c>
      <c r="D6014" s="8" t="s">
        <v>709</v>
      </c>
      <c r="E6014" s="52">
        <v>1010</v>
      </c>
      <c r="F6014" s="13">
        <v>686.11</v>
      </c>
      <c r="G6014" s="13"/>
    </row>
    <row r="6015" spans="1:7" hidden="1" x14ac:dyDescent="0.75">
      <c r="A6015" s="51">
        <v>44949</v>
      </c>
      <c r="B6015" s="52">
        <v>792</v>
      </c>
      <c r="C6015" s="8" t="s">
        <v>4597</v>
      </c>
      <c r="D6015" s="8" t="s">
        <v>709</v>
      </c>
      <c r="E6015" s="52">
        <v>757</v>
      </c>
      <c r="F6015" s="13">
        <v>122.85</v>
      </c>
      <c r="G6015" s="13"/>
    </row>
    <row r="6016" spans="1:7" hidden="1" x14ac:dyDescent="0.75">
      <c r="A6016" s="51">
        <v>44928</v>
      </c>
      <c r="B6016" s="52">
        <v>794</v>
      </c>
      <c r="C6016" s="8" t="s">
        <v>1373</v>
      </c>
      <c r="D6016" s="8" t="s">
        <v>711</v>
      </c>
      <c r="E6016" s="52">
        <v>5</v>
      </c>
      <c r="F6016" s="13">
        <v>23</v>
      </c>
      <c r="G6016" s="13"/>
    </row>
    <row r="6017" spans="1:7" hidden="1" x14ac:dyDescent="0.75">
      <c r="A6017" s="51">
        <v>44928</v>
      </c>
      <c r="B6017" s="52">
        <v>794</v>
      </c>
      <c r="C6017" s="8" t="s">
        <v>4771</v>
      </c>
      <c r="D6017" s="8" t="s">
        <v>711</v>
      </c>
      <c r="E6017" s="52">
        <v>1474</v>
      </c>
      <c r="F6017" s="13">
        <v>31.69</v>
      </c>
      <c r="G6017" s="13"/>
    </row>
    <row r="6018" spans="1:7" hidden="1" x14ac:dyDescent="0.75">
      <c r="A6018" s="51">
        <v>44932</v>
      </c>
      <c r="B6018" s="52">
        <v>794</v>
      </c>
      <c r="C6018" s="8" t="s">
        <v>1373</v>
      </c>
      <c r="D6018" s="8" t="s">
        <v>711</v>
      </c>
      <c r="E6018" s="52">
        <v>5</v>
      </c>
      <c r="F6018" s="13">
        <v>25</v>
      </c>
      <c r="G6018" s="13"/>
    </row>
    <row r="6019" spans="1:7" hidden="1" x14ac:dyDescent="0.75">
      <c r="A6019" s="51">
        <v>44936</v>
      </c>
      <c r="B6019" s="52">
        <v>794</v>
      </c>
      <c r="C6019" s="8" t="s">
        <v>1373</v>
      </c>
      <c r="D6019" s="8" t="s">
        <v>711</v>
      </c>
      <c r="E6019" s="52">
        <v>5</v>
      </c>
      <c r="F6019" s="13">
        <v>20</v>
      </c>
      <c r="G6019" s="13"/>
    </row>
    <row r="6020" spans="1:7" hidden="1" x14ac:dyDescent="0.75">
      <c r="A6020" s="51">
        <v>44942</v>
      </c>
      <c r="B6020" s="52">
        <v>794</v>
      </c>
      <c r="C6020" s="8" t="s">
        <v>1373</v>
      </c>
      <c r="D6020" s="8" t="s">
        <v>711</v>
      </c>
      <c r="E6020" s="52">
        <v>5</v>
      </c>
      <c r="F6020" s="13">
        <v>21</v>
      </c>
      <c r="G6020" s="13"/>
    </row>
    <row r="6021" spans="1:7" hidden="1" x14ac:dyDescent="0.75">
      <c r="A6021" s="51">
        <v>44942</v>
      </c>
      <c r="B6021" s="52">
        <v>794</v>
      </c>
      <c r="C6021" s="8" t="s">
        <v>1426</v>
      </c>
      <c r="D6021" s="8" t="s">
        <v>711</v>
      </c>
      <c r="E6021" s="52">
        <v>5</v>
      </c>
      <c r="F6021" s="13">
        <v>39</v>
      </c>
      <c r="G6021" s="13"/>
    </row>
    <row r="6022" spans="1:7" hidden="1" x14ac:dyDescent="0.75">
      <c r="A6022" s="51">
        <v>44942</v>
      </c>
      <c r="B6022" s="52">
        <v>794</v>
      </c>
      <c r="C6022" s="8" t="s">
        <v>1427</v>
      </c>
      <c r="D6022" s="8" t="s">
        <v>711</v>
      </c>
      <c r="E6022" s="52">
        <v>5</v>
      </c>
      <c r="F6022" s="13">
        <v>32</v>
      </c>
      <c r="G6022" s="13"/>
    </row>
    <row r="6023" spans="1:7" hidden="1" x14ac:dyDescent="0.75">
      <c r="A6023" s="51">
        <v>44944</v>
      </c>
      <c r="B6023" s="52">
        <v>794</v>
      </c>
      <c r="C6023" s="8" t="s">
        <v>1433</v>
      </c>
      <c r="D6023" s="8" t="s">
        <v>711</v>
      </c>
      <c r="E6023" s="52">
        <v>5</v>
      </c>
      <c r="F6023" s="13">
        <v>25</v>
      </c>
      <c r="G6023" s="13"/>
    </row>
    <row r="6024" spans="1:7" hidden="1" x14ac:dyDescent="0.75">
      <c r="A6024" s="51">
        <v>44944</v>
      </c>
      <c r="B6024" s="52">
        <v>794</v>
      </c>
      <c r="C6024" s="8" t="s">
        <v>1373</v>
      </c>
      <c r="D6024" s="8" t="s">
        <v>711</v>
      </c>
      <c r="E6024" s="52">
        <v>5</v>
      </c>
      <c r="F6024" s="13">
        <v>25</v>
      </c>
      <c r="G6024" s="13"/>
    </row>
    <row r="6025" spans="1:7" hidden="1" x14ac:dyDescent="0.75">
      <c r="A6025" s="51">
        <v>44946</v>
      </c>
      <c r="B6025" s="52">
        <v>794</v>
      </c>
      <c r="C6025" s="8" t="s">
        <v>1436</v>
      </c>
      <c r="D6025" s="8" t="s">
        <v>711</v>
      </c>
      <c r="E6025" s="52">
        <v>5</v>
      </c>
      <c r="F6025" s="13">
        <v>16</v>
      </c>
      <c r="G6025" s="13"/>
    </row>
    <row r="6026" spans="1:7" hidden="1" x14ac:dyDescent="0.75">
      <c r="A6026" s="51">
        <v>44957</v>
      </c>
      <c r="B6026" s="52">
        <v>794</v>
      </c>
      <c r="C6026" s="8" t="s">
        <v>1373</v>
      </c>
      <c r="D6026" s="8" t="s">
        <v>711</v>
      </c>
      <c r="E6026" s="52">
        <v>5</v>
      </c>
      <c r="F6026" s="13">
        <v>15</v>
      </c>
      <c r="G6026" s="13"/>
    </row>
    <row r="6027" spans="1:7" hidden="1" x14ac:dyDescent="0.75">
      <c r="A6027" s="51">
        <v>44957</v>
      </c>
      <c r="B6027" s="52">
        <v>794</v>
      </c>
      <c r="C6027" s="8" t="s">
        <v>1479</v>
      </c>
      <c r="D6027" s="8" t="s">
        <v>711</v>
      </c>
      <c r="E6027" s="52">
        <v>5</v>
      </c>
      <c r="F6027" s="13">
        <v>30</v>
      </c>
      <c r="G6027" s="13"/>
    </row>
    <row r="6028" spans="1:7" hidden="1" x14ac:dyDescent="0.75">
      <c r="A6028" s="51">
        <v>44946</v>
      </c>
      <c r="B6028" s="52">
        <v>992</v>
      </c>
      <c r="C6028" s="8" t="s">
        <v>1754</v>
      </c>
      <c r="D6028" s="8" t="s">
        <v>713</v>
      </c>
      <c r="E6028" s="52">
        <v>8</v>
      </c>
      <c r="F6028" s="13">
        <v>390</v>
      </c>
      <c r="G6028" s="13"/>
    </row>
    <row r="6029" spans="1:7" hidden="1" x14ac:dyDescent="0.75">
      <c r="A6029" s="51">
        <v>44928</v>
      </c>
      <c r="B6029" s="52">
        <v>1283</v>
      </c>
      <c r="C6029" s="8" t="s">
        <v>4778</v>
      </c>
      <c r="D6029" s="8" t="s">
        <v>718</v>
      </c>
      <c r="E6029" s="52">
        <v>1474</v>
      </c>
      <c r="F6029" s="13">
        <v>154.99</v>
      </c>
      <c r="G6029" s="13"/>
    </row>
    <row r="6030" spans="1:7" hidden="1" x14ac:dyDescent="0.75">
      <c r="A6030" s="51">
        <v>44928</v>
      </c>
      <c r="B6030" s="52">
        <v>1283</v>
      </c>
      <c r="C6030" s="8" t="s">
        <v>4780</v>
      </c>
      <c r="D6030" s="8" t="s">
        <v>718</v>
      </c>
      <c r="E6030" s="52">
        <v>1474</v>
      </c>
      <c r="F6030" s="13">
        <v>113.28</v>
      </c>
      <c r="G6030" s="13"/>
    </row>
    <row r="6031" spans="1:7" hidden="1" x14ac:dyDescent="0.75">
      <c r="A6031" s="51">
        <v>44928</v>
      </c>
      <c r="B6031" s="52">
        <v>1283</v>
      </c>
      <c r="C6031" s="8" t="s">
        <v>4783</v>
      </c>
      <c r="D6031" s="8" t="s">
        <v>718</v>
      </c>
      <c r="E6031" s="52">
        <v>1474</v>
      </c>
      <c r="F6031" s="13">
        <v>145.62</v>
      </c>
      <c r="G6031" s="13"/>
    </row>
    <row r="6032" spans="1:7" hidden="1" x14ac:dyDescent="0.75">
      <c r="A6032" s="51">
        <v>44929</v>
      </c>
      <c r="B6032" s="52">
        <v>1283</v>
      </c>
      <c r="C6032" s="8" t="s">
        <v>1374</v>
      </c>
      <c r="D6032" s="8" t="s">
        <v>718</v>
      </c>
      <c r="E6032" s="52">
        <v>5</v>
      </c>
      <c r="F6032" s="13">
        <v>66.650000000000006</v>
      </c>
      <c r="G6032" s="13"/>
    </row>
    <row r="6033" spans="1:7" hidden="1" x14ac:dyDescent="0.75">
      <c r="A6033" s="51">
        <v>44931</v>
      </c>
      <c r="B6033" s="52">
        <v>1283</v>
      </c>
      <c r="C6033" s="8" t="s">
        <v>1380</v>
      </c>
      <c r="D6033" s="8" t="s">
        <v>718</v>
      </c>
      <c r="E6033" s="52">
        <v>5</v>
      </c>
      <c r="F6033" s="13">
        <v>15.1</v>
      </c>
      <c r="G6033" s="13"/>
    </row>
    <row r="6034" spans="1:7" hidden="1" x14ac:dyDescent="0.75">
      <c r="A6034" s="51">
        <v>44931</v>
      </c>
      <c r="B6034" s="52">
        <v>1283</v>
      </c>
      <c r="C6034" s="8" t="s">
        <v>1380</v>
      </c>
      <c r="D6034" s="8" t="s">
        <v>718</v>
      </c>
      <c r="E6034" s="52">
        <v>5</v>
      </c>
      <c r="F6034" s="13">
        <v>8</v>
      </c>
      <c r="G6034" s="13"/>
    </row>
    <row r="6035" spans="1:7" hidden="1" x14ac:dyDescent="0.75">
      <c r="A6035" s="51">
        <v>44932</v>
      </c>
      <c r="B6035" s="52">
        <v>1283</v>
      </c>
      <c r="C6035" s="8" t="s">
        <v>1384</v>
      </c>
      <c r="D6035" s="8" t="s">
        <v>718</v>
      </c>
      <c r="E6035" s="52">
        <v>5</v>
      </c>
      <c r="F6035" s="13">
        <v>47.87</v>
      </c>
      <c r="G6035" s="13"/>
    </row>
    <row r="6036" spans="1:7" hidden="1" x14ac:dyDescent="0.75">
      <c r="A6036" s="51">
        <v>44935</v>
      </c>
      <c r="B6036" s="52">
        <v>1283</v>
      </c>
      <c r="C6036" s="8" t="s">
        <v>1392</v>
      </c>
      <c r="D6036" s="8" t="s">
        <v>718</v>
      </c>
      <c r="E6036" s="52">
        <v>5</v>
      </c>
      <c r="F6036" s="13">
        <v>36.4</v>
      </c>
      <c r="G6036" s="13"/>
    </row>
    <row r="6037" spans="1:7" hidden="1" x14ac:dyDescent="0.75">
      <c r="A6037" s="51">
        <v>44936</v>
      </c>
      <c r="B6037" s="52">
        <v>1283</v>
      </c>
      <c r="C6037" s="8" t="s">
        <v>1396</v>
      </c>
      <c r="D6037" s="8" t="s">
        <v>718</v>
      </c>
      <c r="E6037" s="52">
        <v>5</v>
      </c>
      <c r="F6037" s="13">
        <v>178.5</v>
      </c>
      <c r="G6037" s="13"/>
    </row>
    <row r="6038" spans="1:7" hidden="1" x14ac:dyDescent="0.75">
      <c r="A6038" s="51">
        <v>44937</v>
      </c>
      <c r="B6038" s="52">
        <v>1283</v>
      </c>
      <c r="C6038" s="8" t="s">
        <v>1374</v>
      </c>
      <c r="D6038" s="8" t="s">
        <v>718</v>
      </c>
      <c r="E6038" s="52">
        <v>5</v>
      </c>
      <c r="F6038" s="13">
        <v>47.17</v>
      </c>
      <c r="G6038" s="13"/>
    </row>
    <row r="6039" spans="1:7" hidden="1" x14ac:dyDescent="0.75">
      <c r="A6039" s="51">
        <v>44937</v>
      </c>
      <c r="B6039" s="52">
        <v>1283</v>
      </c>
      <c r="C6039" s="8" t="s">
        <v>1399</v>
      </c>
      <c r="D6039" s="8" t="s">
        <v>718</v>
      </c>
      <c r="E6039" s="52">
        <v>5</v>
      </c>
      <c r="F6039" s="13">
        <v>9.94</v>
      </c>
      <c r="G6039" s="13"/>
    </row>
    <row r="6040" spans="1:7" hidden="1" x14ac:dyDescent="0.75">
      <c r="A6040" s="51">
        <v>44938</v>
      </c>
      <c r="B6040" s="52">
        <v>1283</v>
      </c>
      <c r="C6040" s="8" t="s">
        <v>1399</v>
      </c>
      <c r="D6040" s="8" t="s">
        <v>718</v>
      </c>
      <c r="E6040" s="52">
        <v>5</v>
      </c>
      <c r="F6040" s="13">
        <v>59.4</v>
      </c>
      <c r="G6040" s="13"/>
    </row>
    <row r="6041" spans="1:7" hidden="1" x14ac:dyDescent="0.75">
      <c r="A6041" s="51">
        <v>44939</v>
      </c>
      <c r="B6041" s="52">
        <v>1283</v>
      </c>
      <c r="C6041" s="8" t="s">
        <v>1380</v>
      </c>
      <c r="D6041" s="8" t="s">
        <v>718</v>
      </c>
      <c r="E6041" s="52">
        <v>5</v>
      </c>
      <c r="F6041" s="13">
        <v>8</v>
      </c>
      <c r="G6041" s="13"/>
    </row>
    <row r="6042" spans="1:7" hidden="1" x14ac:dyDescent="0.75">
      <c r="A6042" s="51">
        <v>44939</v>
      </c>
      <c r="B6042" s="52">
        <v>1283</v>
      </c>
      <c r="C6042" s="8" t="s">
        <v>1380</v>
      </c>
      <c r="D6042" s="8" t="s">
        <v>718</v>
      </c>
      <c r="E6042" s="52">
        <v>5</v>
      </c>
      <c r="F6042" s="13">
        <v>8</v>
      </c>
      <c r="G6042" s="13"/>
    </row>
    <row r="6043" spans="1:7" hidden="1" x14ac:dyDescent="0.75">
      <c r="A6043" s="51">
        <v>44939</v>
      </c>
      <c r="B6043" s="52">
        <v>1283</v>
      </c>
      <c r="C6043" s="8" t="s">
        <v>1380</v>
      </c>
      <c r="D6043" s="8" t="s">
        <v>718</v>
      </c>
      <c r="E6043" s="52">
        <v>5</v>
      </c>
      <c r="F6043" s="13">
        <v>16.579999999999998</v>
      </c>
      <c r="G6043" s="13"/>
    </row>
    <row r="6044" spans="1:7" hidden="1" x14ac:dyDescent="0.75">
      <c r="A6044" s="51">
        <v>44939</v>
      </c>
      <c r="B6044" s="52">
        <v>1283</v>
      </c>
      <c r="C6044" s="8" t="s">
        <v>1380</v>
      </c>
      <c r="D6044" s="8" t="s">
        <v>718</v>
      </c>
      <c r="E6044" s="52">
        <v>5</v>
      </c>
      <c r="F6044" s="13">
        <v>8</v>
      </c>
      <c r="G6044" s="13"/>
    </row>
    <row r="6045" spans="1:7" hidden="1" x14ac:dyDescent="0.75">
      <c r="A6045" s="51">
        <v>44939</v>
      </c>
      <c r="B6045" s="52">
        <v>1283</v>
      </c>
      <c r="C6045" s="8" t="s">
        <v>1380</v>
      </c>
      <c r="D6045" s="8" t="s">
        <v>718</v>
      </c>
      <c r="E6045" s="52">
        <v>5</v>
      </c>
      <c r="F6045" s="13">
        <v>14.36</v>
      </c>
      <c r="G6045" s="13"/>
    </row>
    <row r="6046" spans="1:7" hidden="1" x14ac:dyDescent="0.75">
      <c r="A6046" s="51">
        <v>44939</v>
      </c>
      <c r="B6046" s="52">
        <v>1283</v>
      </c>
      <c r="C6046" s="8" t="s">
        <v>1380</v>
      </c>
      <c r="D6046" s="8" t="s">
        <v>718</v>
      </c>
      <c r="E6046" s="52">
        <v>5</v>
      </c>
      <c r="F6046" s="13">
        <v>16.260000000000002</v>
      </c>
      <c r="G6046" s="13"/>
    </row>
    <row r="6047" spans="1:7" hidden="1" x14ac:dyDescent="0.75">
      <c r="A6047" s="51">
        <v>44939</v>
      </c>
      <c r="B6047" s="52">
        <v>1283</v>
      </c>
      <c r="C6047" s="8" t="s">
        <v>1380</v>
      </c>
      <c r="D6047" s="8" t="s">
        <v>718</v>
      </c>
      <c r="E6047" s="52">
        <v>5</v>
      </c>
      <c r="F6047" s="13">
        <v>12.6</v>
      </c>
      <c r="G6047" s="13"/>
    </row>
    <row r="6048" spans="1:7" hidden="1" x14ac:dyDescent="0.75">
      <c r="A6048" s="51">
        <v>44942</v>
      </c>
      <c r="B6048" s="52">
        <v>1283</v>
      </c>
      <c r="C6048" s="8" t="s">
        <v>1374</v>
      </c>
      <c r="D6048" s="8" t="s">
        <v>718</v>
      </c>
      <c r="E6048" s="52">
        <v>5</v>
      </c>
      <c r="F6048" s="13">
        <v>48.05</v>
      </c>
      <c r="G6048" s="13"/>
    </row>
    <row r="6049" spans="1:7" hidden="1" x14ac:dyDescent="0.75">
      <c r="A6049" s="51">
        <v>44942</v>
      </c>
      <c r="B6049" s="52">
        <v>1283</v>
      </c>
      <c r="C6049" s="8" t="s">
        <v>1423</v>
      </c>
      <c r="D6049" s="8" t="s">
        <v>718</v>
      </c>
      <c r="E6049" s="52">
        <v>5</v>
      </c>
      <c r="F6049" s="13">
        <v>42.9</v>
      </c>
      <c r="G6049" s="13"/>
    </row>
    <row r="6050" spans="1:7" hidden="1" x14ac:dyDescent="0.75">
      <c r="A6050" s="51">
        <v>44942</v>
      </c>
      <c r="B6050" s="52">
        <v>1283</v>
      </c>
      <c r="C6050" s="8" t="s">
        <v>1380</v>
      </c>
      <c r="D6050" s="8" t="s">
        <v>718</v>
      </c>
      <c r="E6050" s="52">
        <v>5</v>
      </c>
      <c r="F6050" s="13">
        <v>11.1</v>
      </c>
      <c r="G6050" s="13"/>
    </row>
    <row r="6051" spans="1:7" hidden="1" x14ac:dyDescent="0.75">
      <c r="A6051" s="51">
        <v>44945</v>
      </c>
      <c r="B6051" s="52">
        <v>1283</v>
      </c>
      <c r="C6051" s="8" t="s">
        <v>1435</v>
      </c>
      <c r="D6051" s="8" t="s">
        <v>718</v>
      </c>
      <c r="E6051" s="52">
        <v>5</v>
      </c>
      <c r="F6051" s="13">
        <v>3.99</v>
      </c>
      <c r="G6051" s="13"/>
    </row>
    <row r="6052" spans="1:7" hidden="1" x14ac:dyDescent="0.75">
      <c r="A6052" s="51">
        <v>44946</v>
      </c>
      <c r="B6052" s="52">
        <v>1283</v>
      </c>
      <c r="C6052" s="8" t="s">
        <v>1374</v>
      </c>
      <c r="D6052" s="8" t="s">
        <v>718</v>
      </c>
      <c r="E6052" s="52">
        <v>5</v>
      </c>
      <c r="F6052" s="13">
        <v>72.55</v>
      </c>
      <c r="G6052" s="13"/>
    </row>
    <row r="6053" spans="1:7" hidden="1" x14ac:dyDescent="0.75">
      <c r="A6053" s="51">
        <v>44950</v>
      </c>
      <c r="B6053" s="52">
        <v>1283</v>
      </c>
      <c r="C6053" s="8" t="s">
        <v>1399</v>
      </c>
      <c r="D6053" s="8" t="s">
        <v>718</v>
      </c>
      <c r="E6053" s="52">
        <v>5</v>
      </c>
      <c r="F6053" s="13">
        <v>51.36</v>
      </c>
      <c r="G6053" s="13"/>
    </row>
    <row r="6054" spans="1:7" hidden="1" x14ac:dyDescent="0.75">
      <c r="A6054" s="51">
        <v>44951</v>
      </c>
      <c r="B6054" s="52">
        <v>1283</v>
      </c>
      <c r="C6054" s="8" t="s">
        <v>1374</v>
      </c>
      <c r="D6054" s="8" t="s">
        <v>718</v>
      </c>
      <c r="E6054" s="52">
        <v>5</v>
      </c>
      <c r="F6054" s="13">
        <v>26</v>
      </c>
      <c r="G6054" s="13"/>
    </row>
    <row r="6055" spans="1:7" hidden="1" x14ac:dyDescent="0.75">
      <c r="A6055" s="51">
        <v>44953</v>
      </c>
      <c r="B6055" s="52">
        <v>1283</v>
      </c>
      <c r="C6055" s="8" t="s">
        <v>1453</v>
      </c>
      <c r="D6055" s="8" t="s">
        <v>718</v>
      </c>
      <c r="E6055" s="52">
        <v>5</v>
      </c>
      <c r="F6055" s="13">
        <v>52</v>
      </c>
      <c r="G6055" s="13"/>
    </row>
    <row r="6056" spans="1:7" hidden="1" x14ac:dyDescent="0.75">
      <c r="A6056" s="51">
        <v>44957</v>
      </c>
      <c r="B6056" s="52">
        <v>1283</v>
      </c>
      <c r="C6056" s="8" t="s">
        <v>1453</v>
      </c>
      <c r="D6056" s="8" t="s">
        <v>718</v>
      </c>
      <c r="E6056" s="52">
        <v>5</v>
      </c>
      <c r="F6056" s="13">
        <v>44.4</v>
      </c>
      <c r="G6056" s="13"/>
    </row>
    <row r="6057" spans="1:7" hidden="1" x14ac:dyDescent="0.75">
      <c r="A6057" s="51">
        <v>44957</v>
      </c>
      <c r="B6057" s="52">
        <v>1283</v>
      </c>
      <c r="C6057" s="8" t="s">
        <v>1380</v>
      </c>
      <c r="D6057" s="8" t="s">
        <v>718</v>
      </c>
      <c r="E6057" s="52">
        <v>5</v>
      </c>
      <c r="F6057" s="13">
        <v>11.1</v>
      </c>
      <c r="G6057" s="13"/>
    </row>
    <row r="6058" spans="1:7" hidden="1" x14ac:dyDescent="0.75">
      <c r="A6058" s="51">
        <v>44957</v>
      </c>
      <c r="B6058" s="52">
        <v>1283</v>
      </c>
      <c r="C6058" s="8" t="s">
        <v>1380</v>
      </c>
      <c r="D6058" s="8" t="s">
        <v>718</v>
      </c>
      <c r="E6058" s="52">
        <v>5</v>
      </c>
      <c r="F6058" s="13">
        <v>8</v>
      </c>
      <c r="G6058" s="13"/>
    </row>
    <row r="6059" spans="1:7" hidden="1" x14ac:dyDescent="0.75">
      <c r="A6059" s="51">
        <v>44957</v>
      </c>
      <c r="B6059" s="52">
        <v>1283</v>
      </c>
      <c r="C6059" s="8" t="s">
        <v>1380</v>
      </c>
      <c r="D6059" s="8" t="s">
        <v>718</v>
      </c>
      <c r="E6059" s="52">
        <v>5</v>
      </c>
      <c r="F6059" s="13">
        <v>3.59</v>
      </c>
      <c r="G6059" s="13"/>
    </row>
    <row r="6060" spans="1:7" hidden="1" x14ac:dyDescent="0.75">
      <c r="A6060" s="51">
        <v>44957</v>
      </c>
      <c r="B6060" s="52">
        <v>1283</v>
      </c>
      <c r="C6060" s="8" t="s">
        <v>1380</v>
      </c>
      <c r="D6060" s="8" t="s">
        <v>718</v>
      </c>
      <c r="E6060" s="52">
        <v>5</v>
      </c>
      <c r="F6060" s="13">
        <v>8</v>
      </c>
      <c r="G6060" s="13"/>
    </row>
    <row r="6061" spans="1:7" hidden="1" x14ac:dyDescent="0.75">
      <c r="A6061" s="51">
        <v>44957</v>
      </c>
      <c r="B6061" s="52">
        <v>1283</v>
      </c>
      <c r="C6061" s="8" t="s">
        <v>1380</v>
      </c>
      <c r="D6061" s="8" t="s">
        <v>718</v>
      </c>
      <c r="E6061" s="52">
        <v>5</v>
      </c>
      <c r="F6061" s="13">
        <v>10</v>
      </c>
      <c r="G6061" s="13"/>
    </row>
    <row r="6062" spans="1:7" hidden="1" x14ac:dyDescent="0.75">
      <c r="A6062" s="51">
        <v>44957</v>
      </c>
      <c r="B6062" s="52">
        <v>1283</v>
      </c>
      <c r="C6062" s="8" t="s">
        <v>1380</v>
      </c>
      <c r="D6062" s="8" t="s">
        <v>718</v>
      </c>
      <c r="E6062" s="52">
        <v>5</v>
      </c>
      <c r="F6062" s="13">
        <v>8</v>
      </c>
      <c r="G6062" s="13"/>
    </row>
    <row r="6063" spans="1:7" hidden="1" x14ac:dyDescent="0.75">
      <c r="A6063" s="51">
        <v>44957</v>
      </c>
      <c r="B6063" s="52">
        <v>1283</v>
      </c>
      <c r="C6063" s="8" t="s">
        <v>1380</v>
      </c>
      <c r="D6063" s="8" t="s">
        <v>718</v>
      </c>
      <c r="E6063" s="52">
        <v>5</v>
      </c>
      <c r="F6063" s="13">
        <v>14.05</v>
      </c>
      <c r="G6063" s="13"/>
    </row>
    <row r="6064" spans="1:7" hidden="1" x14ac:dyDescent="0.75">
      <c r="A6064" s="51">
        <v>44957</v>
      </c>
      <c r="B6064" s="52">
        <v>1283</v>
      </c>
      <c r="C6064" s="8" t="s">
        <v>1380</v>
      </c>
      <c r="D6064" s="8" t="s">
        <v>718</v>
      </c>
      <c r="E6064" s="52">
        <v>5</v>
      </c>
      <c r="F6064" s="13">
        <v>16.600000000000001</v>
      </c>
      <c r="G6064" s="13"/>
    </row>
    <row r="6065" spans="1:7" hidden="1" x14ac:dyDescent="0.75">
      <c r="A6065" s="51">
        <v>44957</v>
      </c>
      <c r="B6065" s="52">
        <v>1283</v>
      </c>
      <c r="C6065" s="8" t="s">
        <v>1380</v>
      </c>
      <c r="D6065" s="8" t="s">
        <v>718</v>
      </c>
      <c r="E6065" s="52">
        <v>5</v>
      </c>
      <c r="F6065" s="13">
        <v>8</v>
      </c>
      <c r="G6065" s="13"/>
    </row>
    <row r="6066" spans="1:7" hidden="1" x14ac:dyDescent="0.75">
      <c r="A6066" s="51">
        <v>44957</v>
      </c>
      <c r="B6066" s="52">
        <v>1314</v>
      </c>
      <c r="C6066" s="8" t="s">
        <v>1249</v>
      </c>
      <c r="D6066" s="8" t="s">
        <v>724</v>
      </c>
      <c r="E6066" s="52">
        <v>1313</v>
      </c>
      <c r="F6066" s="13">
        <v>16000</v>
      </c>
      <c r="G6066" s="13"/>
    </row>
    <row r="6067" spans="1:7" hidden="1" x14ac:dyDescent="0.75">
      <c r="A6067" s="51">
        <v>44957</v>
      </c>
      <c r="B6067" s="52">
        <v>1314</v>
      </c>
      <c r="C6067" s="8" t="s">
        <v>997</v>
      </c>
      <c r="D6067" s="8" t="s">
        <v>724</v>
      </c>
      <c r="E6067" s="52">
        <v>40</v>
      </c>
      <c r="F6067" s="13"/>
      <c r="G6067" s="13">
        <v>1216</v>
      </c>
    </row>
    <row r="6068" spans="1:7" hidden="1" x14ac:dyDescent="0.75">
      <c r="A6068" s="51">
        <v>44957</v>
      </c>
      <c r="B6068" s="52">
        <v>1314</v>
      </c>
      <c r="C6068" s="8" t="s">
        <v>997</v>
      </c>
      <c r="D6068" s="8" t="s">
        <v>724</v>
      </c>
      <c r="E6068" s="52">
        <v>41</v>
      </c>
      <c r="F6068" s="13"/>
      <c r="G6068" s="13">
        <v>264</v>
      </c>
    </row>
    <row r="6069" spans="1:7" hidden="1" x14ac:dyDescent="0.75">
      <c r="A6069" s="51">
        <v>44935</v>
      </c>
      <c r="B6069" s="52">
        <v>1942</v>
      </c>
      <c r="C6069" s="8" t="s">
        <v>1590</v>
      </c>
      <c r="D6069" s="8" t="s">
        <v>1253</v>
      </c>
      <c r="E6069" s="52">
        <v>8</v>
      </c>
      <c r="F6069" s="13">
        <v>10067.98</v>
      </c>
      <c r="G6069" s="13"/>
    </row>
    <row r="6070" spans="1:7" hidden="1" x14ac:dyDescent="0.75">
      <c r="A6070" s="51">
        <v>44927</v>
      </c>
      <c r="B6070" s="52">
        <v>368</v>
      </c>
      <c r="C6070" s="8" t="s">
        <v>4577</v>
      </c>
      <c r="D6070" s="8" t="s">
        <v>728</v>
      </c>
      <c r="E6070" s="52">
        <v>1488</v>
      </c>
      <c r="F6070" s="13">
        <v>0.05</v>
      </c>
      <c r="G6070" s="13"/>
    </row>
    <row r="6071" spans="1:7" hidden="1" x14ac:dyDescent="0.75">
      <c r="A6071" s="51">
        <v>44927</v>
      </c>
      <c r="B6071" s="52">
        <v>368</v>
      </c>
      <c r="C6071" s="8" t="s">
        <v>4577</v>
      </c>
      <c r="D6071" s="8" t="s">
        <v>728</v>
      </c>
      <c r="E6071" s="52">
        <v>1838</v>
      </c>
      <c r="F6071" s="13">
        <v>0.01</v>
      </c>
      <c r="G6071" s="13"/>
    </row>
    <row r="6072" spans="1:7" hidden="1" x14ac:dyDescent="0.75">
      <c r="A6072" s="51">
        <v>44931</v>
      </c>
      <c r="B6072" s="52">
        <v>368</v>
      </c>
      <c r="C6072" s="8" t="s">
        <v>1561</v>
      </c>
      <c r="D6072" s="8" t="s">
        <v>728</v>
      </c>
      <c r="E6072" s="52">
        <v>1924</v>
      </c>
      <c r="F6072" s="13">
        <v>6.43</v>
      </c>
      <c r="G6072" s="13"/>
    </row>
    <row r="6073" spans="1:7" hidden="1" x14ac:dyDescent="0.75">
      <c r="A6073" s="51">
        <v>44931</v>
      </c>
      <c r="B6073" s="52">
        <v>368</v>
      </c>
      <c r="C6073" s="8" t="s">
        <v>1562</v>
      </c>
      <c r="D6073" s="8" t="s">
        <v>728</v>
      </c>
      <c r="E6073" s="52">
        <v>1924</v>
      </c>
      <c r="F6073" s="13">
        <v>6.43</v>
      </c>
      <c r="G6073" s="13"/>
    </row>
    <row r="6074" spans="1:7" hidden="1" x14ac:dyDescent="0.75">
      <c r="A6074" s="51">
        <v>44957</v>
      </c>
      <c r="B6074" s="52">
        <v>368</v>
      </c>
      <c r="C6074" s="8" t="s">
        <v>1870</v>
      </c>
      <c r="D6074" s="8" t="s">
        <v>728</v>
      </c>
      <c r="E6074" s="52">
        <v>1016</v>
      </c>
      <c r="F6074" s="13">
        <v>45.14</v>
      </c>
      <c r="G6074" s="13"/>
    </row>
    <row r="6075" spans="1:7" hidden="1" x14ac:dyDescent="0.75">
      <c r="A6075" s="51">
        <v>44957</v>
      </c>
      <c r="B6075" s="52">
        <v>368</v>
      </c>
      <c r="C6075" s="8" t="s">
        <v>1861</v>
      </c>
      <c r="D6075" s="8" t="s">
        <v>728</v>
      </c>
      <c r="E6075" s="52">
        <v>178</v>
      </c>
      <c r="F6075" s="13">
        <v>14.56</v>
      </c>
      <c r="G6075" s="13"/>
    </row>
    <row r="6076" spans="1:7" hidden="1" x14ac:dyDescent="0.75">
      <c r="A6076" s="51">
        <v>44957</v>
      </c>
      <c r="B6076" s="52">
        <v>368</v>
      </c>
      <c r="C6076" s="8" t="s">
        <v>1871</v>
      </c>
      <c r="D6076" s="8" t="s">
        <v>728</v>
      </c>
      <c r="E6076" s="52">
        <v>1487</v>
      </c>
      <c r="F6076" s="13">
        <v>0.7</v>
      </c>
      <c r="G6076" s="13"/>
    </row>
    <row r="6077" spans="1:7" hidden="1" x14ac:dyDescent="0.75">
      <c r="A6077" s="51">
        <v>44936</v>
      </c>
      <c r="B6077" s="52">
        <v>1388</v>
      </c>
      <c r="C6077" s="8" t="s">
        <v>4801</v>
      </c>
      <c r="D6077" s="8" t="s">
        <v>730</v>
      </c>
      <c r="E6077" s="52">
        <v>1362</v>
      </c>
      <c r="F6077" s="13">
        <v>2048.33</v>
      </c>
      <c r="G6077" s="13"/>
    </row>
    <row r="6078" spans="1:7" hidden="1" x14ac:dyDescent="0.75">
      <c r="A6078" s="51">
        <v>44936</v>
      </c>
      <c r="B6078" s="52">
        <v>1388</v>
      </c>
      <c r="C6078" s="8" t="s">
        <v>4802</v>
      </c>
      <c r="D6078" s="8" t="s">
        <v>730</v>
      </c>
      <c r="E6078" s="52">
        <v>1362</v>
      </c>
      <c r="F6078" s="13">
        <v>72.55</v>
      </c>
      <c r="G6078" s="13"/>
    </row>
    <row r="6079" spans="1:7" hidden="1" x14ac:dyDescent="0.75">
      <c r="A6079" s="51">
        <v>44936</v>
      </c>
      <c r="B6079" s="52">
        <v>1388</v>
      </c>
      <c r="C6079" s="8" t="s">
        <v>4803</v>
      </c>
      <c r="D6079" s="8" t="s">
        <v>730</v>
      </c>
      <c r="E6079" s="52">
        <v>1362</v>
      </c>
      <c r="F6079" s="13">
        <v>145.43</v>
      </c>
      <c r="G6079" s="13"/>
    </row>
    <row r="6080" spans="1:7" hidden="1" x14ac:dyDescent="0.75">
      <c r="A6080" s="51">
        <v>44936</v>
      </c>
      <c r="B6080" s="52">
        <v>1388</v>
      </c>
      <c r="C6080" s="8" t="s">
        <v>4804</v>
      </c>
      <c r="D6080" s="8" t="s">
        <v>730</v>
      </c>
      <c r="E6080" s="52">
        <v>1362</v>
      </c>
      <c r="F6080" s="13">
        <v>1045.05</v>
      </c>
      <c r="G6080" s="13"/>
    </row>
    <row r="6081" spans="1:7" hidden="1" x14ac:dyDescent="0.75">
      <c r="A6081" s="51">
        <v>44936</v>
      </c>
      <c r="B6081" s="52">
        <v>1388</v>
      </c>
      <c r="C6081" s="8" t="s">
        <v>4805</v>
      </c>
      <c r="D6081" s="8" t="s">
        <v>730</v>
      </c>
      <c r="E6081" s="52">
        <v>1362</v>
      </c>
      <c r="F6081" s="13">
        <v>386.91</v>
      </c>
      <c r="G6081" s="13"/>
    </row>
    <row r="6082" spans="1:7" hidden="1" x14ac:dyDescent="0.75">
      <c r="A6082" s="51">
        <v>44936</v>
      </c>
      <c r="B6082" s="52">
        <v>1388</v>
      </c>
      <c r="C6082" s="8" t="s">
        <v>4806</v>
      </c>
      <c r="D6082" s="8" t="s">
        <v>730</v>
      </c>
      <c r="E6082" s="52">
        <v>1362</v>
      </c>
      <c r="F6082" s="13">
        <v>190.92</v>
      </c>
      <c r="G6082" s="13"/>
    </row>
    <row r="6083" spans="1:7" hidden="1" x14ac:dyDescent="0.75">
      <c r="A6083" s="51">
        <v>44936</v>
      </c>
      <c r="B6083" s="52">
        <v>1388</v>
      </c>
      <c r="C6083" s="8" t="s">
        <v>4807</v>
      </c>
      <c r="D6083" s="8" t="s">
        <v>730</v>
      </c>
      <c r="E6083" s="52">
        <v>1362</v>
      </c>
      <c r="F6083" s="13">
        <v>450.06</v>
      </c>
      <c r="G6083" s="13"/>
    </row>
    <row r="6084" spans="1:7" hidden="1" x14ac:dyDescent="0.75">
      <c r="A6084" s="51">
        <v>44936</v>
      </c>
      <c r="B6084" s="52">
        <v>1388</v>
      </c>
      <c r="C6084" s="8" t="s">
        <v>4808</v>
      </c>
      <c r="D6084" s="8" t="s">
        <v>730</v>
      </c>
      <c r="E6084" s="52">
        <v>1362</v>
      </c>
      <c r="F6084" s="13">
        <v>1212.18</v>
      </c>
      <c r="G6084" s="13"/>
    </row>
    <row r="6085" spans="1:7" hidden="1" x14ac:dyDescent="0.75">
      <c r="A6085" s="51">
        <v>44936</v>
      </c>
      <c r="B6085" s="52">
        <v>1388</v>
      </c>
      <c r="C6085" s="8" t="s">
        <v>4809</v>
      </c>
      <c r="D6085" s="8" t="s">
        <v>730</v>
      </c>
      <c r="E6085" s="52">
        <v>1362</v>
      </c>
      <c r="F6085" s="13">
        <v>47.32</v>
      </c>
      <c r="G6085" s="13"/>
    </row>
    <row r="6086" spans="1:7" hidden="1" x14ac:dyDescent="0.75">
      <c r="A6086" s="51">
        <v>44936</v>
      </c>
      <c r="B6086" s="52">
        <v>1388</v>
      </c>
      <c r="C6086" s="8" t="s">
        <v>4810</v>
      </c>
      <c r="D6086" s="8" t="s">
        <v>730</v>
      </c>
      <c r="E6086" s="52">
        <v>1362</v>
      </c>
      <c r="F6086" s="13">
        <v>531.53</v>
      </c>
      <c r="G6086" s="13"/>
    </row>
    <row r="6087" spans="1:7" hidden="1" x14ac:dyDescent="0.75">
      <c r="A6087" s="51">
        <v>44936</v>
      </c>
      <c r="B6087" s="52">
        <v>1388</v>
      </c>
      <c r="C6087" s="8" t="s">
        <v>4811</v>
      </c>
      <c r="D6087" s="8" t="s">
        <v>730</v>
      </c>
      <c r="E6087" s="52">
        <v>1362</v>
      </c>
      <c r="F6087" s="13">
        <v>2006.38</v>
      </c>
      <c r="G6087" s="13"/>
    </row>
    <row r="6088" spans="1:7" hidden="1" x14ac:dyDescent="0.75">
      <c r="A6088" s="51">
        <v>44936</v>
      </c>
      <c r="B6088" s="52">
        <v>1388</v>
      </c>
      <c r="C6088" s="8" t="s">
        <v>4812</v>
      </c>
      <c r="D6088" s="8" t="s">
        <v>730</v>
      </c>
      <c r="E6088" s="52">
        <v>1362</v>
      </c>
      <c r="F6088" s="13">
        <v>445.05</v>
      </c>
      <c r="G6088" s="13"/>
    </row>
    <row r="6089" spans="1:7" hidden="1" x14ac:dyDescent="0.75">
      <c r="A6089" s="51">
        <v>44936</v>
      </c>
      <c r="B6089" s="52">
        <v>1388</v>
      </c>
      <c r="C6089" s="8" t="s">
        <v>4813</v>
      </c>
      <c r="D6089" s="8" t="s">
        <v>730</v>
      </c>
      <c r="E6089" s="52">
        <v>1362</v>
      </c>
      <c r="F6089" s="13">
        <v>109.53</v>
      </c>
      <c r="G6089" s="13"/>
    </row>
    <row r="6090" spans="1:7" hidden="1" x14ac:dyDescent="0.75">
      <c r="A6090" s="51">
        <v>44936</v>
      </c>
      <c r="B6090" s="52">
        <v>1388</v>
      </c>
      <c r="C6090" s="8" t="s">
        <v>4814</v>
      </c>
      <c r="D6090" s="8" t="s">
        <v>730</v>
      </c>
      <c r="E6090" s="52">
        <v>1362</v>
      </c>
      <c r="F6090" s="13">
        <v>70.569999999999993</v>
      </c>
      <c r="G6090" s="13"/>
    </row>
    <row r="6091" spans="1:7" hidden="1" x14ac:dyDescent="0.75">
      <c r="A6091" s="51">
        <v>44936</v>
      </c>
      <c r="B6091" s="52">
        <v>1388</v>
      </c>
      <c r="C6091" s="8" t="s">
        <v>4815</v>
      </c>
      <c r="D6091" s="8" t="s">
        <v>730</v>
      </c>
      <c r="E6091" s="52">
        <v>1362</v>
      </c>
      <c r="F6091" s="13">
        <v>10.31</v>
      </c>
      <c r="G6091" s="13"/>
    </row>
    <row r="6092" spans="1:7" hidden="1" x14ac:dyDescent="0.75">
      <c r="A6092" s="51">
        <v>44936</v>
      </c>
      <c r="B6092" s="52">
        <v>1388</v>
      </c>
      <c r="C6092" s="8" t="s">
        <v>4816</v>
      </c>
      <c r="D6092" s="8" t="s">
        <v>730</v>
      </c>
      <c r="E6092" s="52">
        <v>1362</v>
      </c>
      <c r="F6092" s="13">
        <v>53.48</v>
      </c>
      <c r="G6092" s="13"/>
    </row>
    <row r="6093" spans="1:7" hidden="1" x14ac:dyDescent="0.75">
      <c r="A6093" s="51">
        <v>44936</v>
      </c>
      <c r="B6093" s="52">
        <v>1388</v>
      </c>
      <c r="C6093" s="8" t="s">
        <v>4817</v>
      </c>
      <c r="D6093" s="8" t="s">
        <v>730</v>
      </c>
      <c r="E6093" s="52">
        <v>1362</v>
      </c>
      <c r="F6093" s="13">
        <v>265.37</v>
      </c>
      <c r="G6093" s="13"/>
    </row>
    <row r="6094" spans="1:7" hidden="1" x14ac:dyDescent="0.75">
      <c r="A6094" s="51">
        <v>44936</v>
      </c>
      <c r="B6094" s="52">
        <v>1388</v>
      </c>
      <c r="C6094" s="8" t="s">
        <v>4818</v>
      </c>
      <c r="D6094" s="8" t="s">
        <v>730</v>
      </c>
      <c r="E6094" s="52">
        <v>1362</v>
      </c>
      <c r="F6094" s="13">
        <v>303.74</v>
      </c>
      <c r="G6094" s="13"/>
    </row>
    <row r="6095" spans="1:7" hidden="1" x14ac:dyDescent="0.75">
      <c r="A6095" s="51">
        <v>44936</v>
      </c>
      <c r="B6095" s="52">
        <v>1388</v>
      </c>
      <c r="C6095" s="8" t="s">
        <v>4819</v>
      </c>
      <c r="D6095" s="8" t="s">
        <v>730</v>
      </c>
      <c r="E6095" s="52">
        <v>1362</v>
      </c>
      <c r="F6095" s="13">
        <v>279.7</v>
      </c>
      <c r="G6095" s="13"/>
    </row>
    <row r="6096" spans="1:7" hidden="1" x14ac:dyDescent="0.75">
      <c r="A6096" s="51">
        <v>44936</v>
      </c>
      <c r="B6096" s="52">
        <v>1388</v>
      </c>
      <c r="C6096" s="8" t="s">
        <v>4820</v>
      </c>
      <c r="D6096" s="8" t="s">
        <v>730</v>
      </c>
      <c r="E6096" s="52">
        <v>1362</v>
      </c>
      <c r="F6096" s="13">
        <v>178.78</v>
      </c>
      <c r="G6096" s="13"/>
    </row>
    <row r="6097" spans="1:7" hidden="1" x14ac:dyDescent="0.75">
      <c r="A6097" s="51">
        <v>44936</v>
      </c>
      <c r="B6097" s="52">
        <v>1388</v>
      </c>
      <c r="C6097" s="8" t="s">
        <v>4821</v>
      </c>
      <c r="D6097" s="8" t="s">
        <v>730</v>
      </c>
      <c r="E6097" s="52">
        <v>1362</v>
      </c>
      <c r="F6097" s="13">
        <v>1174.3599999999999</v>
      </c>
      <c r="G6097" s="13"/>
    </row>
    <row r="6098" spans="1:7" hidden="1" x14ac:dyDescent="0.75">
      <c r="A6098" s="51">
        <v>44956</v>
      </c>
      <c r="B6098" s="52">
        <v>1388</v>
      </c>
      <c r="C6098" s="8" t="s">
        <v>4822</v>
      </c>
      <c r="D6098" s="8" t="s">
        <v>730</v>
      </c>
      <c r="E6098" s="52">
        <v>1362</v>
      </c>
      <c r="F6098" s="13">
        <v>1352.39</v>
      </c>
      <c r="G6098" s="13"/>
    </row>
    <row r="6099" spans="1:7" hidden="1" x14ac:dyDescent="0.75">
      <c r="A6099" s="51">
        <v>44956</v>
      </c>
      <c r="B6099" s="52">
        <v>1388</v>
      </c>
      <c r="C6099" s="8" t="s">
        <v>4823</v>
      </c>
      <c r="D6099" s="8" t="s">
        <v>730</v>
      </c>
      <c r="E6099" s="52">
        <v>1362</v>
      </c>
      <c r="F6099" s="13">
        <v>432.45</v>
      </c>
      <c r="G6099" s="13"/>
    </row>
    <row r="6100" spans="1:7" hidden="1" x14ac:dyDescent="0.75">
      <c r="A6100" s="51">
        <v>44956</v>
      </c>
      <c r="B6100" s="52">
        <v>1388</v>
      </c>
      <c r="C6100" s="8" t="s">
        <v>4824</v>
      </c>
      <c r="D6100" s="8" t="s">
        <v>730</v>
      </c>
      <c r="E6100" s="52">
        <v>1362</v>
      </c>
      <c r="F6100" s="13">
        <v>261.89999999999998</v>
      </c>
      <c r="G6100" s="13"/>
    </row>
    <row r="6101" spans="1:7" hidden="1" x14ac:dyDescent="0.75">
      <c r="A6101" s="51">
        <v>44928</v>
      </c>
      <c r="B6101" s="52">
        <v>374</v>
      </c>
      <c r="C6101" s="8" t="s">
        <v>1872</v>
      </c>
      <c r="D6101" s="8" t="s">
        <v>736</v>
      </c>
      <c r="E6101" s="52">
        <v>1949</v>
      </c>
      <c r="F6101" s="13">
        <v>3.04</v>
      </c>
      <c r="G6101" s="13"/>
    </row>
    <row r="6102" spans="1:7" hidden="1" x14ac:dyDescent="0.75">
      <c r="A6102" s="51">
        <v>44928</v>
      </c>
      <c r="B6102" s="52">
        <v>374</v>
      </c>
      <c r="C6102" s="8" t="s">
        <v>985</v>
      </c>
      <c r="D6102" s="8" t="s">
        <v>736</v>
      </c>
      <c r="E6102" s="52">
        <v>1461</v>
      </c>
      <c r="F6102" s="13">
        <v>75</v>
      </c>
      <c r="G6102" s="13"/>
    </row>
    <row r="6103" spans="1:7" hidden="1" x14ac:dyDescent="0.75">
      <c r="A6103" s="51">
        <v>44928</v>
      </c>
      <c r="B6103" s="52">
        <v>374</v>
      </c>
      <c r="C6103" s="8" t="s">
        <v>985</v>
      </c>
      <c r="D6103" s="8" t="s">
        <v>736</v>
      </c>
      <c r="E6103" s="52">
        <v>1598</v>
      </c>
      <c r="F6103" s="13">
        <v>100</v>
      </c>
      <c r="G6103" s="13"/>
    </row>
    <row r="6104" spans="1:7" hidden="1" x14ac:dyDescent="0.75">
      <c r="A6104" s="51">
        <v>44928</v>
      </c>
      <c r="B6104" s="52">
        <v>374</v>
      </c>
      <c r="C6104" s="8" t="s">
        <v>1528</v>
      </c>
      <c r="D6104" s="8" t="s">
        <v>736</v>
      </c>
      <c r="E6104" s="52">
        <v>8</v>
      </c>
      <c r="F6104" s="13">
        <v>16</v>
      </c>
      <c r="G6104" s="13"/>
    </row>
    <row r="6105" spans="1:7" hidden="1" x14ac:dyDescent="0.75">
      <c r="A6105" s="51">
        <v>44928</v>
      </c>
      <c r="B6105" s="52">
        <v>374</v>
      </c>
      <c r="C6105" s="8" t="s">
        <v>4775</v>
      </c>
      <c r="D6105" s="8" t="s">
        <v>736</v>
      </c>
      <c r="E6105" s="52">
        <v>1474</v>
      </c>
      <c r="F6105" s="13">
        <v>27.39</v>
      </c>
      <c r="G6105" s="13"/>
    </row>
    <row r="6106" spans="1:7" hidden="1" x14ac:dyDescent="0.75">
      <c r="A6106" s="51">
        <v>44929</v>
      </c>
      <c r="B6106" s="52">
        <v>374</v>
      </c>
      <c r="C6106" s="8" t="s">
        <v>1872</v>
      </c>
      <c r="D6106" s="8" t="s">
        <v>736</v>
      </c>
      <c r="E6106" s="52">
        <v>1949</v>
      </c>
      <c r="F6106" s="13">
        <v>21.28</v>
      </c>
      <c r="G6106" s="13"/>
    </row>
    <row r="6107" spans="1:7" hidden="1" x14ac:dyDescent="0.75">
      <c r="A6107" s="51">
        <v>44929</v>
      </c>
      <c r="B6107" s="52">
        <v>374</v>
      </c>
      <c r="C6107" s="8" t="s">
        <v>1872</v>
      </c>
      <c r="D6107" s="8" t="s">
        <v>736</v>
      </c>
      <c r="E6107" s="52">
        <v>1949</v>
      </c>
      <c r="F6107" s="13">
        <v>182.7</v>
      </c>
      <c r="G6107" s="13"/>
    </row>
    <row r="6108" spans="1:7" hidden="1" x14ac:dyDescent="0.75">
      <c r="A6108" s="51">
        <v>44930</v>
      </c>
      <c r="B6108" s="52">
        <v>374</v>
      </c>
      <c r="C6108" s="8" t="s">
        <v>1872</v>
      </c>
      <c r="D6108" s="8" t="s">
        <v>736</v>
      </c>
      <c r="E6108" s="52">
        <v>1949</v>
      </c>
      <c r="F6108" s="13">
        <v>6.08</v>
      </c>
      <c r="G6108" s="13"/>
    </row>
    <row r="6109" spans="1:7" hidden="1" x14ac:dyDescent="0.75">
      <c r="A6109" s="51">
        <v>44930</v>
      </c>
      <c r="B6109" s="52">
        <v>374</v>
      </c>
      <c r="C6109" s="8" t="s">
        <v>1549</v>
      </c>
      <c r="D6109" s="8" t="s">
        <v>736</v>
      </c>
      <c r="E6109" s="52">
        <v>8</v>
      </c>
      <c r="F6109" s="13">
        <v>9.16</v>
      </c>
      <c r="G6109" s="13"/>
    </row>
    <row r="6110" spans="1:7" hidden="1" x14ac:dyDescent="0.75">
      <c r="A6110" s="51">
        <v>44931</v>
      </c>
      <c r="B6110" s="52">
        <v>374</v>
      </c>
      <c r="C6110" s="8" t="s">
        <v>1872</v>
      </c>
      <c r="D6110" s="8" t="s">
        <v>736</v>
      </c>
      <c r="E6110" s="52">
        <v>1949</v>
      </c>
      <c r="F6110" s="13">
        <v>6.08</v>
      </c>
      <c r="G6110" s="13"/>
    </row>
    <row r="6111" spans="1:7" hidden="1" x14ac:dyDescent="0.75">
      <c r="A6111" s="51">
        <v>44931</v>
      </c>
      <c r="B6111" s="52">
        <v>374</v>
      </c>
      <c r="C6111" s="8" t="s">
        <v>1549</v>
      </c>
      <c r="D6111" s="8" t="s">
        <v>736</v>
      </c>
      <c r="E6111" s="52">
        <v>8</v>
      </c>
      <c r="F6111" s="13">
        <v>10</v>
      </c>
      <c r="G6111" s="13"/>
    </row>
    <row r="6112" spans="1:7" hidden="1" x14ac:dyDescent="0.75">
      <c r="A6112" s="51">
        <v>44932</v>
      </c>
      <c r="B6112" s="52">
        <v>374</v>
      </c>
      <c r="C6112" s="8" t="s">
        <v>1872</v>
      </c>
      <c r="D6112" s="8" t="s">
        <v>736</v>
      </c>
      <c r="E6112" s="52">
        <v>1949</v>
      </c>
      <c r="F6112" s="13">
        <v>12.16</v>
      </c>
      <c r="G6112" s="13"/>
    </row>
    <row r="6113" spans="1:7" hidden="1" x14ac:dyDescent="0.75">
      <c r="A6113" s="51">
        <v>44932</v>
      </c>
      <c r="B6113" s="52">
        <v>374</v>
      </c>
      <c r="C6113" s="8" t="s">
        <v>1549</v>
      </c>
      <c r="D6113" s="8" t="s">
        <v>736</v>
      </c>
      <c r="E6113" s="52">
        <v>8</v>
      </c>
      <c r="F6113" s="13">
        <v>36.47</v>
      </c>
      <c r="G6113" s="13"/>
    </row>
    <row r="6114" spans="1:7" hidden="1" x14ac:dyDescent="0.75">
      <c r="A6114" s="51">
        <v>44932</v>
      </c>
      <c r="B6114" s="52">
        <v>374</v>
      </c>
      <c r="C6114" s="8" t="s">
        <v>1549</v>
      </c>
      <c r="D6114" s="8" t="s">
        <v>736</v>
      </c>
      <c r="E6114" s="52">
        <v>8</v>
      </c>
      <c r="F6114" s="13">
        <v>13.97</v>
      </c>
      <c r="G6114" s="13"/>
    </row>
    <row r="6115" spans="1:7" hidden="1" x14ac:dyDescent="0.75">
      <c r="A6115" s="51">
        <v>44935</v>
      </c>
      <c r="B6115" s="52">
        <v>374</v>
      </c>
      <c r="C6115" s="8" t="s">
        <v>1872</v>
      </c>
      <c r="D6115" s="8" t="s">
        <v>736</v>
      </c>
      <c r="E6115" s="52">
        <v>1949</v>
      </c>
      <c r="F6115" s="13">
        <v>14.5</v>
      </c>
      <c r="G6115" s="13"/>
    </row>
    <row r="6116" spans="1:7" hidden="1" x14ac:dyDescent="0.75">
      <c r="A6116" s="51">
        <v>44935</v>
      </c>
      <c r="B6116" s="52">
        <v>374</v>
      </c>
      <c r="C6116" s="8" t="s">
        <v>1549</v>
      </c>
      <c r="D6116" s="8" t="s">
        <v>736</v>
      </c>
      <c r="E6116" s="52">
        <v>8</v>
      </c>
      <c r="F6116" s="13">
        <v>160</v>
      </c>
      <c r="G6116" s="13"/>
    </row>
    <row r="6117" spans="1:7" hidden="1" x14ac:dyDescent="0.75">
      <c r="A6117" s="51">
        <v>44936</v>
      </c>
      <c r="B6117" s="52">
        <v>374</v>
      </c>
      <c r="C6117" s="8" t="s">
        <v>1872</v>
      </c>
      <c r="D6117" s="8" t="s">
        <v>736</v>
      </c>
      <c r="E6117" s="52">
        <v>1949</v>
      </c>
      <c r="F6117" s="13">
        <v>8.6999999999999993</v>
      </c>
      <c r="G6117" s="13"/>
    </row>
    <row r="6118" spans="1:7" hidden="1" x14ac:dyDescent="0.75">
      <c r="A6118" s="51">
        <v>44936</v>
      </c>
      <c r="B6118" s="52">
        <v>374</v>
      </c>
      <c r="C6118" s="8" t="s">
        <v>1549</v>
      </c>
      <c r="D6118" s="8" t="s">
        <v>736</v>
      </c>
      <c r="E6118" s="52">
        <v>8</v>
      </c>
      <c r="F6118" s="13">
        <v>11.5</v>
      </c>
      <c r="G6118" s="13"/>
    </row>
    <row r="6119" spans="1:7" hidden="1" x14ac:dyDescent="0.75">
      <c r="A6119" s="51">
        <v>44936</v>
      </c>
      <c r="B6119" s="52">
        <v>374</v>
      </c>
      <c r="C6119" s="8" t="s">
        <v>1549</v>
      </c>
      <c r="D6119" s="8" t="s">
        <v>736</v>
      </c>
      <c r="E6119" s="52">
        <v>8</v>
      </c>
      <c r="F6119" s="13">
        <v>11.5</v>
      </c>
      <c r="G6119" s="13"/>
    </row>
    <row r="6120" spans="1:7" hidden="1" x14ac:dyDescent="0.75">
      <c r="A6120" s="51">
        <v>44936</v>
      </c>
      <c r="B6120" s="52">
        <v>374</v>
      </c>
      <c r="C6120" s="8" t="s">
        <v>1549</v>
      </c>
      <c r="D6120" s="8" t="s">
        <v>736</v>
      </c>
      <c r="E6120" s="52">
        <v>8</v>
      </c>
      <c r="F6120" s="13">
        <v>92.98</v>
      </c>
      <c r="G6120" s="13"/>
    </row>
    <row r="6121" spans="1:7" hidden="1" x14ac:dyDescent="0.75">
      <c r="A6121" s="51">
        <v>44937</v>
      </c>
      <c r="B6121" s="52">
        <v>374</v>
      </c>
      <c r="C6121" s="8" t="s">
        <v>1872</v>
      </c>
      <c r="D6121" s="8" t="s">
        <v>736</v>
      </c>
      <c r="E6121" s="52">
        <v>1949</v>
      </c>
      <c r="F6121" s="13">
        <v>7.25</v>
      </c>
      <c r="G6121" s="13"/>
    </row>
    <row r="6122" spans="1:7" hidden="1" x14ac:dyDescent="0.75">
      <c r="A6122" s="51">
        <v>44937</v>
      </c>
      <c r="B6122" s="52">
        <v>374</v>
      </c>
      <c r="C6122" s="8" t="s">
        <v>1549</v>
      </c>
      <c r="D6122" s="8" t="s">
        <v>736</v>
      </c>
      <c r="E6122" s="52">
        <v>8</v>
      </c>
      <c r="F6122" s="13">
        <v>22.4</v>
      </c>
      <c r="G6122" s="13"/>
    </row>
    <row r="6123" spans="1:7" hidden="1" x14ac:dyDescent="0.75">
      <c r="A6123" s="51">
        <v>44937</v>
      </c>
      <c r="B6123" s="52">
        <v>374</v>
      </c>
      <c r="C6123" s="8" t="s">
        <v>1549</v>
      </c>
      <c r="D6123" s="8" t="s">
        <v>736</v>
      </c>
      <c r="E6123" s="52">
        <v>8</v>
      </c>
      <c r="F6123" s="13">
        <v>71.23</v>
      </c>
      <c r="G6123" s="13"/>
    </row>
    <row r="6124" spans="1:7" hidden="1" x14ac:dyDescent="0.75">
      <c r="A6124" s="51">
        <v>44937</v>
      </c>
      <c r="B6124" s="52">
        <v>374</v>
      </c>
      <c r="C6124" s="8" t="s">
        <v>1549</v>
      </c>
      <c r="D6124" s="8" t="s">
        <v>736</v>
      </c>
      <c r="E6124" s="52">
        <v>8</v>
      </c>
      <c r="F6124" s="13">
        <v>10</v>
      </c>
      <c r="G6124" s="13"/>
    </row>
    <row r="6125" spans="1:7" hidden="1" x14ac:dyDescent="0.75">
      <c r="A6125" s="51">
        <v>44937</v>
      </c>
      <c r="B6125" s="52">
        <v>374</v>
      </c>
      <c r="C6125" s="8" t="s">
        <v>1648</v>
      </c>
      <c r="D6125" s="8" t="s">
        <v>736</v>
      </c>
      <c r="E6125" s="52">
        <v>8</v>
      </c>
      <c r="F6125" s="13">
        <v>1100</v>
      </c>
      <c r="G6125" s="13"/>
    </row>
    <row r="6126" spans="1:7" hidden="1" x14ac:dyDescent="0.75">
      <c r="A6126" s="51">
        <v>44938</v>
      </c>
      <c r="B6126" s="52">
        <v>374</v>
      </c>
      <c r="C6126" s="8" t="s">
        <v>1872</v>
      </c>
      <c r="D6126" s="8" t="s">
        <v>736</v>
      </c>
      <c r="E6126" s="52">
        <v>1949</v>
      </c>
      <c r="F6126" s="13">
        <v>29.7</v>
      </c>
      <c r="G6126" s="13"/>
    </row>
    <row r="6127" spans="1:7" hidden="1" x14ac:dyDescent="0.75">
      <c r="A6127" s="51">
        <v>44938</v>
      </c>
      <c r="B6127" s="52">
        <v>374</v>
      </c>
      <c r="C6127" s="8" t="s">
        <v>1549</v>
      </c>
      <c r="D6127" s="8" t="s">
        <v>736</v>
      </c>
      <c r="E6127" s="52">
        <v>8</v>
      </c>
      <c r="F6127" s="13">
        <v>16.8</v>
      </c>
      <c r="G6127" s="13"/>
    </row>
    <row r="6128" spans="1:7" hidden="1" x14ac:dyDescent="0.75">
      <c r="A6128" s="51">
        <v>44938</v>
      </c>
      <c r="B6128" s="52">
        <v>374</v>
      </c>
      <c r="C6128" s="8" t="s">
        <v>1549</v>
      </c>
      <c r="D6128" s="8" t="s">
        <v>736</v>
      </c>
      <c r="E6128" s="52">
        <v>8</v>
      </c>
      <c r="F6128" s="13">
        <v>11.5</v>
      </c>
      <c r="G6128" s="13"/>
    </row>
    <row r="6129" spans="1:7" hidden="1" x14ac:dyDescent="0.75">
      <c r="A6129" s="51">
        <v>44938</v>
      </c>
      <c r="B6129" s="52">
        <v>374</v>
      </c>
      <c r="C6129" s="8" t="s">
        <v>1549</v>
      </c>
      <c r="D6129" s="8" t="s">
        <v>736</v>
      </c>
      <c r="E6129" s="52">
        <v>8</v>
      </c>
      <c r="F6129" s="13">
        <v>11.5</v>
      </c>
      <c r="G6129" s="13"/>
    </row>
    <row r="6130" spans="1:7" hidden="1" x14ac:dyDescent="0.75">
      <c r="A6130" s="51">
        <v>44938</v>
      </c>
      <c r="B6130" s="52">
        <v>374</v>
      </c>
      <c r="C6130" s="8" t="s">
        <v>1549</v>
      </c>
      <c r="D6130" s="8" t="s">
        <v>736</v>
      </c>
      <c r="E6130" s="52">
        <v>8</v>
      </c>
      <c r="F6130" s="13">
        <v>1</v>
      </c>
      <c r="G6130" s="13"/>
    </row>
    <row r="6131" spans="1:7" hidden="1" x14ac:dyDescent="0.75">
      <c r="A6131" s="51">
        <v>44939</v>
      </c>
      <c r="B6131" s="52">
        <v>374</v>
      </c>
      <c r="C6131" s="8" t="s">
        <v>1872</v>
      </c>
      <c r="D6131" s="8" t="s">
        <v>736</v>
      </c>
      <c r="E6131" s="52">
        <v>1949</v>
      </c>
      <c r="F6131" s="13">
        <v>5.94</v>
      </c>
      <c r="G6131" s="13"/>
    </row>
    <row r="6132" spans="1:7" hidden="1" x14ac:dyDescent="0.75">
      <c r="A6132" s="51">
        <v>44939</v>
      </c>
      <c r="B6132" s="52">
        <v>374</v>
      </c>
      <c r="C6132" s="8" t="s">
        <v>1549</v>
      </c>
      <c r="D6132" s="8" t="s">
        <v>736</v>
      </c>
      <c r="E6132" s="52">
        <v>8</v>
      </c>
      <c r="F6132" s="13">
        <v>8.4</v>
      </c>
      <c r="G6132" s="13"/>
    </row>
    <row r="6133" spans="1:7" hidden="1" x14ac:dyDescent="0.75">
      <c r="A6133" s="51">
        <v>44939</v>
      </c>
      <c r="B6133" s="52">
        <v>374</v>
      </c>
      <c r="C6133" s="8" t="s">
        <v>1549</v>
      </c>
      <c r="D6133" s="8" t="s">
        <v>736</v>
      </c>
      <c r="E6133" s="52">
        <v>8</v>
      </c>
      <c r="F6133" s="13">
        <v>11.5</v>
      </c>
      <c r="G6133" s="13"/>
    </row>
    <row r="6134" spans="1:7" hidden="1" x14ac:dyDescent="0.75">
      <c r="A6134" s="51">
        <v>44939</v>
      </c>
      <c r="B6134" s="52">
        <v>374</v>
      </c>
      <c r="C6134" s="8" t="s">
        <v>1549</v>
      </c>
      <c r="D6134" s="8" t="s">
        <v>736</v>
      </c>
      <c r="E6134" s="52">
        <v>8</v>
      </c>
      <c r="F6134" s="13">
        <v>11.5</v>
      </c>
      <c r="G6134" s="13"/>
    </row>
    <row r="6135" spans="1:7" hidden="1" x14ac:dyDescent="0.75">
      <c r="A6135" s="51">
        <v>44939</v>
      </c>
      <c r="B6135" s="52">
        <v>374</v>
      </c>
      <c r="C6135" s="8" t="s">
        <v>1549</v>
      </c>
      <c r="D6135" s="8" t="s">
        <v>736</v>
      </c>
      <c r="E6135" s="52">
        <v>8</v>
      </c>
      <c r="F6135" s="13">
        <v>12.97</v>
      </c>
      <c r="G6135" s="13"/>
    </row>
    <row r="6136" spans="1:7" hidden="1" x14ac:dyDescent="0.75">
      <c r="A6136" s="51">
        <v>44942</v>
      </c>
      <c r="B6136" s="52">
        <v>374</v>
      </c>
      <c r="C6136" s="8" t="s">
        <v>1872</v>
      </c>
      <c r="D6136" s="8" t="s">
        <v>736</v>
      </c>
      <c r="E6136" s="52">
        <v>1949</v>
      </c>
      <c r="F6136" s="13">
        <v>14.5</v>
      </c>
      <c r="G6136" s="13"/>
    </row>
    <row r="6137" spans="1:7" hidden="1" x14ac:dyDescent="0.75">
      <c r="A6137" s="51">
        <v>44942</v>
      </c>
      <c r="B6137" s="52">
        <v>374</v>
      </c>
      <c r="C6137" s="8" t="s">
        <v>1549</v>
      </c>
      <c r="D6137" s="8" t="s">
        <v>736</v>
      </c>
      <c r="E6137" s="52">
        <v>8</v>
      </c>
      <c r="F6137" s="13">
        <v>20</v>
      </c>
      <c r="G6137" s="13"/>
    </row>
    <row r="6138" spans="1:7" hidden="1" x14ac:dyDescent="0.75">
      <c r="A6138" s="51">
        <v>44943</v>
      </c>
      <c r="B6138" s="52">
        <v>374</v>
      </c>
      <c r="C6138" s="8" t="s">
        <v>1872</v>
      </c>
      <c r="D6138" s="8" t="s">
        <v>736</v>
      </c>
      <c r="E6138" s="52">
        <v>1949</v>
      </c>
      <c r="F6138" s="13">
        <v>16.37</v>
      </c>
      <c r="G6138" s="13"/>
    </row>
    <row r="6139" spans="1:7" hidden="1" x14ac:dyDescent="0.75">
      <c r="A6139" s="51">
        <v>44943</v>
      </c>
      <c r="B6139" s="52">
        <v>374</v>
      </c>
      <c r="C6139" s="8" t="s">
        <v>1549</v>
      </c>
      <c r="D6139" s="8" t="s">
        <v>736</v>
      </c>
      <c r="E6139" s="52">
        <v>8</v>
      </c>
      <c r="F6139" s="13">
        <v>20</v>
      </c>
      <c r="G6139" s="13"/>
    </row>
    <row r="6140" spans="1:7" hidden="1" x14ac:dyDescent="0.75">
      <c r="A6140" s="51">
        <v>44944</v>
      </c>
      <c r="B6140" s="52">
        <v>374</v>
      </c>
      <c r="C6140" s="8" t="s">
        <v>1872</v>
      </c>
      <c r="D6140" s="8" t="s">
        <v>736</v>
      </c>
      <c r="E6140" s="52">
        <v>1949</v>
      </c>
      <c r="F6140" s="13">
        <v>13.33</v>
      </c>
      <c r="G6140" s="13"/>
    </row>
    <row r="6141" spans="1:7" hidden="1" x14ac:dyDescent="0.75">
      <c r="A6141" s="51">
        <v>44944</v>
      </c>
      <c r="B6141" s="52">
        <v>374</v>
      </c>
      <c r="C6141" s="8" t="s">
        <v>1549</v>
      </c>
      <c r="D6141" s="8" t="s">
        <v>736</v>
      </c>
      <c r="E6141" s="52">
        <v>8</v>
      </c>
      <c r="F6141" s="13">
        <v>2.8</v>
      </c>
      <c r="G6141" s="13"/>
    </row>
    <row r="6142" spans="1:7" hidden="1" x14ac:dyDescent="0.75">
      <c r="A6142" s="51">
        <v>44944</v>
      </c>
      <c r="B6142" s="52">
        <v>374</v>
      </c>
      <c r="C6142" s="8" t="s">
        <v>1549</v>
      </c>
      <c r="D6142" s="8" t="s">
        <v>736</v>
      </c>
      <c r="E6142" s="52">
        <v>8</v>
      </c>
      <c r="F6142" s="13">
        <v>10</v>
      </c>
      <c r="G6142" s="13"/>
    </row>
    <row r="6143" spans="1:7" hidden="1" x14ac:dyDescent="0.75">
      <c r="A6143" s="51">
        <v>44945</v>
      </c>
      <c r="B6143" s="52">
        <v>374</v>
      </c>
      <c r="C6143" s="8" t="s">
        <v>1872</v>
      </c>
      <c r="D6143" s="8" t="s">
        <v>736</v>
      </c>
      <c r="E6143" s="52">
        <v>1949</v>
      </c>
      <c r="F6143" s="13">
        <v>10.15</v>
      </c>
      <c r="G6143" s="13"/>
    </row>
    <row r="6144" spans="1:7" hidden="1" x14ac:dyDescent="0.75">
      <c r="A6144" s="51">
        <v>44946</v>
      </c>
      <c r="B6144" s="52">
        <v>374</v>
      </c>
      <c r="C6144" s="8" t="s">
        <v>1872</v>
      </c>
      <c r="D6144" s="8" t="s">
        <v>736</v>
      </c>
      <c r="E6144" s="52">
        <v>1949</v>
      </c>
      <c r="F6144" s="13">
        <v>2.9</v>
      </c>
      <c r="G6144" s="13"/>
    </row>
    <row r="6145" spans="1:7" hidden="1" x14ac:dyDescent="0.75">
      <c r="A6145" s="51">
        <v>44949</v>
      </c>
      <c r="B6145" s="52">
        <v>374</v>
      </c>
      <c r="C6145" s="8" t="s">
        <v>1872</v>
      </c>
      <c r="D6145" s="8" t="s">
        <v>736</v>
      </c>
      <c r="E6145" s="52">
        <v>1949</v>
      </c>
      <c r="F6145" s="13">
        <v>6.08</v>
      </c>
      <c r="G6145" s="13"/>
    </row>
    <row r="6146" spans="1:7" hidden="1" x14ac:dyDescent="0.75">
      <c r="A6146" s="51">
        <v>44949</v>
      </c>
      <c r="B6146" s="52">
        <v>374</v>
      </c>
      <c r="C6146" s="8" t="s">
        <v>1549</v>
      </c>
      <c r="D6146" s="8" t="s">
        <v>736</v>
      </c>
      <c r="E6146" s="52">
        <v>8</v>
      </c>
      <c r="F6146" s="13">
        <v>22.4</v>
      </c>
      <c r="G6146" s="13"/>
    </row>
    <row r="6147" spans="1:7" hidden="1" x14ac:dyDescent="0.75">
      <c r="A6147" s="51">
        <v>44949</v>
      </c>
      <c r="B6147" s="52">
        <v>374</v>
      </c>
      <c r="C6147" s="8" t="s">
        <v>1549</v>
      </c>
      <c r="D6147" s="8" t="s">
        <v>736</v>
      </c>
      <c r="E6147" s="52">
        <v>8</v>
      </c>
      <c r="F6147" s="13">
        <v>21.58</v>
      </c>
      <c r="G6147" s="13"/>
    </row>
    <row r="6148" spans="1:7" hidden="1" x14ac:dyDescent="0.75">
      <c r="A6148" s="51">
        <v>44949</v>
      </c>
      <c r="B6148" s="52">
        <v>374</v>
      </c>
      <c r="C6148" s="8" t="s">
        <v>1549</v>
      </c>
      <c r="D6148" s="8" t="s">
        <v>736</v>
      </c>
      <c r="E6148" s="52">
        <v>8</v>
      </c>
      <c r="F6148" s="13">
        <v>42.97</v>
      </c>
      <c r="G6148" s="13"/>
    </row>
    <row r="6149" spans="1:7" hidden="1" x14ac:dyDescent="0.75">
      <c r="A6149" s="51">
        <v>44949</v>
      </c>
      <c r="B6149" s="52">
        <v>374</v>
      </c>
      <c r="C6149" s="8" t="s">
        <v>1549</v>
      </c>
      <c r="D6149" s="8" t="s">
        <v>736</v>
      </c>
      <c r="E6149" s="52">
        <v>8</v>
      </c>
      <c r="F6149" s="13">
        <v>10</v>
      </c>
      <c r="G6149" s="13"/>
    </row>
    <row r="6150" spans="1:7" hidden="1" x14ac:dyDescent="0.75">
      <c r="A6150" s="51">
        <v>44950</v>
      </c>
      <c r="B6150" s="52">
        <v>374</v>
      </c>
      <c r="C6150" s="8" t="s">
        <v>1872</v>
      </c>
      <c r="D6150" s="8" t="s">
        <v>736</v>
      </c>
      <c r="E6150" s="52">
        <v>1949</v>
      </c>
      <c r="F6150" s="13">
        <v>6.08</v>
      </c>
      <c r="G6150" s="13"/>
    </row>
    <row r="6151" spans="1:7" hidden="1" x14ac:dyDescent="0.75">
      <c r="A6151" s="51">
        <v>44950</v>
      </c>
      <c r="B6151" s="52">
        <v>374</v>
      </c>
      <c r="C6151" s="8" t="s">
        <v>1549</v>
      </c>
      <c r="D6151" s="8" t="s">
        <v>736</v>
      </c>
      <c r="E6151" s="52">
        <v>8</v>
      </c>
      <c r="F6151" s="13">
        <v>14.35</v>
      </c>
      <c r="G6151" s="13"/>
    </row>
    <row r="6152" spans="1:7" hidden="1" x14ac:dyDescent="0.75">
      <c r="A6152" s="51">
        <v>44951</v>
      </c>
      <c r="B6152" s="52">
        <v>374</v>
      </c>
      <c r="C6152" s="8" t="s">
        <v>1549</v>
      </c>
      <c r="D6152" s="8" t="s">
        <v>736</v>
      </c>
      <c r="E6152" s="52">
        <v>8</v>
      </c>
      <c r="F6152" s="13">
        <v>10</v>
      </c>
      <c r="G6152" s="13"/>
    </row>
    <row r="6153" spans="1:7" hidden="1" x14ac:dyDescent="0.75">
      <c r="A6153" s="51">
        <v>44952</v>
      </c>
      <c r="B6153" s="52">
        <v>374</v>
      </c>
      <c r="C6153" s="8" t="s">
        <v>1872</v>
      </c>
      <c r="D6153" s="8" t="s">
        <v>736</v>
      </c>
      <c r="E6153" s="52">
        <v>1949</v>
      </c>
      <c r="F6153" s="13">
        <v>15.2</v>
      </c>
      <c r="G6153" s="13"/>
    </row>
    <row r="6154" spans="1:7" hidden="1" x14ac:dyDescent="0.75">
      <c r="A6154" s="51">
        <v>44952</v>
      </c>
      <c r="B6154" s="52">
        <v>374</v>
      </c>
      <c r="C6154" s="8" t="s">
        <v>1549</v>
      </c>
      <c r="D6154" s="8" t="s">
        <v>736</v>
      </c>
      <c r="E6154" s="52">
        <v>8</v>
      </c>
      <c r="F6154" s="13">
        <v>4.95</v>
      </c>
      <c r="G6154" s="13"/>
    </row>
    <row r="6155" spans="1:7" hidden="1" x14ac:dyDescent="0.75">
      <c r="A6155" s="51">
        <v>44953</v>
      </c>
      <c r="B6155" s="52">
        <v>374</v>
      </c>
      <c r="C6155" s="8" t="s">
        <v>1872</v>
      </c>
      <c r="D6155" s="8" t="s">
        <v>736</v>
      </c>
      <c r="E6155" s="52">
        <v>1949</v>
      </c>
      <c r="F6155" s="13">
        <v>46.96</v>
      </c>
      <c r="G6155" s="13"/>
    </row>
    <row r="6156" spans="1:7" hidden="1" x14ac:dyDescent="0.75">
      <c r="A6156" s="51">
        <v>44953</v>
      </c>
      <c r="B6156" s="52">
        <v>374</v>
      </c>
      <c r="C6156" s="8" t="s">
        <v>1549</v>
      </c>
      <c r="D6156" s="8" t="s">
        <v>736</v>
      </c>
      <c r="E6156" s="52">
        <v>8</v>
      </c>
      <c r="F6156" s="13">
        <v>12.97</v>
      </c>
      <c r="G6156" s="13"/>
    </row>
    <row r="6157" spans="1:7" hidden="1" x14ac:dyDescent="0.75">
      <c r="A6157" s="51">
        <v>44956</v>
      </c>
      <c r="B6157" s="52">
        <v>374</v>
      </c>
      <c r="C6157" s="8" t="s">
        <v>1549</v>
      </c>
      <c r="D6157" s="8" t="s">
        <v>736</v>
      </c>
      <c r="E6157" s="52">
        <v>8</v>
      </c>
      <c r="F6157" s="13">
        <v>30</v>
      </c>
      <c r="G6157" s="13"/>
    </row>
    <row r="6158" spans="1:7" hidden="1" x14ac:dyDescent="0.75">
      <c r="A6158" s="51">
        <v>44956</v>
      </c>
      <c r="B6158" s="52">
        <v>374</v>
      </c>
      <c r="C6158" s="8" t="s">
        <v>1549</v>
      </c>
      <c r="D6158" s="8" t="s">
        <v>736</v>
      </c>
      <c r="E6158" s="52">
        <v>8</v>
      </c>
      <c r="F6158" s="13">
        <v>38.68</v>
      </c>
      <c r="G6158" s="13"/>
    </row>
    <row r="6159" spans="1:7" hidden="1" x14ac:dyDescent="0.75">
      <c r="A6159" s="51">
        <v>44957</v>
      </c>
      <c r="B6159" s="52">
        <v>374</v>
      </c>
      <c r="C6159" s="8" t="s">
        <v>1872</v>
      </c>
      <c r="D6159" s="8" t="s">
        <v>736</v>
      </c>
      <c r="E6159" s="52">
        <v>1949</v>
      </c>
      <c r="F6159" s="13">
        <v>25.77</v>
      </c>
      <c r="G6159" s="13"/>
    </row>
    <row r="6160" spans="1:7" hidden="1" x14ac:dyDescent="0.75">
      <c r="A6160" s="51">
        <v>44957</v>
      </c>
      <c r="B6160" s="52">
        <v>374</v>
      </c>
      <c r="C6160" s="8" t="s">
        <v>1549</v>
      </c>
      <c r="D6160" s="8" t="s">
        <v>736</v>
      </c>
      <c r="E6160" s="52">
        <v>8</v>
      </c>
      <c r="F6160" s="13">
        <v>19.600000000000001</v>
      </c>
      <c r="G6160" s="13"/>
    </row>
    <row r="6161" spans="1:7" hidden="1" x14ac:dyDescent="0.75">
      <c r="A6161" s="51">
        <v>44957</v>
      </c>
      <c r="B6161" s="52">
        <v>374</v>
      </c>
      <c r="C6161" s="8" t="s">
        <v>1549</v>
      </c>
      <c r="D6161" s="8" t="s">
        <v>736</v>
      </c>
      <c r="E6161" s="52">
        <v>8</v>
      </c>
      <c r="F6161" s="13">
        <v>41.52</v>
      </c>
      <c r="G6161" s="13"/>
    </row>
    <row r="6162" spans="1:7" hidden="1" x14ac:dyDescent="0.75">
      <c r="A6162" s="51">
        <v>44957</v>
      </c>
      <c r="B6162" s="52">
        <v>374</v>
      </c>
      <c r="C6162" s="8" t="s">
        <v>1549</v>
      </c>
      <c r="D6162" s="8" t="s">
        <v>736</v>
      </c>
      <c r="E6162" s="52">
        <v>8</v>
      </c>
      <c r="F6162" s="13">
        <v>54.45</v>
      </c>
      <c r="G6162" s="13"/>
    </row>
    <row r="6163" spans="1:7" hidden="1" x14ac:dyDescent="0.75">
      <c r="A6163" s="51">
        <v>44942</v>
      </c>
      <c r="B6163" s="52">
        <v>375</v>
      </c>
      <c r="C6163" s="8" t="s">
        <v>987</v>
      </c>
      <c r="D6163" s="8" t="s">
        <v>738</v>
      </c>
      <c r="E6163" s="52">
        <v>1461</v>
      </c>
      <c r="F6163" s="13">
        <v>423.74</v>
      </c>
      <c r="G6163" s="13"/>
    </row>
    <row r="6164" spans="1:7" hidden="1" x14ac:dyDescent="0.75">
      <c r="A6164" s="51">
        <v>44942</v>
      </c>
      <c r="B6164" s="52">
        <v>375</v>
      </c>
      <c r="C6164" s="8" t="s">
        <v>990</v>
      </c>
      <c r="D6164" s="8" t="s">
        <v>738</v>
      </c>
      <c r="E6164" s="52">
        <v>1598</v>
      </c>
      <c r="F6164" s="13">
        <v>357.23</v>
      </c>
      <c r="G6164" s="13"/>
    </row>
    <row r="6165" spans="1:7" hidden="1" x14ac:dyDescent="0.75">
      <c r="A6165" s="51">
        <v>44957</v>
      </c>
      <c r="B6165" s="52">
        <v>375</v>
      </c>
      <c r="C6165" s="8" t="s">
        <v>1239</v>
      </c>
      <c r="D6165" s="8" t="s">
        <v>738</v>
      </c>
      <c r="E6165" s="52">
        <v>1838</v>
      </c>
      <c r="F6165" s="13">
        <v>379.15</v>
      </c>
      <c r="G6165" s="13"/>
    </row>
    <row r="6166" spans="1:7" hidden="1" x14ac:dyDescent="0.75">
      <c r="A6166" s="51">
        <v>44957</v>
      </c>
      <c r="B6166" s="52">
        <v>375</v>
      </c>
      <c r="C6166" s="8" t="s">
        <v>1240</v>
      </c>
      <c r="D6166" s="8" t="s">
        <v>738</v>
      </c>
      <c r="E6166" s="52">
        <v>1839</v>
      </c>
      <c r="F6166" s="13">
        <v>112.81</v>
      </c>
      <c r="G6166" s="13"/>
    </row>
    <row r="6167" spans="1:7" hidden="1" x14ac:dyDescent="0.75">
      <c r="A6167" s="51">
        <v>44957</v>
      </c>
      <c r="B6167" s="52">
        <v>375</v>
      </c>
      <c r="C6167" s="8" t="s">
        <v>4576</v>
      </c>
      <c r="D6167" s="8" t="s">
        <v>738</v>
      </c>
      <c r="E6167" s="52">
        <v>1457</v>
      </c>
      <c r="F6167" s="13">
        <v>843.07</v>
      </c>
      <c r="G6167" s="13"/>
    </row>
    <row r="6168" spans="1:7" hidden="1" x14ac:dyDescent="0.75">
      <c r="A6168" s="51">
        <v>44931</v>
      </c>
      <c r="B6168" s="52">
        <v>788</v>
      </c>
      <c r="C6168" s="8" t="s">
        <v>1381</v>
      </c>
      <c r="D6168" s="8" t="s">
        <v>742</v>
      </c>
      <c r="E6168" s="52">
        <v>5</v>
      </c>
      <c r="F6168" s="13">
        <v>500</v>
      </c>
      <c r="G6168" s="13"/>
    </row>
    <row r="6169" spans="1:7" hidden="1" x14ac:dyDescent="0.75">
      <c r="A6169" s="51">
        <v>44929</v>
      </c>
      <c r="B6169" s="52">
        <v>788</v>
      </c>
      <c r="C6169" s="8" t="s">
        <v>1375</v>
      </c>
      <c r="D6169" s="8" t="s">
        <v>742</v>
      </c>
      <c r="E6169" s="52">
        <v>5</v>
      </c>
      <c r="F6169" s="13">
        <v>250</v>
      </c>
      <c r="G6169" s="13"/>
    </row>
    <row r="6170" spans="1:7" hidden="1" x14ac:dyDescent="0.75">
      <c r="A6170" s="51">
        <v>44946</v>
      </c>
      <c r="B6170" s="52">
        <v>788</v>
      </c>
      <c r="C6170" s="8" t="s">
        <v>1440</v>
      </c>
      <c r="D6170" s="8" t="s">
        <v>742</v>
      </c>
      <c r="E6170" s="52">
        <v>5</v>
      </c>
      <c r="F6170" s="13">
        <v>240</v>
      </c>
      <c r="G6170" s="13"/>
    </row>
    <row r="6171" spans="1:7" hidden="1" x14ac:dyDescent="0.75">
      <c r="A6171" s="51">
        <v>44957</v>
      </c>
      <c r="B6171" s="52">
        <v>788</v>
      </c>
      <c r="C6171" s="8" t="s">
        <v>1477</v>
      </c>
      <c r="D6171" s="8" t="s">
        <v>742</v>
      </c>
      <c r="E6171" s="52">
        <v>5</v>
      </c>
      <c r="F6171" s="13">
        <v>240</v>
      </c>
      <c r="G6171" s="13"/>
    </row>
    <row r="6172" spans="1:7" hidden="1" x14ac:dyDescent="0.75">
      <c r="A6172" s="51">
        <v>44956</v>
      </c>
      <c r="B6172" s="52">
        <v>788</v>
      </c>
      <c r="C6172" s="8" t="s">
        <v>1368</v>
      </c>
      <c r="D6172" s="8" t="s">
        <v>742</v>
      </c>
      <c r="E6172" s="52">
        <v>5</v>
      </c>
      <c r="F6172" s="13">
        <v>210</v>
      </c>
      <c r="G6172" s="13"/>
    </row>
    <row r="6173" spans="1:7" hidden="1" x14ac:dyDescent="0.75">
      <c r="A6173" s="51">
        <v>44928</v>
      </c>
      <c r="B6173" s="52">
        <v>788</v>
      </c>
      <c r="C6173" s="8" t="s">
        <v>1370</v>
      </c>
      <c r="D6173" s="8" t="s">
        <v>742</v>
      </c>
      <c r="E6173" s="52">
        <v>5</v>
      </c>
      <c r="F6173" s="13">
        <v>200</v>
      </c>
      <c r="G6173" s="13"/>
    </row>
    <row r="6174" spans="1:7" hidden="1" x14ac:dyDescent="0.75">
      <c r="A6174" s="51">
        <v>44929</v>
      </c>
      <c r="B6174" s="52">
        <v>788</v>
      </c>
      <c r="C6174" s="8" t="s">
        <v>1376</v>
      </c>
      <c r="D6174" s="8" t="s">
        <v>742</v>
      </c>
      <c r="E6174" s="52">
        <v>5</v>
      </c>
      <c r="F6174" s="13">
        <v>200</v>
      </c>
      <c r="G6174" s="13"/>
    </row>
    <row r="6175" spans="1:7" hidden="1" x14ac:dyDescent="0.75">
      <c r="A6175" s="51">
        <v>44929</v>
      </c>
      <c r="B6175" s="52">
        <v>788</v>
      </c>
      <c r="C6175" s="8" t="s">
        <v>1370</v>
      </c>
      <c r="D6175" s="8" t="s">
        <v>742</v>
      </c>
      <c r="E6175" s="52">
        <v>5</v>
      </c>
      <c r="F6175" s="13">
        <v>200</v>
      </c>
      <c r="G6175" s="13"/>
    </row>
    <row r="6176" spans="1:7" hidden="1" x14ac:dyDescent="0.75">
      <c r="A6176" s="51">
        <v>44935</v>
      </c>
      <c r="B6176" s="52">
        <v>788</v>
      </c>
      <c r="C6176" s="8" t="s">
        <v>1393</v>
      </c>
      <c r="D6176" s="8" t="s">
        <v>742</v>
      </c>
      <c r="E6176" s="52">
        <v>5</v>
      </c>
      <c r="F6176" s="13">
        <v>200</v>
      </c>
      <c r="G6176" s="13"/>
    </row>
    <row r="6177" spans="1:7" hidden="1" x14ac:dyDescent="0.75">
      <c r="A6177" s="51">
        <v>44942</v>
      </c>
      <c r="B6177" s="52">
        <v>788</v>
      </c>
      <c r="C6177" s="8" t="s">
        <v>1393</v>
      </c>
      <c r="D6177" s="8" t="s">
        <v>742</v>
      </c>
      <c r="E6177" s="52">
        <v>5</v>
      </c>
      <c r="F6177" s="13">
        <v>200</v>
      </c>
      <c r="G6177" s="13"/>
    </row>
    <row r="6178" spans="1:7" hidden="1" x14ac:dyDescent="0.75">
      <c r="A6178" s="51">
        <v>44945</v>
      </c>
      <c r="B6178" s="52">
        <v>788</v>
      </c>
      <c r="C6178" s="8" t="s">
        <v>1393</v>
      </c>
      <c r="D6178" s="8" t="s">
        <v>742</v>
      </c>
      <c r="E6178" s="52">
        <v>5</v>
      </c>
      <c r="F6178" s="13">
        <v>200</v>
      </c>
      <c r="G6178" s="13"/>
    </row>
    <row r="6179" spans="1:7" hidden="1" x14ac:dyDescent="0.75">
      <c r="A6179" s="51">
        <v>44946</v>
      </c>
      <c r="B6179" s="52">
        <v>788</v>
      </c>
      <c r="C6179" s="8" t="s">
        <v>1393</v>
      </c>
      <c r="D6179" s="8" t="s">
        <v>742</v>
      </c>
      <c r="E6179" s="52">
        <v>5</v>
      </c>
      <c r="F6179" s="13">
        <v>200</v>
      </c>
      <c r="G6179" s="13"/>
    </row>
    <row r="6180" spans="1:7" hidden="1" x14ac:dyDescent="0.75">
      <c r="A6180" s="51">
        <v>44949</v>
      </c>
      <c r="B6180" s="52">
        <v>788</v>
      </c>
      <c r="C6180" s="8" t="s">
        <v>1393</v>
      </c>
      <c r="D6180" s="8" t="s">
        <v>742</v>
      </c>
      <c r="E6180" s="52">
        <v>5</v>
      </c>
      <c r="F6180" s="13">
        <v>200</v>
      </c>
      <c r="G6180" s="13"/>
    </row>
    <row r="6181" spans="1:7" hidden="1" x14ac:dyDescent="0.75">
      <c r="A6181" s="51">
        <v>44956</v>
      </c>
      <c r="B6181" s="52">
        <v>788</v>
      </c>
      <c r="C6181" s="8" t="s">
        <v>1393</v>
      </c>
      <c r="D6181" s="8" t="s">
        <v>742</v>
      </c>
      <c r="E6181" s="52">
        <v>5</v>
      </c>
      <c r="F6181" s="13">
        <v>200</v>
      </c>
      <c r="G6181" s="13"/>
    </row>
    <row r="6182" spans="1:7" hidden="1" x14ac:dyDescent="0.75">
      <c r="A6182" s="51">
        <v>44942</v>
      </c>
      <c r="B6182" s="52">
        <v>788</v>
      </c>
      <c r="C6182" s="8" t="s">
        <v>1425</v>
      </c>
      <c r="D6182" s="8" t="s">
        <v>742</v>
      </c>
      <c r="E6182" s="52">
        <v>5</v>
      </c>
      <c r="F6182" s="13">
        <v>192</v>
      </c>
      <c r="G6182" s="13"/>
    </row>
    <row r="6183" spans="1:7" hidden="1" x14ac:dyDescent="0.75">
      <c r="A6183" s="51">
        <v>44957</v>
      </c>
      <c r="B6183" s="52">
        <v>788</v>
      </c>
      <c r="C6183" s="8" t="s">
        <v>1476</v>
      </c>
      <c r="D6183" s="8" t="s">
        <v>742</v>
      </c>
      <c r="E6183" s="52">
        <v>5</v>
      </c>
      <c r="F6183" s="13">
        <v>185</v>
      </c>
      <c r="G6183" s="13"/>
    </row>
    <row r="6184" spans="1:7" hidden="1" x14ac:dyDescent="0.75">
      <c r="A6184" s="51">
        <v>44949</v>
      </c>
      <c r="B6184" s="52">
        <v>788</v>
      </c>
      <c r="C6184" s="8" t="s">
        <v>1447</v>
      </c>
      <c r="D6184" s="8" t="s">
        <v>742</v>
      </c>
      <c r="E6184" s="52">
        <v>5</v>
      </c>
      <c r="F6184" s="13">
        <v>172</v>
      </c>
      <c r="G6184" s="13"/>
    </row>
    <row r="6185" spans="1:7" hidden="1" x14ac:dyDescent="0.75">
      <c r="A6185" s="51">
        <v>44953</v>
      </c>
      <c r="B6185" s="52">
        <v>788</v>
      </c>
      <c r="C6185" s="8" t="s">
        <v>1454</v>
      </c>
      <c r="D6185" s="8" t="s">
        <v>742</v>
      </c>
      <c r="E6185" s="52">
        <v>5</v>
      </c>
      <c r="F6185" s="13">
        <v>170</v>
      </c>
      <c r="G6185" s="13"/>
    </row>
    <row r="6186" spans="1:7" hidden="1" x14ac:dyDescent="0.75">
      <c r="A6186" s="51">
        <v>44932</v>
      </c>
      <c r="B6186" s="52">
        <v>788</v>
      </c>
      <c r="C6186" s="8" t="s">
        <v>1383</v>
      </c>
      <c r="D6186" s="8" t="s">
        <v>742</v>
      </c>
      <c r="E6186" s="52">
        <v>5</v>
      </c>
      <c r="F6186" s="13">
        <v>150</v>
      </c>
      <c r="G6186" s="13"/>
    </row>
    <row r="6187" spans="1:7" hidden="1" x14ac:dyDescent="0.75">
      <c r="A6187" s="51">
        <v>44944</v>
      </c>
      <c r="B6187" s="52">
        <v>788</v>
      </c>
      <c r="C6187" s="8" t="s">
        <v>1393</v>
      </c>
      <c r="D6187" s="8" t="s">
        <v>742</v>
      </c>
      <c r="E6187" s="52">
        <v>5</v>
      </c>
      <c r="F6187" s="13">
        <v>150</v>
      </c>
      <c r="G6187" s="13"/>
    </row>
    <row r="6188" spans="1:7" hidden="1" x14ac:dyDescent="0.75">
      <c r="A6188" s="51">
        <v>44950</v>
      </c>
      <c r="B6188" s="52">
        <v>788</v>
      </c>
      <c r="C6188" s="8" t="s">
        <v>1393</v>
      </c>
      <c r="D6188" s="8" t="s">
        <v>742</v>
      </c>
      <c r="E6188" s="52">
        <v>5</v>
      </c>
      <c r="F6188" s="13">
        <v>150</v>
      </c>
      <c r="G6188" s="13"/>
    </row>
    <row r="6189" spans="1:7" hidden="1" x14ac:dyDescent="0.75">
      <c r="A6189" s="51">
        <v>44932</v>
      </c>
      <c r="B6189" s="52">
        <v>788</v>
      </c>
      <c r="C6189" s="8" t="s">
        <v>1389</v>
      </c>
      <c r="D6189" s="8" t="s">
        <v>742</v>
      </c>
      <c r="E6189" s="52">
        <v>5</v>
      </c>
      <c r="F6189" s="13">
        <v>125</v>
      </c>
      <c r="G6189" s="13"/>
    </row>
    <row r="6190" spans="1:7" hidden="1" x14ac:dyDescent="0.75">
      <c r="A6190" s="51">
        <v>44953</v>
      </c>
      <c r="B6190" s="52">
        <v>788</v>
      </c>
      <c r="C6190" s="8" t="s">
        <v>1455</v>
      </c>
      <c r="D6190" s="8" t="s">
        <v>742</v>
      </c>
      <c r="E6190" s="52">
        <v>5</v>
      </c>
      <c r="F6190" s="13">
        <v>120</v>
      </c>
      <c r="G6190" s="13"/>
    </row>
    <row r="6191" spans="1:7" hidden="1" x14ac:dyDescent="0.75">
      <c r="A6191" s="51">
        <v>44931</v>
      </c>
      <c r="B6191" s="52">
        <v>788</v>
      </c>
      <c r="C6191" s="8" t="s">
        <v>1382</v>
      </c>
      <c r="D6191" s="8" t="s">
        <v>742</v>
      </c>
      <c r="E6191" s="52">
        <v>5</v>
      </c>
      <c r="F6191" s="13">
        <v>115</v>
      </c>
      <c r="G6191" s="13"/>
    </row>
    <row r="6192" spans="1:7" hidden="1" x14ac:dyDescent="0.75">
      <c r="A6192" s="51">
        <v>44943</v>
      </c>
      <c r="B6192" s="52">
        <v>788</v>
      </c>
      <c r="C6192" s="8" t="s">
        <v>1428</v>
      </c>
      <c r="D6192" s="8" t="s">
        <v>742</v>
      </c>
      <c r="E6192" s="52">
        <v>5</v>
      </c>
      <c r="F6192" s="13">
        <v>114</v>
      </c>
      <c r="G6192" s="13"/>
    </row>
    <row r="6193" spans="1:7" hidden="1" x14ac:dyDescent="0.75">
      <c r="A6193" s="51">
        <v>44936</v>
      </c>
      <c r="B6193" s="52">
        <v>788</v>
      </c>
      <c r="C6193" s="8" t="s">
        <v>1395</v>
      </c>
      <c r="D6193" s="8" t="s">
        <v>742</v>
      </c>
      <c r="E6193" s="52">
        <v>5</v>
      </c>
      <c r="F6193" s="13">
        <v>112</v>
      </c>
      <c r="G6193" s="13"/>
    </row>
    <row r="6194" spans="1:7" hidden="1" x14ac:dyDescent="0.75">
      <c r="A6194" s="51">
        <v>44946</v>
      </c>
      <c r="B6194" s="52">
        <v>788</v>
      </c>
      <c r="C6194" s="8" t="s">
        <v>1439</v>
      </c>
      <c r="D6194" s="8" t="s">
        <v>742</v>
      </c>
      <c r="E6194" s="52">
        <v>5</v>
      </c>
      <c r="F6194" s="13">
        <v>105</v>
      </c>
      <c r="G6194" s="13"/>
    </row>
    <row r="6195" spans="1:7" hidden="1" x14ac:dyDescent="0.75">
      <c r="A6195" s="51">
        <v>44932</v>
      </c>
      <c r="B6195" s="52">
        <v>788</v>
      </c>
      <c r="C6195" s="8" t="s">
        <v>1368</v>
      </c>
      <c r="D6195" s="8" t="s">
        <v>742</v>
      </c>
      <c r="E6195" s="52">
        <v>5</v>
      </c>
      <c r="F6195" s="13">
        <v>104</v>
      </c>
      <c r="G6195" s="13"/>
    </row>
    <row r="6196" spans="1:7" hidden="1" x14ac:dyDescent="0.75">
      <c r="A6196" s="51">
        <v>44957</v>
      </c>
      <c r="B6196" s="52">
        <v>788</v>
      </c>
      <c r="C6196" s="8" t="s">
        <v>1368</v>
      </c>
      <c r="D6196" s="8" t="s">
        <v>742</v>
      </c>
      <c r="E6196" s="52">
        <v>5</v>
      </c>
      <c r="F6196" s="13">
        <v>102</v>
      </c>
      <c r="G6196" s="13"/>
    </row>
    <row r="6197" spans="1:7" hidden="1" x14ac:dyDescent="0.75">
      <c r="A6197" s="51">
        <v>44937</v>
      </c>
      <c r="B6197" s="52">
        <v>788</v>
      </c>
      <c r="C6197" s="8" t="s">
        <v>1383</v>
      </c>
      <c r="D6197" s="8" t="s">
        <v>742</v>
      </c>
      <c r="E6197" s="52">
        <v>5</v>
      </c>
      <c r="F6197" s="13">
        <v>100</v>
      </c>
      <c r="G6197" s="13"/>
    </row>
    <row r="6198" spans="1:7" hidden="1" x14ac:dyDescent="0.75">
      <c r="A6198" s="51">
        <v>44949</v>
      </c>
      <c r="B6198" s="52">
        <v>788</v>
      </c>
      <c r="C6198" s="8" t="s">
        <v>1443</v>
      </c>
      <c r="D6198" s="8" t="s">
        <v>742</v>
      </c>
      <c r="E6198" s="52">
        <v>5</v>
      </c>
      <c r="F6198" s="13">
        <v>100</v>
      </c>
      <c r="G6198" s="13"/>
    </row>
    <row r="6199" spans="1:7" hidden="1" x14ac:dyDescent="0.75">
      <c r="A6199" s="51">
        <v>44928</v>
      </c>
      <c r="B6199" s="52">
        <v>788</v>
      </c>
      <c r="C6199" s="8" t="s">
        <v>1368</v>
      </c>
      <c r="D6199" s="8" t="s">
        <v>742</v>
      </c>
      <c r="E6199" s="52">
        <v>5</v>
      </c>
      <c r="F6199" s="13">
        <v>95.13</v>
      </c>
      <c r="G6199" s="13"/>
    </row>
    <row r="6200" spans="1:7" hidden="1" x14ac:dyDescent="0.75">
      <c r="A6200" s="51">
        <v>44932</v>
      </c>
      <c r="B6200" s="52">
        <v>788</v>
      </c>
      <c r="C6200" s="8" t="s">
        <v>1368</v>
      </c>
      <c r="D6200" s="8" t="s">
        <v>742</v>
      </c>
      <c r="E6200" s="52">
        <v>5</v>
      </c>
      <c r="F6200" s="13">
        <v>90.45</v>
      </c>
      <c r="G6200" s="13"/>
    </row>
    <row r="6201" spans="1:7" hidden="1" x14ac:dyDescent="0.75">
      <c r="A6201" s="51">
        <v>44946</v>
      </c>
      <c r="B6201" s="52">
        <v>788</v>
      </c>
      <c r="C6201" s="8" t="s">
        <v>1438</v>
      </c>
      <c r="D6201" s="8" t="s">
        <v>742</v>
      </c>
      <c r="E6201" s="52">
        <v>5</v>
      </c>
      <c r="F6201" s="13">
        <v>90</v>
      </c>
      <c r="G6201" s="13"/>
    </row>
    <row r="6202" spans="1:7" hidden="1" x14ac:dyDescent="0.75">
      <c r="A6202" s="51">
        <v>44950</v>
      </c>
      <c r="B6202" s="52">
        <v>788</v>
      </c>
      <c r="C6202" s="8" t="s">
        <v>1449</v>
      </c>
      <c r="D6202" s="8" t="s">
        <v>742</v>
      </c>
      <c r="E6202" s="52">
        <v>5</v>
      </c>
      <c r="F6202" s="13">
        <v>76</v>
      </c>
      <c r="G6202" s="13"/>
    </row>
    <row r="6203" spans="1:7" hidden="1" x14ac:dyDescent="0.75">
      <c r="A6203" s="51">
        <v>44932</v>
      </c>
      <c r="B6203" s="52">
        <v>788</v>
      </c>
      <c r="C6203" s="8" t="s">
        <v>1387</v>
      </c>
      <c r="D6203" s="8" t="s">
        <v>742</v>
      </c>
      <c r="E6203" s="52">
        <v>5</v>
      </c>
      <c r="F6203" s="13">
        <v>70</v>
      </c>
      <c r="G6203" s="13"/>
    </row>
    <row r="6204" spans="1:7" hidden="1" x14ac:dyDescent="0.75">
      <c r="A6204" s="51">
        <v>44936</v>
      </c>
      <c r="B6204" s="52">
        <v>788</v>
      </c>
      <c r="C6204" s="8" t="s">
        <v>1394</v>
      </c>
      <c r="D6204" s="8" t="s">
        <v>742</v>
      </c>
      <c r="E6204" s="52">
        <v>5</v>
      </c>
      <c r="F6204" s="13">
        <v>60</v>
      </c>
      <c r="G6204" s="13"/>
    </row>
    <row r="6205" spans="1:7" hidden="1" x14ac:dyDescent="0.75">
      <c r="A6205" s="51">
        <v>44928</v>
      </c>
      <c r="B6205" s="52">
        <v>788</v>
      </c>
      <c r="C6205" s="8" t="s">
        <v>1369</v>
      </c>
      <c r="D6205" s="8" t="s">
        <v>742</v>
      </c>
      <c r="E6205" s="52">
        <v>5</v>
      </c>
      <c r="F6205" s="13">
        <v>56</v>
      </c>
      <c r="G6205" s="13"/>
    </row>
    <row r="6206" spans="1:7" hidden="1" x14ac:dyDescent="0.75">
      <c r="A6206" s="51">
        <v>44949</v>
      </c>
      <c r="B6206" s="52">
        <v>788</v>
      </c>
      <c r="C6206" s="8" t="s">
        <v>1445</v>
      </c>
      <c r="D6206" s="8" t="s">
        <v>742</v>
      </c>
      <c r="E6206" s="52">
        <v>5</v>
      </c>
      <c r="F6206" s="13">
        <v>55</v>
      </c>
      <c r="G6206" s="13"/>
    </row>
    <row r="6207" spans="1:7" hidden="1" x14ac:dyDescent="0.75">
      <c r="A6207" s="51">
        <v>44935</v>
      </c>
      <c r="B6207" s="52">
        <v>788</v>
      </c>
      <c r="C6207" s="8" t="s">
        <v>1391</v>
      </c>
      <c r="D6207" s="8" t="s">
        <v>742</v>
      </c>
      <c r="E6207" s="52">
        <v>5</v>
      </c>
      <c r="F6207" s="13">
        <v>50</v>
      </c>
      <c r="G6207" s="13"/>
    </row>
    <row r="6208" spans="1:7" hidden="1" x14ac:dyDescent="0.75">
      <c r="A6208" s="51">
        <v>44957</v>
      </c>
      <c r="B6208" s="52">
        <v>788</v>
      </c>
      <c r="C6208" s="8" t="s">
        <v>1478</v>
      </c>
      <c r="D6208" s="8" t="s">
        <v>742</v>
      </c>
      <c r="E6208" s="52">
        <v>5</v>
      </c>
      <c r="F6208" s="13">
        <v>50</v>
      </c>
      <c r="G6208" s="13"/>
    </row>
    <row r="6209" spans="1:7" hidden="1" x14ac:dyDescent="0.75">
      <c r="A6209" s="51">
        <v>44929</v>
      </c>
      <c r="B6209" s="52">
        <v>788</v>
      </c>
      <c r="C6209" s="8" t="s">
        <v>1369</v>
      </c>
      <c r="D6209" s="8" t="s">
        <v>742</v>
      </c>
      <c r="E6209" s="52">
        <v>5</v>
      </c>
      <c r="F6209" s="13">
        <v>47.6</v>
      </c>
      <c r="G6209" s="13"/>
    </row>
    <row r="6210" spans="1:7" hidden="1" x14ac:dyDescent="0.75">
      <c r="A6210" s="51">
        <v>44931</v>
      </c>
      <c r="B6210" s="52">
        <v>788</v>
      </c>
      <c r="C6210" s="8" t="s">
        <v>1372</v>
      </c>
      <c r="D6210" s="8" t="s">
        <v>742</v>
      </c>
      <c r="E6210" s="52">
        <v>5</v>
      </c>
      <c r="F6210" s="13">
        <v>44</v>
      </c>
      <c r="G6210" s="13"/>
    </row>
    <row r="6211" spans="1:7" hidden="1" x14ac:dyDescent="0.75">
      <c r="A6211" s="51">
        <v>44939</v>
      </c>
      <c r="B6211" s="52">
        <v>788</v>
      </c>
      <c r="C6211" s="8" t="s">
        <v>1372</v>
      </c>
      <c r="D6211" s="8" t="s">
        <v>742</v>
      </c>
      <c r="E6211" s="52">
        <v>5</v>
      </c>
      <c r="F6211" s="13">
        <v>40</v>
      </c>
      <c r="G6211" s="13"/>
    </row>
    <row r="6212" spans="1:7" hidden="1" x14ac:dyDescent="0.75">
      <c r="A6212" s="51">
        <v>44946</v>
      </c>
      <c r="B6212" s="52">
        <v>788</v>
      </c>
      <c r="C6212" s="8" t="s">
        <v>1441</v>
      </c>
      <c r="D6212" s="8" t="s">
        <v>742</v>
      </c>
      <c r="E6212" s="52">
        <v>5</v>
      </c>
      <c r="F6212" s="13">
        <v>40</v>
      </c>
      <c r="G6212" s="13"/>
    </row>
    <row r="6213" spans="1:7" hidden="1" x14ac:dyDescent="0.75">
      <c r="A6213" s="51">
        <v>44950</v>
      </c>
      <c r="B6213" s="52">
        <v>788</v>
      </c>
      <c r="C6213" s="8" t="s">
        <v>1448</v>
      </c>
      <c r="D6213" s="8" t="s">
        <v>742</v>
      </c>
      <c r="E6213" s="52">
        <v>5</v>
      </c>
      <c r="F6213" s="13">
        <v>40</v>
      </c>
      <c r="G6213" s="13"/>
    </row>
    <row r="6214" spans="1:7" hidden="1" x14ac:dyDescent="0.75">
      <c r="A6214" s="51">
        <v>44932</v>
      </c>
      <c r="B6214" s="52">
        <v>788</v>
      </c>
      <c r="C6214" s="8" t="s">
        <v>1372</v>
      </c>
      <c r="D6214" s="8" t="s">
        <v>742</v>
      </c>
      <c r="E6214" s="52">
        <v>5</v>
      </c>
      <c r="F6214" s="13">
        <v>38</v>
      </c>
      <c r="G6214" s="13"/>
    </row>
    <row r="6215" spans="1:7" hidden="1" x14ac:dyDescent="0.75">
      <c r="A6215" s="51">
        <v>44953</v>
      </c>
      <c r="B6215" s="52">
        <v>788</v>
      </c>
      <c r="C6215" s="8" t="s">
        <v>1456</v>
      </c>
      <c r="D6215" s="8" t="s">
        <v>742</v>
      </c>
      <c r="E6215" s="52">
        <v>5</v>
      </c>
      <c r="F6215" s="13">
        <v>37</v>
      </c>
      <c r="G6215" s="13"/>
    </row>
    <row r="6216" spans="1:7" hidden="1" x14ac:dyDescent="0.75">
      <c r="A6216" s="51">
        <v>44930</v>
      </c>
      <c r="B6216" s="52">
        <v>788</v>
      </c>
      <c r="C6216" s="8" t="s">
        <v>1377</v>
      </c>
      <c r="D6216" s="8" t="s">
        <v>742</v>
      </c>
      <c r="E6216" s="52">
        <v>5</v>
      </c>
      <c r="F6216" s="13">
        <v>35.700000000000003</v>
      </c>
      <c r="G6216" s="13"/>
    </row>
    <row r="6217" spans="1:7" hidden="1" x14ac:dyDescent="0.75">
      <c r="A6217" s="51">
        <v>44928</v>
      </c>
      <c r="B6217" s="52">
        <v>788</v>
      </c>
      <c r="C6217" s="8" t="s">
        <v>1372</v>
      </c>
      <c r="D6217" s="8" t="s">
        <v>742</v>
      </c>
      <c r="E6217" s="52">
        <v>5</v>
      </c>
      <c r="F6217" s="13">
        <v>35</v>
      </c>
      <c r="G6217" s="13"/>
    </row>
    <row r="6218" spans="1:7" hidden="1" x14ac:dyDescent="0.75">
      <c r="A6218" s="51">
        <v>44944</v>
      </c>
      <c r="B6218" s="52">
        <v>788</v>
      </c>
      <c r="C6218" s="8" t="s">
        <v>1432</v>
      </c>
      <c r="D6218" s="8" t="s">
        <v>742</v>
      </c>
      <c r="E6218" s="52">
        <v>5</v>
      </c>
      <c r="F6218" s="13">
        <v>35</v>
      </c>
      <c r="G6218" s="13"/>
    </row>
    <row r="6219" spans="1:7" hidden="1" x14ac:dyDescent="0.75">
      <c r="A6219" s="51">
        <v>44956</v>
      </c>
      <c r="B6219" s="52">
        <v>788</v>
      </c>
      <c r="C6219" s="8" t="s">
        <v>1446</v>
      </c>
      <c r="D6219" s="8" t="s">
        <v>742</v>
      </c>
      <c r="E6219" s="52">
        <v>5</v>
      </c>
      <c r="F6219" s="13">
        <v>35</v>
      </c>
      <c r="G6219" s="13"/>
    </row>
    <row r="6220" spans="1:7" hidden="1" x14ac:dyDescent="0.75">
      <c r="A6220" s="51">
        <v>44946</v>
      </c>
      <c r="B6220" s="52">
        <v>788</v>
      </c>
      <c r="C6220" s="8" t="s">
        <v>1437</v>
      </c>
      <c r="D6220" s="8" t="s">
        <v>742</v>
      </c>
      <c r="E6220" s="52">
        <v>5</v>
      </c>
      <c r="F6220" s="13">
        <v>30</v>
      </c>
      <c r="G6220" s="13"/>
    </row>
    <row r="6221" spans="1:7" hidden="1" x14ac:dyDescent="0.75">
      <c r="A6221" s="51">
        <v>44956</v>
      </c>
      <c r="B6221" s="52">
        <v>788</v>
      </c>
      <c r="C6221" s="8" t="s">
        <v>1457</v>
      </c>
      <c r="D6221" s="8" t="s">
        <v>742</v>
      </c>
      <c r="E6221" s="52">
        <v>5</v>
      </c>
      <c r="F6221" s="13">
        <v>30</v>
      </c>
      <c r="G6221" s="13"/>
    </row>
    <row r="6222" spans="1:7" hidden="1" x14ac:dyDescent="0.75">
      <c r="A6222" s="51">
        <v>44949</v>
      </c>
      <c r="B6222" s="52">
        <v>788</v>
      </c>
      <c r="C6222" s="8" t="s">
        <v>1446</v>
      </c>
      <c r="D6222" s="8" t="s">
        <v>742</v>
      </c>
      <c r="E6222" s="52">
        <v>5</v>
      </c>
      <c r="F6222" s="13">
        <v>29</v>
      </c>
      <c r="G6222" s="13"/>
    </row>
    <row r="6223" spans="1:7" hidden="1" x14ac:dyDescent="0.75">
      <c r="A6223" s="51">
        <v>44946</v>
      </c>
      <c r="B6223" s="52">
        <v>788</v>
      </c>
      <c r="C6223" s="8" t="s">
        <v>1442</v>
      </c>
      <c r="D6223" s="8" t="s">
        <v>742</v>
      </c>
      <c r="E6223" s="52">
        <v>5</v>
      </c>
      <c r="F6223" s="13">
        <v>24.5</v>
      </c>
      <c r="G6223" s="13"/>
    </row>
    <row r="6224" spans="1:7" hidden="1" x14ac:dyDescent="0.75">
      <c r="A6224" s="51">
        <v>44951</v>
      </c>
      <c r="B6224" s="52">
        <v>788</v>
      </c>
      <c r="C6224" s="8" t="s">
        <v>1450</v>
      </c>
      <c r="D6224" s="8" t="s">
        <v>742</v>
      </c>
      <c r="E6224" s="52">
        <v>5</v>
      </c>
      <c r="F6224" s="13">
        <v>22</v>
      </c>
      <c r="G6224" s="13"/>
    </row>
    <row r="6225" spans="1:7" hidden="1" x14ac:dyDescent="0.75">
      <c r="A6225" s="51">
        <v>44932</v>
      </c>
      <c r="B6225" s="52">
        <v>788</v>
      </c>
      <c r="C6225" s="8" t="s">
        <v>1385</v>
      </c>
      <c r="D6225" s="8" t="s">
        <v>742</v>
      </c>
      <c r="E6225" s="52">
        <v>5</v>
      </c>
      <c r="F6225" s="13">
        <v>20</v>
      </c>
      <c r="G6225" s="13"/>
    </row>
    <row r="6226" spans="1:7" hidden="1" x14ac:dyDescent="0.75">
      <c r="A6226" s="51">
        <v>44939</v>
      </c>
      <c r="B6226" s="52">
        <v>788</v>
      </c>
      <c r="C6226" s="8" t="s">
        <v>1385</v>
      </c>
      <c r="D6226" s="8" t="s">
        <v>742</v>
      </c>
      <c r="E6226" s="52">
        <v>5</v>
      </c>
      <c r="F6226" s="13">
        <v>20</v>
      </c>
      <c r="G6226" s="13"/>
    </row>
    <row r="6227" spans="1:7" hidden="1" x14ac:dyDescent="0.75">
      <c r="A6227" s="51">
        <v>44946</v>
      </c>
      <c r="B6227" s="52">
        <v>788</v>
      </c>
      <c r="C6227" s="8" t="s">
        <v>1385</v>
      </c>
      <c r="D6227" s="8" t="s">
        <v>742</v>
      </c>
      <c r="E6227" s="52">
        <v>5</v>
      </c>
      <c r="F6227" s="13">
        <v>20</v>
      </c>
      <c r="G6227" s="13"/>
    </row>
    <row r="6228" spans="1:7" hidden="1" x14ac:dyDescent="0.75">
      <c r="A6228" s="51">
        <v>44949</v>
      </c>
      <c r="B6228" s="52">
        <v>788</v>
      </c>
      <c r="C6228" s="8" t="s">
        <v>1444</v>
      </c>
      <c r="D6228" s="8" t="s">
        <v>742</v>
      </c>
      <c r="E6228" s="52">
        <v>5</v>
      </c>
      <c r="F6228" s="13">
        <v>20</v>
      </c>
      <c r="G6228" s="13"/>
    </row>
    <row r="6229" spans="1:7" hidden="1" x14ac:dyDescent="0.75">
      <c r="A6229" s="51">
        <v>44951</v>
      </c>
      <c r="B6229" s="52">
        <v>788</v>
      </c>
      <c r="C6229" s="8" t="s">
        <v>1451</v>
      </c>
      <c r="D6229" s="8" t="s">
        <v>742</v>
      </c>
      <c r="E6229" s="52">
        <v>5</v>
      </c>
      <c r="F6229" s="13">
        <v>20</v>
      </c>
      <c r="G6229" s="13"/>
    </row>
    <row r="6230" spans="1:7" hidden="1" x14ac:dyDescent="0.75">
      <c r="A6230" s="51">
        <v>44953</v>
      </c>
      <c r="B6230" s="52">
        <v>788</v>
      </c>
      <c r="C6230" s="8" t="s">
        <v>1385</v>
      </c>
      <c r="D6230" s="8" t="s">
        <v>742</v>
      </c>
      <c r="E6230" s="52">
        <v>5</v>
      </c>
      <c r="F6230" s="13">
        <v>20</v>
      </c>
      <c r="G6230" s="13"/>
    </row>
    <row r="6231" spans="1:7" hidden="1" x14ac:dyDescent="0.75">
      <c r="A6231" s="51">
        <v>44943</v>
      </c>
      <c r="B6231" s="52">
        <v>788</v>
      </c>
      <c r="C6231" s="8" t="s">
        <v>1430</v>
      </c>
      <c r="D6231" s="8" t="s">
        <v>742</v>
      </c>
      <c r="E6231" s="52">
        <v>5</v>
      </c>
      <c r="F6231" s="13">
        <v>14</v>
      </c>
      <c r="G6231" s="13"/>
    </row>
    <row r="6232" spans="1:7" hidden="1" x14ac:dyDescent="0.75">
      <c r="A6232" s="51">
        <v>44942</v>
      </c>
      <c r="B6232" s="52">
        <v>788</v>
      </c>
      <c r="C6232" s="8" t="s">
        <v>1424</v>
      </c>
      <c r="D6232" s="8" t="s">
        <v>742</v>
      </c>
      <c r="E6232" s="52">
        <v>5</v>
      </c>
      <c r="F6232" s="13">
        <v>13</v>
      </c>
      <c r="G6232" s="13"/>
    </row>
    <row r="6233" spans="1:7" hidden="1" x14ac:dyDescent="0.75">
      <c r="A6233" s="51">
        <v>44932</v>
      </c>
      <c r="B6233" s="52">
        <v>788</v>
      </c>
      <c r="C6233" s="8" t="s">
        <v>1386</v>
      </c>
      <c r="D6233" s="8" t="s">
        <v>742</v>
      </c>
      <c r="E6233" s="52">
        <v>5</v>
      </c>
      <c r="F6233" s="13">
        <v>11.5</v>
      </c>
      <c r="G6233" s="13"/>
    </row>
    <row r="6234" spans="1:7" hidden="1" x14ac:dyDescent="0.75">
      <c r="A6234" s="51">
        <v>44939</v>
      </c>
      <c r="B6234" s="52">
        <v>788</v>
      </c>
      <c r="C6234" s="8" t="s">
        <v>1386</v>
      </c>
      <c r="D6234" s="8" t="s">
        <v>742</v>
      </c>
      <c r="E6234" s="52">
        <v>5</v>
      </c>
      <c r="F6234" s="13">
        <v>11.5</v>
      </c>
      <c r="G6234" s="13"/>
    </row>
    <row r="6235" spans="1:7" hidden="1" x14ac:dyDescent="0.75">
      <c r="A6235" s="51">
        <v>44936</v>
      </c>
      <c r="B6235" s="52">
        <v>788</v>
      </c>
      <c r="C6235" s="8" t="s">
        <v>1397</v>
      </c>
      <c r="D6235" s="8" t="s">
        <v>742</v>
      </c>
      <c r="E6235" s="52">
        <v>5</v>
      </c>
      <c r="F6235" s="13">
        <v>10.3</v>
      </c>
      <c r="G6235" s="13"/>
    </row>
    <row r="6236" spans="1:7" hidden="1" x14ac:dyDescent="0.75">
      <c r="A6236" s="51">
        <v>44927</v>
      </c>
      <c r="B6236" s="52">
        <v>408</v>
      </c>
      <c r="C6236" s="8" t="s">
        <v>2483</v>
      </c>
      <c r="D6236" s="8" t="s">
        <v>760</v>
      </c>
      <c r="E6236" s="52">
        <v>1024</v>
      </c>
      <c r="F6236" s="13"/>
      <c r="G6236" s="13">
        <v>3520</v>
      </c>
    </row>
    <row r="6237" spans="1:7" hidden="1" x14ac:dyDescent="0.75">
      <c r="A6237" s="51">
        <v>44927</v>
      </c>
      <c r="B6237" s="52">
        <v>408</v>
      </c>
      <c r="C6237" s="8" t="s">
        <v>2484</v>
      </c>
      <c r="D6237" s="8" t="s">
        <v>760</v>
      </c>
      <c r="E6237" s="52">
        <v>1024</v>
      </c>
      <c r="F6237" s="13"/>
      <c r="G6237" s="13">
        <v>2410</v>
      </c>
    </row>
    <row r="6238" spans="1:7" hidden="1" x14ac:dyDescent="0.75">
      <c r="A6238" s="51">
        <v>44928</v>
      </c>
      <c r="B6238" s="52">
        <v>408</v>
      </c>
      <c r="C6238" s="8" t="s">
        <v>2868</v>
      </c>
      <c r="D6238" s="8" t="s">
        <v>760</v>
      </c>
      <c r="E6238" s="52">
        <v>1508</v>
      </c>
      <c r="F6238" s="13"/>
      <c r="G6238" s="13">
        <v>3118</v>
      </c>
    </row>
    <row r="6239" spans="1:7" hidden="1" x14ac:dyDescent="0.75">
      <c r="A6239" s="51">
        <v>44928</v>
      </c>
      <c r="B6239" s="52">
        <v>408</v>
      </c>
      <c r="C6239" s="8" t="s">
        <v>2869</v>
      </c>
      <c r="D6239" s="8" t="s">
        <v>760</v>
      </c>
      <c r="E6239" s="52">
        <v>1508</v>
      </c>
      <c r="F6239" s="13"/>
      <c r="G6239" s="13">
        <v>3679.4</v>
      </c>
    </row>
    <row r="6240" spans="1:7" hidden="1" x14ac:dyDescent="0.75">
      <c r="A6240" s="51">
        <v>44928</v>
      </c>
      <c r="B6240" s="52">
        <v>408</v>
      </c>
      <c r="C6240" s="8" t="s">
        <v>2253</v>
      </c>
      <c r="D6240" s="8" t="s">
        <v>760</v>
      </c>
      <c r="E6240" s="52">
        <v>806</v>
      </c>
      <c r="F6240" s="13"/>
      <c r="G6240" s="13">
        <v>396</v>
      </c>
    </row>
    <row r="6241" spans="1:7" hidden="1" x14ac:dyDescent="0.75">
      <c r="A6241" s="51">
        <v>44928</v>
      </c>
      <c r="B6241" s="52">
        <v>408</v>
      </c>
      <c r="C6241" s="8" t="s">
        <v>2254</v>
      </c>
      <c r="D6241" s="8" t="s">
        <v>760</v>
      </c>
      <c r="E6241" s="52">
        <v>806</v>
      </c>
      <c r="F6241" s="13"/>
      <c r="G6241" s="13">
        <v>2589.5</v>
      </c>
    </row>
    <row r="6242" spans="1:7" hidden="1" x14ac:dyDescent="0.75">
      <c r="A6242" s="51">
        <v>44928</v>
      </c>
      <c r="B6242" s="52">
        <v>408</v>
      </c>
      <c r="C6242" s="8" t="s">
        <v>2231</v>
      </c>
      <c r="D6242" s="8" t="s">
        <v>760</v>
      </c>
      <c r="E6242" s="52">
        <v>804</v>
      </c>
      <c r="F6242" s="13"/>
      <c r="G6242" s="13">
        <v>671.5</v>
      </c>
    </row>
    <row r="6243" spans="1:7" hidden="1" x14ac:dyDescent="0.75">
      <c r="A6243" s="51">
        <v>44928</v>
      </c>
      <c r="B6243" s="52">
        <v>408</v>
      </c>
      <c r="C6243" s="8" t="s">
        <v>2817</v>
      </c>
      <c r="D6243" s="8" t="s">
        <v>760</v>
      </c>
      <c r="E6243" s="52">
        <v>707</v>
      </c>
      <c r="F6243" s="13"/>
      <c r="G6243" s="13">
        <v>2237.9499999999998</v>
      </c>
    </row>
    <row r="6244" spans="1:7" hidden="1" x14ac:dyDescent="0.75">
      <c r="A6244" s="51">
        <v>44928</v>
      </c>
      <c r="B6244" s="52">
        <v>408</v>
      </c>
      <c r="C6244" s="8" t="s">
        <v>2976</v>
      </c>
      <c r="D6244" s="8" t="s">
        <v>760</v>
      </c>
      <c r="E6244" s="52">
        <v>1751</v>
      </c>
      <c r="F6244" s="13"/>
      <c r="G6244" s="13">
        <v>858.95</v>
      </c>
    </row>
    <row r="6245" spans="1:7" hidden="1" x14ac:dyDescent="0.75">
      <c r="A6245" s="51">
        <v>44928</v>
      </c>
      <c r="B6245" s="52">
        <v>408</v>
      </c>
      <c r="C6245" s="8" t="s">
        <v>3004</v>
      </c>
      <c r="D6245" s="8" t="s">
        <v>760</v>
      </c>
      <c r="E6245" s="52">
        <v>1748</v>
      </c>
      <c r="F6245" s="13"/>
      <c r="G6245" s="13">
        <v>532.9</v>
      </c>
    </row>
    <row r="6246" spans="1:7" hidden="1" x14ac:dyDescent="0.75">
      <c r="A6246" s="51">
        <v>44928</v>
      </c>
      <c r="B6246" s="52">
        <v>408</v>
      </c>
      <c r="C6246" s="8" t="s">
        <v>3054</v>
      </c>
      <c r="D6246" s="8" t="s">
        <v>760</v>
      </c>
      <c r="E6246" s="52">
        <v>1696</v>
      </c>
      <c r="F6246" s="13"/>
      <c r="G6246" s="13">
        <v>398.45</v>
      </c>
    </row>
    <row r="6247" spans="1:7" hidden="1" x14ac:dyDescent="0.75">
      <c r="A6247" s="51">
        <v>44928</v>
      </c>
      <c r="B6247" s="52">
        <v>408</v>
      </c>
      <c r="C6247" s="8" t="s">
        <v>3029</v>
      </c>
      <c r="D6247" s="8" t="s">
        <v>760</v>
      </c>
      <c r="E6247" s="52">
        <v>1752</v>
      </c>
      <c r="F6247" s="13"/>
      <c r="G6247" s="13">
        <v>479.55</v>
      </c>
    </row>
    <row r="6248" spans="1:7" hidden="1" x14ac:dyDescent="0.75">
      <c r="A6248" s="51">
        <v>44928</v>
      </c>
      <c r="B6248" s="52">
        <v>408</v>
      </c>
      <c r="C6248" s="8" t="s">
        <v>3080</v>
      </c>
      <c r="D6248" s="8" t="s">
        <v>760</v>
      </c>
      <c r="E6248" s="52">
        <v>1747</v>
      </c>
      <c r="F6248" s="13"/>
      <c r="G6248" s="13">
        <v>912.7</v>
      </c>
    </row>
    <row r="6249" spans="1:7" hidden="1" x14ac:dyDescent="0.75">
      <c r="A6249" s="51">
        <v>44928</v>
      </c>
      <c r="B6249" s="52">
        <v>408</v>
      </c>
      <c r="C6249" s="8" t="s">
        <v>3123</v>
      </c>
      <c r="D6249" s="8" t="s">
        <v>760</v>
      </c>
      <c r="E6249" s="52">
        <v>1852</v>
      </c>
      <c r="F6249" s="13"/>
      <c r="G6249" s="13">
        <v>2611.92</v>
      </c>
    </row>
    <row r="6250" spans="1:7" hidden="1" x14ac:dyDescent="0.75">
      <c r="A6250" s="51">
        <v>44928</v>
      </c>
      <c r="B6250" s="52">
        <v>408</v>
      </c>
      <c r="C6250" s="8" t="s">
        <v>2070</v>
      </c>
      <c r="D6250" s="8" t="s">
        <v>760</v>
      </c>
      <c r="E6250" s="52">
        <v>710</v>
      </c>
      <c r="F6250" s="13"/>
      <c r="G6250" s="13">
        <v>611.26</v>
      </c>
    </row>
    <row r="6251" spans="1:7" hidden="1" x14ac:dyDescent="0.75">
      <c r="A6251" s="51">
        <v>44928</v>
      </c>
      <c r="B6251" s="52">
        <v>408</v>
      </c>
      <c r="C6251" s="8" t="s">
        <v>2287</v>
      </c>
      <c r="D6251" s="8" t="s">
        <v>760</v>
      </c>
      <c r="E6251" s="52">
        <v>717</v>
      </c>
      <c r="F6251" s="13"/>
      <c r="G6251" s="13">
        <v>2431.1</v>
      </c>
    </row>
    <row r="6252" spans="1:7" hidden="1" x14ac:dyDescent="0.75">
      <c r="A6252" s="51">
        <v>44928</v>
      </c>
      <c r="B6252" s="52">
        <v>408</v>
      </c>
      <c r="C6252" s="8" t="s">
        <v>2335</v>
      </c>
      <c r="D6252" s="8" t="s">
        <v>760</v>
      </c>
      <c r="E6252" s="52">
        <v>1818</v>
      </c>
      <c r="F6252" s="13"/>
      <c r="G6252" s="13">
        <v>2531.5500000000002</v>
      </c>
    </row>
    <row r="6253" spans="1:7" hidden="1" x14ac:dyDescent="0.75">
      <c r="A6253" s="51">
        <v>44928</v>
      </c>
      <c r="B6253" s="52">
        <v>408</v>
      </c>
      <c r="C6253" s="8" t="s">
        <v>2071</v>
      </c>
      <c r="D6253" s="8" t="s">
        <v>760</v>
      </c>
      <c r="E6253" s="52">
        <v>710</v>
      </c>
      <c r="F6253" s="13"/>
      <c r="G6253" s="13">
        <v>68</v>
      </c>
    </row>
    <row r="6254" spans="1:7" hidden="1" x14ac:dyDescent="0.75">
      <c r="A6254" s="51">
        <v>44928</v>
      </c>
      <c r="B6254" s="52">
        <v>408</v>
      </c>
      <c r="C6254" s="8" t="s">
        <v>2000</v>
      </c>
      <c r="D6254" s="8" t="s">
        <v>760</v>
      </c>
      <c r="E6254" s="52">
        <v>713</v>
      </c>
      <c r="F6254" s="13"/>
      <c r="G6254" s="13">
        <v>102.6</v>
      </c>
    </row>
    <row r="6255" spans="1:7" hidden="1" x14ac:dyDescent="0.75">
      <c r="A6255" s="51">
        <v>44928</v>
      </c>
      <c r="B6255" s="52">
        <v>408</v>
      </c>
      <c r="C6255" s="8" t="s">
        <v>1960</v>
      </c>
      <c r="D6255" s="8" t="s">
        <v>760</v>
      </c>
      <c r="E6255" s="52">
        <v>1124</v>
      </c>
      <c r="F6255" s="13"/>
      <c r="G6255" s="13">
        <v>2171.04</v>
      </c>
    </row>
    <row r="6256" spans="1:7" hidden="1" x14ac:dyDescent="0.75">
      <c r="A6256" s="51">
        <v>44928</v>
      </c>
      <c r="B6256" s="52">
        <v>408</v>
      </c>
      <c r="C6256" s="8" t="s">
        <v>2437</v>
      </c>
      <c r="D6256" s="8" t="s">
        <v>760</v>
      </c>
      <c r="E6256" s="52">
        <v>714</v>
      </c>
      <c r="F6256" s="13"/>
      <c r="G6256" s="13">
        <v>1756.07</v>
      </c>
    </row>
    <row r="6257" spans="1:7" hidden="1" x14ac:dyDescent="0.75">
      <c r="A6257" s="51">
        <v>44928</v>
      </c>
      <c r="B6257" s="52">
        <v>408</v>
      </c>
      <c r="C6257" s="8" t="s">
        <v>1961</v>
      </c>
      <c r="D6257" s="8" t="s">
        <v>760</v>
      </c>
      <c r="E6257" s="52">
        <v>1124</v>
      </c>
      <c r="F6257" s="13"/>
      <c r="G6257" s="13">
        <v>255</v>
      </c>
    </row>
    <row r="6258" spans="1:7" hidden="1" x14ac:dyDescent="0.75">
      <c r="A6258" s="51">
        <v>44928</v>
      </c>
      <c r="B6258" s="52">
        <v>408</v>
      </c>
      <c r="C6258" s="8" t="s">
        <v>2001</v>
      </c>
      <c r="D6258" s="8" t="s">
        <v>760</v>
      </c>
      <c r="E6258" s="52">
        <v>713</v>
      </c>
      <c r="F6258" s="13"/>
      <c r="G6258" s="13">
        <v>59.5</v>
      </c>
    </row>
    <row r="6259" spans="1:7" hidden="1" x14ac:dyDescent="0.75">
      <c r="A6259" s="51">
        <v>44928</v>
      </c>
      <c r="B6259" s="52">
        <v>408</v>
      </c>
      <c r="C6259" s="8" t="s">
        <v>2112</v>
      </c>
      <c r="D6259" s="8" t="s">
        <v>760</v>
      </c>
      <c r="E6259" s="52">
        <v>712</v>
      </c>
      <c r="F6259" s="13"/>
      <c r="G6259" s="13">
        <v>2322.67</v>
      </c>
    </row>
    <row r="6260" spans="1:7" hidden="1" x14ac:dyDescent="0.75">
      <c r="A6260" s="51">
        <v>44928</v>
      </c>
      <c r="B6260" s="52">
        <v>408</v>
      </c>
      <c r="C6260" s="8" t="s">
        <v>2032</v>
      </c>
      <c r="D6260" s="8" t="s">
        <v>760</v>
      </c>
      <c r="E6260" s="52">
        <v>711</v>
      </c>
      <c r="F6260" s="13"/>
      <c r="G6260" s="13">
        <v>102</v>
      </c>
    </row>
    <row r="6261" spans="1:7" hidden="1" x14ac:dyDescent="0.75">
      <c r="A6261" s="51">
        <v>44928</v>
      </c>
      <c r="B6261" s="52">
        <v>408</v>
      </c>
      <c r="C6261" s="8" t="s">
        <v>2113</v>
      </c>
      <c r="D6261" s="8" t="s">
        <v>760</v>
      </c>
      <c r="E6261" s="52">
        <v>712</v>
      </c>
      <c r="F6261" s="13"/>
      <c r="G6261" s="13">
        <v>646</v>
      </c>
    </row>
    <row r="6262" spans="1:7" hidden="1" x14ac:dyDescent="0.75">
      <c r="A6262" s="51">
        <v>44928</v>
      </c>
      <c r="B6262" s="52">
        <v>408</v>
      </c>
      <c r="C6262" s="8" t="s">
        <v>2033</v>
      </c>
      <c r="D6262" s="8" t="s">
        <v>760</v>
      </c>
      <c r="E6262" s="52">
        <v>711</v>
      </c>
      <c r="F6262" s="13"/>
      <c r="G6262" s="13">
        <v>1639.61</v>
      </c>
    </row>
    <row r="6263" spans="1:7" hidden="1" x14ac:dyDescent="0.75">
      <c r="A6263" s="51">
        <v>44928</v>
      </c>
      <c r="B6263" s="52">
        <v>408</v>
      </c>
      <c r="C6263" s="8" t="s">
        <v>2388</v>
      </c>
      <c r="D6263" s="8" t="s">
        <v>760</v>
      </c>
      <c r="E6263" s="52">
        <v>719</v>
      </c>
      <c r="F6263" s="13"/>
      <c r="G6263" s="13">
        <v>296.37</v>
      </c>
    </row>
    <row r="6264" spans="1:7" hidden="1" x14ac:dyDescent="0.75">
      <c r="A6264" s="51">
        <v>44928</v>
      </c>
      <c r="B6264" s="52">
        <v>408</v>
      </c>
      <c r="C6264" s="8" t="s">
        <v>2151</v>
      </c>
      <c r="D6264" s="8" t="s">
        <v>760</v>
      </c>
      <c r="E6264" s="52">
        <v>716</v>
      </c>
      <c r="F6264" s="13"/>
      <c r="G6264" s="13">
        <v>1921.94</v>
      </c>
    </row>
    <row r="6265" spans="1:7" hidden="1" x14ac:dyDescent="0.75">
      <c r="A6265" s="51">
        <v>44928</v>
      </c>
      <c r="B6265" s="52">
        <v>408</v>
      </c>
      <c r="C6265" s="8" t="s">
        <v>2186</v>
      </c>
      <c r="D6265" s="8" t="s">
        <v>760</v>
      </c>
      <c r="E6265" s="52">
        <v>1736</v>
      </c>
      <c r="F6265" s="13"/>
      <c r="G6265" s="13">
        <v>678.5</v>
      </c>
    </row>
    <row r="6266" spans="1:7" hidden="1" x14ac:dyDescent="0.75">
      <c r="A6266" s="51">
        <v>44928</v>
      </c>
      <c r="B6266" s="52">
        <v>408</v>
      </c>
      <c r="C6266" s="8" t="s">
        <v>2187</v>
      </c>
      <c r="D6266" s="8" t="s">
        <v>760</v>
      </c>
      <c r="E6266" s="52">
        <v>1736</v>
      </c>
      <c r="F6266" s="13"/>
      <c r="G6266" s="13">
        <v>1651.3</v>
      </c>
    </row>
    <row r="6267" spans="1:7" hidden="1" x14ac:dyDescent="0.75">
      <c r="A6267" s="51">
        <v>44928</v>
      </c>
      <c r="B6267" s="52">
        <v>408</v>
      </c>
      <c r="C6267" s="8" t="s">
        <v>2188</v>
      </c>
      <c r="D6267" s="8" t="s">
        <v>760</v>
      </c>
      <c r="E6267" s="52">
        <v>1736</v>
      </c>
      <c r="F6267" s="13"/>
      <c r="G6267" s="13">
        <v>643.23</v>
      </c>
    </row>
    <row r="6268" spans="1:7" hidden="1" x14ac:dyDescent="0.75">
      <c r="A6268" s="51">
        <v>44928</v>
      </c>
      <c r="B6268" s="52">
        <v>408</v>
      </c>
      <c r="C6268" s="8" t="s">
        <v>2737</v>
      </c>
      <c r="D6268" s="8" t="s">
        <v>760</v>
      </c>
      <c r="E6268" s="52">
        <v>884</v>
      </c>
      <c r="F6268" s="13"/>
      <c r="G6268" s="13">
        <v>2743.1</v>
      </c>
    </row>
    <row r="6269" spans="1:7" hidden="1" x14ac:dyDescent="0.75">
      <c r="A6269" s="51">
        <v>44928</v>
      </c>
      <c r="B6269" s="52">
        <v>408</v>
      </c>
      <c r="C6269" s="8" t="s">
        <v>2738</v>
      </c>
      <c r="D6269" s="8" t="s">
        <v>760</v>
      </c>
      <c r="E6269" s="52">
        <v>884</v>
      </c>
      <c r="F6269" s="13"/>
      <c r="G6269" s="13">
        <v>550</v>
      </c>
    </row>
    <row r="6270" spans="1:7" hidden="1" x14ac:dyDescent="0.75">
      <c r="A6270" s="51">
        <v>44928</v>
      </c>
      <c r="B6270" s="52">
        <v>408</v>
      </c>
      <c r="C6270" s="8" t="s">
        <v>2783</v>
      </c>
      <c r="D6270" s="8" t="s">
        <v>760</v>
      </c>
      <c r="E6270" s="52">
        <v>1025</v>
      </c>
      <c r="F6270" s="13"/>
      <c r="G6270" s="13">
        <v>2981.7</v>
      </c>
    </row>
    <row r="6271" spans="1:7" hidden="1" x14ac:dyDescent="0.75">
      <c r="A6271" s="51">
        <v>44928</v>
      </c>
      <c r="B6271" s="52">
        <v>408</v>
      </c>
      <c r="C6271" s="8" t="s">
        <v>2784</v>
      </c>
      <c r="D6271" s="8" t="s">
        <v>760</v>
      </c>
      <c r="E6271" s="52">
        <v>1025</v>
      </c>
      <c r="F6271" s="13"/>
      <c r="G6271" s="13">
        <v>165</v>
      </c>
    </row>
    <row r="6272" spans="1:7" hidden="1" x14ac:dyDescent="0.75">
      <c r="A6272" s="51">
        <v>44928</v>
      </c>
      <c r="B6272" s="52">
        <v>408</v>
      </c>
      <c r="C6272" s="8" t="s">
        <v>2665</v>
      </c>
      <c r="D6272" s="8" t="s">
        <v>760</v>
      </c>
      <c r="E6272" s="52">
        <v>883</v>
      </c>
      <c r="F6272" s="13"/>
      <c r="G6272" s="13">
        <v>3038.3</v>
      </c>
    </row>
    <row r="6273" spans="1:7" hidden="1" x14ac:dyDescent="0.75">
      <c r="A6273" s="51">
        <v>44928</v>
      </c>
      <c r="B6273" s="52">
        <v>408</v>
      </c>
      <c r="C6273" s="8" t="s">
        <v>2666</v>
      </c>
      <c r="D6273" s="8" t="s">
        <v>760</v>
      </c>
      <c r="E6273" s="52">
        <v>883</v>
      </c>
      <c r="F6273" s="13"/>
      <c r="G6273" s="13">
        <v>432.5</v>
      </c>
    </row>
    <row r="6274" spans="1:7" hidden="1" x14ac:dyDescent="0.75">
      <c r="A6274" s="51">
        <v>44928</v>
      </c>
      <c r="B6274" s="52">
        <v>408</v>
      </c>
      <c r="C6274" s="8" t="s">
        <v>2701</v>
      </c>
      <c r="D6274" s="8" t="s">
        <v>760</v>
      </c>
      <c r="E6274" s="52">
        <v>885</v>
      </c>
      <c r="F6274" s="13"/>
      <c r="G6274" s="13">
        <v>1295.5</v>
      </c>
    </row>
    <row r="6275" spans="1:7" hidden="1" x14ac:dyDescent="0.75">
      <c r="A6275" s="51">
        <v>44928</v>
      </c>
      <c r="B6275" s="52">
        <v>408</v>
      </c>
      <c r="C6275" s="8" t="s">
        <v>2719</v>
      </c>
      <c r="D6275" s="8" t="s">
        <v>760</v>
      </c>
      <c r="E6275" s="52">
        <v>882</v>
      </c>
      <c r="F6275" s="13"/>
      <c r="G6275" s="13">
        <v>309.5</v>
      </c>
    </row>
    <row r="6276" spans="1:7" hidden="1" x14ac:dyDescent="0.75">
      <c r="A6276" s="51">
        <v>44928</v>
      </c>
      <c r="B6276" s="52">
        <v>408</v>
      </c>
      <c r="C6276" s="8" t="s">
        <v>2667</v>
      </c>
      <c r="D6276" s="8" t="s">
        <v>760</v>
      </c>
      <c r="E6276" s="52">
        <v>883</v>
      </c>
      <c r="F6276" s="13"/>
      <c r="G6276" s="13">
        <v>124</v>
      </c>
    </row>
    <row r="6277" spans="1:7" hidden="1" x14ac:dyDescent="0.75">
      <c r="A6277" s="51">
        <v>44928</v>
      </c>
      <c r="B6277" s="52">
        <v>408</v>
      </c>
      <c r="C6277" s="8" t="s">
        <v>2485</v>
      </c>
      <c r="D6277" s="8" t="s">
        <v>760</v>
      </c>
      <c r="E6277" s="52">
        <v>1024</v>
      </c>
      <c r="F6277" s="13"/>
      <c r="G6277" s="13">
        <v>19.75</v>
      </c>
    </row>
    <row r="6278" spans="1:7" hidden="1" x14ac:dyDescent="0.75">
      <c r="A6278" s="51">
        <v>44928</v>
      </c>
      <c r="B6278" s="52">
        <v>408</v>
      </c>
      <c r="C6278" s="8" t="s">
        <v>2486</v>
      </c>
      <c r="D6278" s="8" t="s">
        <v>760</v>
      </c>
      <c r="E6278" s="52">
        <v>1024</v>
      </c>
      <c r="F6278" s="13"/>
      <c r="G6278" s="13">
        <v>1057</v>
      </c>
    </row>
    <row r="6279" spans="1:7" hidden="1" x14ac:dyDescent="0.75">
      <c r="A6279" s="51">
        <v>44928</v>
      </c>
      <c r="B6279" s="52">
        <v>408</v>
      </c>
      <c r="C6279" s="8" t="s">
        <v>2487</v>
      </c>
      <c r="D6279" s="8" t="s">
        <v>760</v>
      </c>
      <c r="E6279" s="52">
        <v>1024</v>
      </c>
      <c r="F6279" s="13"/>
      <c r="G6279" s="13">
        <v>322</v>
      </c>
    </row>
    <row r="6280" spans="1:7" hidden="1" x14ac:dyDescent="0.75">
      <c r="A6280" s="51">
        <v>44928</v>
      </c>
      <c r="B6280" s="52">
        <v>408</v>
      </c>
      <c r="C6280" s="8" t="s">
        <v>2488</v>
      </c>
      <c r="D6280" s="8" t="s">
        <v>760</v>
      </c>
      <c r="E6280" s="52">
        <v>1024</v>
      </c>
      <c r="F6280" s="13"/>
      <c r="G6280" s="13">
        <v>340</v>
      </c>
    </row>
    <row r="6281" spans="1:7" hidden="1" x14ac:dyDescent="0.75">
      <c r="A6281" s="51">
        <v>44928</v>
      </c>
      <c r="B6281" s="52">
        <v>408</v>
      </c>
      <c r="C6281" s="8" t="s">
        <v>2489</v>
      </c>
      <c r="D6281" s="8" t="s">
        <v>760</v>
      </c>
      <c r="E6281" s="52">
        <v>1024</v>
      </c>
      <c r="F6281" s="13"/>
      <c r="G6281" s="13">
        <v>1547</v>
      </c>
    </row>
    <row r="6282" spans="1:7" hidden="1" x14ac:dyDescent="0.75">
      <c r="A6282" s="51">
        <v>44928</v>
      </c>
      <c r="B6282" s="52">
        <v>408</v>
      </c>
      <c r="C6282" s="8" t="s">
        <v>2490</v>
      </c>
      <c r="D6282" s="8" t="s">
        <v>760</v>
      </c>
      <c r="E6282" s="52">
        <v>1024</v>
      </c>
      <c r="F6282" s="13"/>
      <c r="G6282" s="13">
        <v>2400</v>
      </c>
    </row>
    <row r="6283" spans="1:7" hidden="1" x14ac:dyDescent="0.75">
      <c r="A6283" s="51">
        <v>44928</v>
      </c>
      <c r="B6283" s="52">
        <v>408</v>
      </c>
      <c r="C6283" s="8" t="s">
        <v>2389</v>
      </c>
      <c r="D6283" s="8" t="s">
        <v>760</v>
      </c>
      <c r="E6283" s="52">
        <v>719</v>
      </c>
      <c r="F6283" s="13"/>
      <c r="G6283" s="13">
        <v>612.15</v>
      </c>
    </row>
    <row r="6284" spans="1:7" hidden="1" x14ac:dyDescent="0.75">
      <c r="A6284" s="51">
        <v>44928</v>
      </c>
      <c r="B6284" s="52">
        <v>408</v>
      </c>
      <c r="C6284" s="8" t="s">
        <v>2491</v>
      </c>
      <c r="D6284" s="8" t="s">
        <v>760</v>
      </c>
      <c r="E6284" s="52">
        <v>1024</v>
      </c>
      <c r="F6284" s="13"/>
      <c r="G6284" s="13">
        <v>3453</v>
      </c>
    </row>
    <row r="6285" spans="1:7" hidden="1" x14ac:dyDescent="0.75">
      <c r="A6285" s="51">
        <v>44928</v>
      </c>
      <c r="B6285" s="52">
        <v>408</v>
      </c>
      <c r="C6285" s="8" t="s">
        <v>2963</v>
      </c>
      <c r="D6285" s="8" t="s">
        <v>760</v>
      </c>
      <c r="E6285" s="52">
        <v>1765</v>
      </c>
      <c r="F6285" s="13"/>
      <c r="G6285" s="13">
        <v>1686.35</v>
      </c>
    </row>
    <row r="6286" spans="1:7" hidden="1" x14ac:dyDescent="0.75">
      <c r="A6286" s="51">
        <v>44928</v>
      </c>
      <c r="B6286" s="52">
        <v>408</v>
      </c>
      <c r="C6286" s="8" t="s">
        <v>3110</v>
      </c>
      <c r="D6286" s="8" t="s">
        <v>760</v>
      </c>
      <c r="E6286" s="52">
        <v>1789</v>
      </c>
      <c r="F6286" s="13"/>
      <c r="G6286" s="13">
        <v>364.5</v>
      </c>
    </row>
    <row r="6287" spans="1:7" hidden="1" x14ac:dyDescent="0.75">
      <c r="A6287" s="51">
        <v>44928</v>
      </c>
      <c r="B6287" s="52">
        <v>408</v>
      </c>
      <c r="C6287" s="8" t="s">
        <v>2852</v>
      </c>
      <c r="D6287" s="8" t="s">
        <v>760</v>
      </c>
      <c r="E6287" s="52">
        <v>1788</v>
      </c>
      <c r="F6287" s="13"/>
      <c r="G6287" s="13">
        <v>364.5</v>
      </c>
    </row>
    <row r="6288" spans="1:7" hidden="1" x14ac:dyDescent="0.75">
      <c r="A6288" s="51">
        <v>44929</v>
      </c>
      <c r="B6288" s="52">
        <v>408</v>
      </c>
      <c r="C6288" s="8" t="s">
        <v>2977</v>
      </c>
      <c r="D6288" s="8" t="s">
        <v>760</v>
      </c>
      <c r="E6288" s="52">
        <v>1751</v>
      </c>
      <c r="F6288" s="13"/>
      <c r="G6288" s="13">
        <v>39</v>
      </c>
    </row>
    <row r="6289" spans="1:7" hidden="1" x14ac:dyDescent="0.75">
      <c r="A6289" s="51">
        <v>44929</v>
      </c>
      <c r="B6289" s="52">
        <v>408</v>
      </c>
      <c r="C6289" s="8" t="s">
        <v>3055</v>
      </c>
      <c r="D6289" s="8" t="s">
        <v>760</v>
      </c>
      <c r="E6289" s="52">
        <v>1696</v>
      </c>
      <c r="F6289" s="13"/>
      <c r="G6289" s="13">
        <v>287.10000000000002</v>
      </c>
    </row>
    <row r="6290" spans="1:7" hidden="1" x14ac:dyDescent="0.75">
      <c r="A6290" s="51">
        <v>44929</v>
      </c>
      <c r="B6290" s="52">
        <v>408</v>
      </c>
      <c r="C6290" s="8" t="s">
        <v>3081</v>
      </c>
      <c r="D6290" s="8" t="s">
        <v>760</v>
      </c>
      <c r="E6290" s="52">
        <v>1747</v>
      </c>
      <c r="F6290" s="13"/>
      <c r="G6290" s="13">
        <v>424.5</v>
      </c>
    </row>
    <row r="6291" spans="1:7" hidden="1" x14ac:dyDescent="0.75">
      <c r="A6291" s="51">
        <v>44929</v>
      </c>
      <c r="B6291" s="52">
        <v>408</v>
      </c>
      <c r="C6291" s="8" t="s">
        <v>2818</v>
      </c>
      <c r="D6291" s="8" t="s">
        <v>760</v>
      </c>
      <c r="E6291" s="52">
        <v>707</v>
      </c>
      <c r="F6291" s="13"/>
      <c r="G6291" s="13">
        <v>2345.9</v>
      </c>
    </row>
    <row r="6292" spans="1:7" hidden="1" x14ac:dyDescent="0.75">
      <c r="A6292" s="51">
        <v>44929</v>
      </c>
      <c r="B6292" s="52">
        <v>408</v>
      </c>
      <c r="C6292" s="8" t="s">
        <v>1953</v>
      </c>
      <c r="D6292" s="8" t="s">
        <v>760</v>
      </c>
      <c r="E6292" s="52">
        <v>709</v>
      </c>
      <c r="F6292" s="13"/>
      <c r="G6292" s="13">
        <v>2074.16</v>
      </c>
    </row>
    <row r="6293" spans="1:7" hidden="1" x14ac:dyDescent="0.75">
      <c r="A6293" s="51">
        <v>44929</v>
      </c>
      <c r="B6293" s="52">
        <v>408</v>
      </c>
      <c r="C6293" s="8" t="s">
        <v>2189</v>
      </c>
      <c r="D6293" s="8" t="s">
        <v>760</v>
      </c>
      <c r="E6293" s="52">
        <v>1736</v>
      </c>
      <c r="F6293" s="13"/>
      <c r="G6293" s="13">
        <v>887.78</v>
      </c>
    </row>
    <row r="6294" spans="1:7" hidden="1" x14ac:dyDescent="0.75">
      <c r="A6294" s="51">
        <v>44929</v>
      </c>
      <c r="B6294" s="52">
        <v>408</v>
      </c>
      <c r="C6294" s="8" t="s">
        <v>3005</v>
      </c>
      <c r="D6294" s="8" t="s">
        <v>760</v>
      </c>
      <c r="E6294" s="52">
        <v>1748</v>
      </c>
      <c r="F6294" s="13"/>
      <c r="G6294" s="13">
        <v>943.95</v>
      </c>
    </row>
    <row r="6295" spans="1:7" hidden="1" x14ac:dyDescent="0.75">
      <c r="A6295" s="51">
        <v>44929</v>
      </c>
      <c r="B6295" s="52">
        <v>408</v>
      </c>
      <c r="C6295" s="8" t="s">
        <v>3056</v>
      </c>
      <c r="D6295" s="8" t="s">
        <v>760</v>
      </c>
      <c r="E6295" s="52">
        <v>1696</v>
      </c>
      <c r="F6295" s="13"/>
      <c r="G6295" s="13">
        <v>500.8</v>
      </c>
    </row>
    <row r="6296" spans="1:7" hidden="1" x14ac:dyDescent="0.75">
      <c r="A6296" s="51">
        <v>44929</v>
      </c>
      <c r="B6296" s="52">
        <v>408</v>
      </c>
      <c r="C6296" s="8" t="s">
        <v>2978</v>
      </c>
      <c r="D6296" s="8" t="s">
        <v>760</v>
      </c>
      <c r="E6296" s="52">
        <v>1751</v>
      </c>
      <c r="F6296" s="13"/>
      <c r="G6296" s="13">
        <v>1533.8</v>
      </c>
    </row>
    <row r="6297" spans="1:7" hidden="1" x14ac:dyDescent="0.75">
      <c r="A6297" s="51">
        <v>44929</v>
      </c>
      <c r="B6297" s="52">
        <v>408</v>
      </c>
      <c r="C6297" s="8" t="s">
        <v>3030</v>
      </c>
      <c r="D6297" s="8" t="s">
        <v>760</v>
      </c>
      <c r="E6297" s="52">
        <v>1752</v>
      </c>
      <c r="F6297" s="13"/>
      <c r="G6297" s="13">
        <v>586.45000000000005</v>
      </c>
    </row>
    <row r="6298" spans="1:7" hidden="1" x14ac:dyDescent="0.75">
      <c r="A6298" s="51">
        <v>44929</v>
      </c>
      <c r="B6298" s="52">
        <v>408</v>
      </c>
      <c r="C6298" s="8" t="s">
        <v>3082</v>
      </c>
      <c r="D6298" s="8" t="s">
        <v>760</v>
      </c>
      <c r="E6298" s="52">
        <v>1747</v>
      </c>
      <c r="F6298" s="13"/>
      <c r="G6298" s="13">
        <v>1742.6</v>
      </c>
    </row>
    <row r="6299" spans="1:7" hidden="1" x14ac:dyDescent="0.75">
      <c r="A6299" s="51">
        <v>44929</v>
      </c>
      <c r="B6299" s="52">
        <v>408</v>
      </c>
      <c r="C6299" s="8" t="s">
        <v>2350</v>
      </c>
      <c r="D6299" s="8" t="s">
        <v>760</v>
      </c>
      <c r="E6299" s="52">
        <v>1818</v>
      </c>
      <c r="F6299" s="13"/>
      <c r="G6299" s="13">
        <v>1515.45</v>
      </c>
    </row>
    <row r="6300" spans="1:7" hidden="1" x14ac:dyDescent="0.75">
      <c r="A6300" s="51">
        <v>44929</v>
      </c>
      <c r="B6300" s="52">
        <v>408</v>
      </c>
      <c r="C6300" s="8" t="s">
        <v>2302</v>
      </c>
      <c r="D6300" s="8" t="s">
        <v>760</v>
      </c>
      <c r="E6300" s="52">
        <v>717</v>
      </c>
      <c r="F6300" s="13"/>
      <c r="G6300" s="13">
        <v>881</v>
      </c>
    </row>
    <row r="6301" spans="1:7" hidden="1" x14ac:dyDescent="0.75">
      <c r="A6301" s="51">
        <v>44929</v>
      </c>
      <c r="B6301" s="52">
        <v>408</v>
      </c>
      <c r="C6301" s="8" t="s">
        <v>2072</v>
      </c>
      <c r="D6301" s="8" t="s">
        <v>760</v>
      </c>
      <c r="E6301" s="52">
        <v>710</v>
      </c>
      <c r="F6301" s="13"/>
      <c r="G6301" s="13">
        <v>867</v>
      </c>
    </row>
    <row r="6302" spans="1:7" hidden="1" x14ac:dyDescent="0.75">
      <c r="A6302" s="51">
        <v>44929</v>
      </c>
      <c r="B6302" s="52">
        <v>408</v>
      </c>
      <c r="C6302" s="8" t="s">
        <v>2450</v>
      </c>
      <c r="D6302" s="8" t="s">
        <v>760</v>
      </c>
      <c r="E6302" s="52">
        <v>714</v>
      </c>
      <c r="F6302" s="13"/>
      <c r="G6302" s="13">
        <v>702.2</v>
      </c>
    </row>
    <row r="6303" spans="1:7" hidden="1" x14ac:dyDescent="0.75">
      <c r="A6303" s="51">
        <v>44929</v>
      </c>
      <c r="B6303" s="52">
        <v>408</v>
      </c>
      <c r="C6303" s="8" t="s">
        <v>1962</v>
      </c>
      <c r="D6303" s="8" t="s">
        <v>760</v>
      </c>
      <c r="E6303" s="52">
        <v>1124</v>
      </c>
      <c r="F6303" s="13"/>
      <c r="G6303" s="13">
        <v>2185.16</v>
      </c>
    </row>
    <row r="6304" spans="1:7" hidden="1" x14ac:dyDescent="0.75">
      <c r="A6304" s="51">
        <v>44929</v>
      </c>
      <c r="B6304" s="52">
        <v>408</v>
      </c>
      <c r="C6304" s="8" t="s">
        <v>2002</v>
      </c>
      <c r="D6304" s="8" t="s">
        <v>760</v>
      </c>
      <c r="E6304" s="52">
        <v>713</v>
      </c>
      <c r="F6304" s="13"/>
      <c r="G6304" s="13">
        <v>2178.5300000000002</v>
      </c>
    </row>
    <row r="6305" spans="1:7" hidden="1" x14ac:dyDescent="0.75">
      <c r="A6305" s="51">
        <v>44929</v>
      </c>
      <c r="B6305" s="52">
        <v>408</v>
      </c>
      <c r="C6305" s="8" t="s">
        <v>2034</v>
      </c>
      <c r="D6305" s="8" t="s">
        <v>760</v>
      </c>
      <c r="E6305" s="52">
        <v>711</v>
      </c>
      <c r="F6305" s="13"/>
      <c r="G6305" s="13">
        <v>1577.91</v>
      </c>
    </row>
    <row r="6306" spans="1:7" hidden="1" x14ac:dyDescent="0.75">
      <c r="A6306" s="51">
        <v>44929</v>
      </c>
      <c r="B6306" s="52">
        <v>408</v>
      </c>
      <c r="C6306" s="8" t="s">
        <v>2114</v>
      </c>
      <c r="D6306" s="8" t="s">
        <v>760</v>
      </c>
      <c r="E6306" s="52">
        <v>712</v>
      </c>
      <c r="F6306" s="13"/>
      <c r="G6306" s="13">
        <v>5482.95</v>
      </c>
    </row>
    <row r="6307" spans="1:7" hidden="1" x14ac:dyDescent="0.75">
      <c r="A6307" s="51">
        <v>44929</v>
      </c>
      <c r="B6307" s="52">
        <v>408</v>
      </c>
      <c r="C6307" s="8" t="s">
        <v>2819</v>
      </c>
      <c r="D6307" s="8" t="s">
        <v>760</v>
      </c>
      <c r="E6307" s="52">
        <v>707</v>
      </c>
      <c r="F6307" s="13"/>
      <c r="G6307" s="13">
        <v>1395.2</v>
      </c>
    </row>
    <row r="6308" spans="1:7" hidden="1" x14ac:dyDescent="0.75">
      <c r="A6308" s="51">
        <v>44929</v>
      </c>
      <c r="B6308" s="52">
        <v>408</v>
      </c>
      <c r="C6308" s="8" t="s">
        <v>2872</v>
      </c>
      <c r="D6308" s="8" t="s">
        <v>760</v>
      </c>
      <c r="E6308" s="52">
        <v>1508</v>
      </c>
      <c r="F6308" s="13"/>
      <c r="G6308" s="13">
        <v>2504.1999999999998</v>
      </c>
    </row>
    <row r="6309" spans="1:7" hidden="1" x14ac:dyDescent="0.75">
      <c r="A6309" s="51">
        <v>44929</v>
      </c>
      <c r="B6309" s="52">
        <v>408</v>
      </c>
      <c r="C6309" s="8" t="s">
        <v>2873</v>
      </c>
      <c r="D6309" s="8" t="s">
        <v>760</v>
      </c>
      <c r="E6309" s="52">
        <v>1508</v>
      </c>
      <c r="F6309" s="13"/>
      <c r="G6309" s="13">
        <v>3434</v>
      </c>
    </row>
    <row r="6310" spans="1:7" hidden="1" x14ac:dyDescent="0.75">
      <c r="A6310" s="51">
        <v>44929</v>
      </c>
      <c r="B6310" s="52">
        <v>408</v>
      </c>
      <c r="C6310" s="8" t="s">
        <v>2522</v>
      </c>
      <c r="D6310" s="8" t="s">
        <v>760</v>
      </c>
      <c r="E6310" s="52">
        <v>1024</v>
      </c>
      <c r="F6310" s="13"/>
      <c r="G6310" s="13">
        <v>1288</v>
      </c>
    </row>
    <row r="6311" spans="1:7" hidden="1" x14ac:dyDescent="0.75">
      <c r="A6311" s="51">
        <v>44929</v>
      </c>
      <c r="B6311" s="52">
        <v>408</v>
      </c>
      <c r="C6311" s="8" t="s">
        <v>2523</v>
      </c>
      <c r="D6311" s="8" t="s">
        <v>760</v>
      </c>
      <c r="E6311" s="52">
        <v>1024</v>
      </c>
      <c r="F6311" s="13"/>
      <c r="G6311" s="13">
        <v>4250</v>
      </c>
    </row>
    <row r="6312" spans="1:7" hidden="1" x14ac:dyDescent="0.75">
      <c r="A6312" s="51">
        <v>44929</v>
      </c>
      <c r="B6312" s="52">
        <v>408</v>
      </c>
      <c r="C6312" s="8" t="s">
        <v>2524</v>
      </c>
      <c r="D6312" s="8" t="s">
        <v>760</v>
      </c>
      <c r="E6312" s="52">
        <v>1024</v>
      </c>
      <c r="F6312" s="13"/>
      <c r="G6312" s="13">
        <v>356.25</v>
      </c>
    </row>
    <row r="6313" spans="1:7" hidden="1" x14ac:dyDescent="0.75">
      <c r="A6313" s="51">
        <v>44930</v>
      </c>
      <c r="B6313" s="52">
        <v>408</v>
      </c>
      <c r="C6313" s="8" t="s">
        <v>3083</v>
      </c>
      <c r="D6313" s="8" t="s">
        <v>760</v>
      </c>
      <c r="E6313" s="52">
        <v>1747</v>
      </c>
      <c r="F6313" s="13"/>
      <c r="G6313" s="13">
        <v>3540</v>
      </c>
    </row>
    <row r="6314" spans="1:7" hidden="1" x14ac:dyDescent="0.75">
      <c r="A6314" s="51">
        <v>44930</v>
      </c>
      <c r="B6314" s="52">
        <v>408</v>
      </c>
      <c r="C6314" s="8" t="s">
        <v>2255</v>
      </c>
      <c r="D6314" s="8" t="s">
        <v>760</v>
      </c>
      <c r="E6314" s="52">
        <v>806</v>
      </c>
      <c r="F6314" s="13"/>
      <c r="G6314" s="13">
        <v>2236</v>
      </c>
    </row>
    <row r="6315" spans="1:7" hidden="1" x14ac:dyDescent="0.75">
      <c r="A6315" s="51">
        <v>44930</v>
      </c>
      <c r="B6315" s="52">
        <v>408</v>
      </c>
      <c r="C6315" s="8" t="s">
        <v>2256</v>
      </c>
      <c r="D6315" s="8" t="s">
        <v>760</v>
      </c>
      <c r="E6315" s="52">
        <v>806</v>
      </c>
      <c r="F6315" s="13"/>
      <c r="G6315" s="13">
        <v>594</v>
      </c>
    </row>
    <row r="6316" spans="1:7" hidden="1" x14ac:dyDescent="0.75">
      <c r="A6316" s="51">
        <v>44930</v>
      </c>
      <c r="B6316" s="52">
        <v>408</v>
      </c>
      <c r="C6316" s="8" t="s">
        <v>2232</v>
      </c>
      <c r="D6316" s="8" t="s">
        <v>760</v>
      </c>
      <c r="E6316" s="52">
        <v>804</v>
      </c>
      <c r="F6316" s="13"/>
      <c r="G6316" s="13">
        <v>538.75</v>
      </c>
    </row>
    <row r="6317" spans="1:7" hidden="1" x14ac:dyDescent="0.75">
      <c r="A6317" s="51">
        <v>44930</v>
      </c>
      <c r="B6317" s="52">
        <v>408</v>
      </c>
      <c r="C6317" s="8" t="s">
        <v>2065</v>
      </c>
      <c r="D6317" s="8" t="s">
        <v>760</v>
      </c>
      <c r="E6317" s="52">
        <v>1729</v>
      </c>
      <c r="F6317" s="13"/>
      <c r="G6317" s="13">
        <v>912.84</v>
      </c>
    </row>
    <row r="6318" spans="1:7" hidden="1" x14ac:dyDescent="0.75">
      <c r="A6318" s="51">
        <v>44930</v>
      </c>
      <c r="B6318" s="52">
        <v>408</v>
      </c>
      <c r="C6318" s="8" t="s">
        <v>3124</v>
      </c>
      <c r="D6318" s="8" t="s">
        <v>760</v>
      </c>
      <c r="E6318" s="52">
        <v>1852</v>
      </c>
      <c r="F6318" s="13"/>
      <c r="G6318" s="13">
        <v>2293.9499999999998</v>
      </c>
    </row>
    <row r="6319" spans="1:7" hidden="1" x14ac:dyDescent="0.75">
      <c r="A6319" s="51">
        <v>44930</v>
      </c>
      <c r="B6319" s="52">
        <v>408</v>
      </c>
      <c r="C6319" s="8" t="s">
        <v>3125</v>
      </c>
      <c r="D6319" s="8" t="s">
        <v>760</v>
      </c>
      <c r="E6319" s="52">
        <v>1852</v>
      </c>
      <c r="F6319" s="13"/>
      <c r="G6319" s="13">
        <v>89.5</v>
      </c>
    </row>
    <row r="6320" spans="1:7" hidden="1" x14ac:dyDescent="0.75">
      <c r="A6320" s="51">
        <v>44930</v>
      </c>
      <c r="B6320" s="52">
        <v>408</v>
      </c>
      <c r="C6320" s="8" t="s">
        <v>3084</v>
      </c>
      <c r="D6320" s="8" t="s">
        <v>760</v>
      </c>
      <c r="E6320" s="52">
        <v>1747</v>
      </c>
      <c r="F6320" s="13"/>
      <c r="G6320" s="13">
        <v>750.7</v>
      </c>
    </row>
    <row r="6321" spans="1:7" hidden="1" x14ac:dyDescent="0.75">
      <c r="A6321" s="51">
        <v>44930</v>
      </c>
      <c r="B6321" s="52">
        <v>408</v>
      </c>
      <c r="C6321" s="8" t="s">
        <v>2351</v>
      </c>
      <c r="D6321" s="8" t="s">
        <v>760</v>
      </c>
      <c r="E6321" s="52">
        <v>1818</v>
      </c>
      <c r="F6321" s="13"/>
      <c r="G6321" s="13">
        <v>2222.1999999999998</v>
      </c>
    </row>
    <row r="6322" spans="1:7" hidden="1" x14ac:dyDescent="0.75">
      <c r="A6322" s="51">
        <v>44930</v>
      </c>
      <c r="B6322" s="52">
        <v>408</v>
      </c>
      <c r="C6322" s="8" t="s">
        <v>2451</v>
      </c>
      <c r="D6322" s="8" t="s">
        <v>760</v>
      </c>
      <c r="E6322" s="52">
        <v>714</v>
      </c>
      <c r="F6322" s="13"/>
      <c r="G6322" s="13">
        <v>631.5</v>
      </c>
    </row>
    <row r="6323" spans="1:7" hidden="1" x14ac:dyDescent="0.75">
      <c r="A6323" s="51">
        <v>44930</v>
      </c>
      <c r="B6323" s="52">
        <v>408</v>
      </c>
      <c r="C6323" s="8" t="s">
        <v>2303</v>
      </c>
      <c r="D6323" s="8" t="s">
        <v>760</v>
      </c>
      <c r="E6323" s="52">
        <v>717</v>
      </c>
      <c r="F6323" s="13"/>
      <c r="G6323" s="13">
        <v>724</v>
      </c>
    </row>
    <row r="6324" spans="1:7" hidden="1" x14ac:dyDescent="0.75">
      <c r="A6324" s="51">
        <v>44930</v>
      </c>
      <c r="B6324" s="52">
        <v>408</v>
      </c>
      <c r="C6324" s="8" t="s">
        <v>2152</v>
      </c>
      <c r="D6324" s="8" t="s">
        <v>760</v>
      </c>
      <c r="E6324" s="52">
        <v>716</v>
      </c>
      <c r="F6324" s="13"/>
      <c r="G6324" s="13">
        <v>1186.68</v>
      </c>
    </row>
    <row r="6325" spans="1:7" hidden="1" x14ac:dyDescent="0.75">
      <c r="A6325" s="51">
        <v>44930</v>
      </c>
      <c r="B6325" s="52">
        <v>408</v>
      </c>
      <c r="C6325" s="8" t="s">
        <v>2035</v>
      </c>
      <c r="D6325" s="8" t="s">
        <v>760</v>
      </c>
      <c r="E6325" s="52">
        <v>711</v>
      </c>
      <c r="F6325" s="13"/>
      <c r="G6325" s="13">
        <v>1451.05</v>
      </c>
    </row>
    <row r="6326" spans="1:7" hidden="1" x14ac:dyDescent="0.75">
      <c r="A6326" s="51">
        <v>44930</v>
      </c>
      <c r="B6326" s="52">
        <v>408</v>
      </c>
      <c r="C6326" s="8" t="s">
        <v>2003</v>
      </c>
      <c r="D6326" s="8" t="s">
        <v>760</v>
      </c>
      <c r="E6326" s="52">
        <v>713</v>
      </c>
      <c r="F6326" s="13"/>
      <c r="G6326" s="13">
        <v>1141.23</v>
      </c>
    </row>
    <row r="6327" spans="1:7" hidden="1" x14ac:dyDescent="0.75">
      <c r="A6327" s="51">
        <v>44930</v>
      </c>
      <c r="B6327" s="52">
        <v>408</v>
      </c>
      <c r="C6327" s="8" t="s">
        <v>1963</v>
      </c>
      <c r="D6327" s="8" t="s">
        <v>760</v>
      </c>
      <c r="E6327" s="52">
        <v>1124</v>
      </c>
      <c r="F6327" s="13"/>
      <c r="G6327" s="13">
        <v>1661.93</v>
      </c>
    </row>
    <row r="6328" spans="1:7" hidden="1" x14ac:dyDescent="0.75">
      <c r="A6328" s="51">
        <v>44930</v>
      </c>
      <c r="B6328" s="52">
        <v>408</v>
      </c>
      <c r="C6328" s="8" t="s">
        <v>2073</v>
      </c>
      <c r="D6328" s="8" t="s">
        <v>760</v>
      </c>
      <c r="E6328" s="52">
        <v>710</v>
      </c>
      <c r="F6328" s="13"/>
      <c r="G6328" s="13">
        <v>1435.93</v>
      </c>
    </row>
    <row r="6329" spans="1:7" hidden="1" x14ac:dyDescent="0.75">
      <c r="A6329" s="51">
        <v>44930</v>
      </c>
      <c r="B6329" s="52">
        <v>408</v>
      </c>
      <c r="C6329" s="8" t="s">
        <v>2115</v>
      </c>
      <c r="D6329" s="8" t="s">
        <v>760</v>
      </c>
      <c r="E6329" s="52">
        <v>712</v>
      </c>
      <c r="F6329" s="13"/>
      <c r="G6329" s="13">
        <v>1791.69</v>
      </c>
    </row>
    <row r="6330" spans="1:7" hidden="1" x14ac:dyDescent="0.75">
      <c r="A6330" s="51">
        <v>44930</v>
      </c>
      <c r="B6330" s="52">
        <v>408</v>
      </c>
      <c r="C6330" s="8" t="s">
        <v>2396</v>
      </c>
      <c r="D6330" s="8" t="s">
        <v>760</v>
      </c>
      <c r="E6330" s="52">
        <v>719</v>
      </c>
      <c r="F6330" s="13"/>
      <c r="G6330" s="13">
        <v>318.38</v>
      </c>
    </row>
    <row r="6331" spans="1:7" hidden="1" x14ac:dyDescent="0.75">
      <c r="A6331" s="51">
        <v>44930</v>
      </c>
      <c r="B6331" s="52">
        <v>408</v>
      </c>
      <c r="C6331" s="8" t="s">
        <v>2739</v>
      </c>
      <c r="D6331" s="8" t="s">
        <v>760</v>
      </c>
      <c r="E6331" s="52">
        <v>884</v>
      </c>
      <c r="F6331" s="13"/>
      <c r="G6331" s="13">
        <v>550</v>
      </c>
    </row>
    <row r="6332" spans="1:7" hidden="1" x14ac:dyDescent="0.75">
      <c r="A6332" s="51">
        <v>44930</v>
      </c>
      <c r="B6332" s="52">
        <v>408</v>
      </c>
      <c r="C6332" s="8" t="s">
        <v>2668</v>
      </c>
      <c r="D6332" s="8" t="s">
        <v>760</v>
      </c>
      <c r="E6332" s="52">
        <v>883</v>
      </c>
      <c r="F6332" s="13"/>
      <c r="G6332" s="13">
        <v>1147.5</v>
      </c>
    </row>
    <row r="6333" spans="1:7" hidden="1" x14ac:dyDescent="0.75">
      <c r="A6333" s="51">
        <v>44930</v>
      </c>
      <c r="B6333" s="52">
        <v>408</v>
      </c>
      <c r="C6333" s="8" t="s">
        <v>2785</v>
      </c>
      <c r="D6333" s="8" t="s">
        <v>760</v>
      </c>
      <c r="E6333" s="52">
        <v>1025</v>
      </c>
      <c r="F6333" s="13"/>
      <c r="G6333" s="13">
        <v>2064.8000000000002</v>
      </c>
    </row>
    <row r="6334" spans="1:7" hidden="1" x14ac:dyDescent="0.75">
      <c r="A6334" s="51">
        <v>44930</v>
      </c>
      <c r="B6334" s="52">
        <v>408</v>
      </c>
      <c r="C6334" s="8" t="s">
        <v>2702</v>
      </c>
      <c r="D6334" s="8" t="s">
        <v>760</v>
      </c>
      <c r="E6334" s="52">
        <v>885</v>
      </c>
      <c r="F6334" s="13"/>
      <c r="G6334" s="13">
        <v>1009.5</v>
      </c>
    </row>
    <row r="6335" spans="1:7" hidden="1" x14ac:dyDescent="0.75">
      <c r="A6335" s="51">
        <v>44930</v>
      </c>
      <c r="B6335" s="52">
        <v>408</v>
      </c>
      <c r="C6335" s="8" t="s">
        <v>2786</v>
      </c>
      <c r="D6335" s="8" t="s">
        <v>760</v>
      </c>
      <c r="E6335" s="52">
        <v>1025</v>
      </c>
      <c r="F6335" s="13"/>
      <c r="G6335" s="13">
        <v>479.5</v>
      </c>
    </row>
    <row r="6336" spans="1:7" hidden="1" x14ac:dyDescent="0.75">
      <c r="A6336" s="51">
        <v>44930</v>
      </c>
      <c r="B6336" s="52">
        <v>408</v>
      </c>
      <c r="C6336" s="8" t="s">
        <v>2740</v>
      </c>
      <c r="D6336" s="8" t="s">
        <v>760</v>
      </c>
      <c r="E6336" s="52">
        <v>884</v>
      </c>
      <c r="F6336" s="13"/>
      <c r="G6336" s="13">
        <v>3855.7</v>
      </c>
    </row>
    <row r="6337" spans="1:7" hidden="1" x14ac:dyDescent="0.75">
      <c r="A6337" s="51">
        <v>44930</v>
      </c>
      <c r="B6337" s="52">
        <v>408</v>
      </c>
      <c r="C6337" s="8" t="s">
        <v>2720</v>
      </c>
      <c r="D6337" s="8" t="s">
        <v>760</v>
      </c>
      <c r="E6337" s="52">
        <v>882</v>
      </c>
      <c r="F6337" s="13"/>
      <c r="G6337" s="13">
        <v>276.3</v>
      </c>
    </row>
    <row r="6338" spans="1:7" hidden="1" x14ac:dyDescent="0.75">
      <c r="A6338" s="51">
        <v>44930</v>
      </c>
      <c r="B6338" s="52">
        <v>408</v>
      </c>
      <c r="C6338" s="8" t="s">
        <v>2669</v>
      </c>
      <c r="D6338" s="8" t="s">
        <v>760</v>
      </c>
      <c r="E6338" s="52">
        <v>883</v>
      </c>
      <c r="F6338" s="13"/>
      <c r="G6338" s="13">
        <v>3857.2</v>
      </c>
    </row>
    <row r="6339" spans="1:7" hidden="1" x14ac:dyDescent="0.75">
      <c r="A6339" s="51">
        <v>44930</v>
      </c>
      <c r="B6339" s="52">
        <v>408</v>
      </c>
      <c r="C6339" s="8" t="s">
        <v>3111</v>
      </c>
      <c r="D6339" s="8" t="s">
        <v>760</v>
      </c>
      <c r="E6339" s="52">
        <v>1789</v>
      </c>
      <c r="F6339" s="13"/>
      <c r="G6339" s="13">
        <v>306</v>
      </c>
    </row>
    <row r="6340" spans="1:7" hidden="1" x14ac:dyDescent="0.75">
      <c r="A6340" s="51">
        <v>44930</v>
      </c>
      <c r="B6340" s="52">
        <v>408</v>
      </c>
      <c r="C6340" s="8" t="s">
        <v>2853</v>
      </c>
      <c r="D6340" s="8" t="s">
        <v>760</v>
      </c>
      <c r="E6340" s="52">
        <v>1788</v>
      </c>
      <c r="F6340" s="13"/>
      <c r="G6340" s="13">
        <v>306</v>
      </c>
    </row>
    <row r="6341" spans="1:7" hidden="1" x14ac:dyDescent="0.75">
      <c r="A6341" s="51">
        <v>44930</v>
      </c>
      <c r="B6341" s="52">
        <v>408</v>
      </c>
      <c r="C6341" s="8" t="s">
        <v>2964</v>
      </c>
      <c r="D6341" s="8" t="s">
        <v>760</v>
      </c>
      <c r="E6341" s="52">
        <v>1765</v>
      </c>
      <c r="F6341" s="13"/>
      <c r="G6341" s="13">
        <v>2039</v>
      </c>
    </row>
    <row r="6342" spans="1:7" hidden="1" x14ac:dyDescent="0.75">
      <c r="A6342" s="51">
        <v>44930</v>
      </c>
      <c r="B6342" s="52">
        <v>408</v>
      </c>
      <c r="C6342" s="8" t="s">
        <v>2190</v>
      </c>
      <c r="D6342" s="8" t="s">
        <v>760</v>
      </c>
      <c r="E6342" s="52">
        <v>1736</v>
      </c>
      <c r="F6342" s="13"/>
      <c r="G6342" s="13">
        <v>1441.9</v>
      </c>
    </row>
    <row r="6343" spans="1:7" hidden="1" x14ac:dyDescent="0.75">
      <c r="A6343" s="51">
        <v>44930</v>
      </c>
      <c r="B6343" s="52">
        <v>408</v>
      </c>
      <c r="C6343" s="8" t="s">
        <v>2191</v>
      </c>
      <c r="D6343" s="8" t="s">
        <v>760</v>
      </c>
      <c r="E6343" s="52">
        <v>1736</v>
      </c>
      <c r="F6343" s="13"/>
      <c r="G6343" s="13">
        <v>1881</v>
      </c>
    </row>
    <row r="6344" spans="1:7" hidden="1" x14ac:dyDescent="0.75">
      <c r="A6344" s="51">
        <v>44930</v>
      </c>
      <c r="B6344" s="52">
        <v>408</v>
      </c>
      <c r="C6344" s="8" t="s">
        <v>2192</v>
      </c>
      <c r="D6344" s="8" t="s">
        <v>760</v>
      </c>
      <c r="E6344" s="52">
        <v>1736</v>
      </c>
      <c r="F6344" s="13"/>
      <c r="G6344" s="13">
        <v>521.29999999999995</v>
      </c>
    </row>
    <row r="6345" spans="1:7" hidden="1" x14ac:dyDescent="0.75">
      <c r="A6345" s="51">
        <v>44930</v>
      </c>
      <c r="B6345" s="52">
        <v>408</v>
      </c>
      <c r="C6345" s="8" t="s">
        <v>2193</v>
      </c>
      <c r="D6345" s="8" t="s">
        <v>760</v>
      </c>
      <c r="E6345" s="52">
        <v>1736</v>
      </c>
      <c r="F6345" s="13"/>
      <c r="G6345" s="13">
        <v>951.11</v>
      </c>
    </row>
    <row r="6346" spans="1:7" hidden="1" x14ac:dyDescent="0.75">
      <c r="A6346" s="51">
        <v>44930</v>
      </c>
      <c r="B6346" s="52">
        <v>408</v>
      </c>
      <c r="C6346" s="8" t="s">
        <v>2525</v>
      </c>
      <c r="D6346" s="8" t="s">
        <v>760</v>
      </c>
      <c r="E6346" s="52">
        <v>1024</v>
      </c>
      <c r="F6346" s="13"/>
      <c r="G6346" s="13">
        <v>1335</v>
      </c>
    </row>
    <row r="6347" spans="1:7" hidden="1" x14ac:dyDescent="0.75">
      <c r="A6347" s="51">
        <v>44930</v>
      </c>
      <c r="B6347" s="52">
        <v>408</v>
      </c>
      <c r="C6347" s="8" t="s">
        <v>2526</v>
      </c>
      <c r="D6347" s="8" t="s">
        <v>760</v>
      </c>
      <c r="E6347" s="52">
        <v>1024</v>
      </c>
      <c r="F6347" s="13"/>
      <c r="G6347" s="13">
        <v>960</v>
      </c>
    </row>
    <row r="6348" spans="1:7" hidden="1" x14ac:dyDescent="0.75">
      <c r="A6348" s="51">
        <v>44931</v>
      </c>
      <c r="B6348" s="52">
        <v>408</v>
      </c>
      <c r="C6348" s="8" t="s">
        <v>2100</v>
      </c>
      <c r="D6348" s="8" t="s">
        <v>760</v>
      </c>
      <c r="E6348" s="52">
        <v>720</v>
      </c>
      <c r="F6348" s="13"/>
      <c r="G6348" s="13">
        <v>2024.32</v>
      </c>
    </row>
    <row r="6349" spans="1:7" hidden="1" x14ac:dyDescent="0.75">
      <c r="A6349" s="51">
        <v>44931</v>
      </c>
      <c r="B6349" s="52">
        <v>408</v>
      </c>
      <c r="C6349" s="8" t="s">
        <v>2820</v>
      </c>
      <c r="D6349" s="8" t="s">
        <v>760</v>
      </c>
      <c r="E6349" s="52">
        <v>707</v>
      </c>
      <c r="F6349" s="13"/>
      <c r="G6349" s="13">
        <v>2370.75</v>
      </c>
    </row>
    <row r="6350" spans="1:7" hidden="1" x14ac:dyDescent="0.75">
      <c r="A6350" s="51">
        <v>44931</v>
      </c>
      <c r="B6350" s="52">
        <v>408</v>
      </c>
      <c r="C6350" s="8" t="s">
        <v>3085</v>
      </c>
      <c r="D6350" s="8" t="s">
        <v>760</v>
      </c>
      <c r="E6350" s="52">
        <v>1747</v>
      </c>
      <c r="F6350" s="13"/>
      <c r="G6350" s="13">
        <v>1126.55</v>
      </c>
    </row>
    <row r="6351" spans="1:7" hidden="1" x14ac:dyDescent="0.75">
      <c r="A6351" s="51">
        <v>44931</v>
      </c>
      <c r="B6351" s="52">
        <v>408</v>
      </c>
      <c r="C6351" s="8" t="s">
        <v>3086</v>
      </c>
      <c r="D6351" s="8" t="s">
        <v>760</v>
      </c>
      <c r="E6351" s="52">
        <v>1747</v>
      </c>
      <c r="F6351" s="13"/>
      <c r="G6351" s="13">
        <v>272.39999999999998</v>
      </c>
    </row>
    <row r="6352" spans="1:7" hidden="1" x14ac:dyDescent="0.75">
      <c r="A6352" s="51">
        <v>44931</v>
      </c>
      <c r="B6352" s="52">
        <v>408</v>
      </c>
      <c r="C6352" s="8" t="s">
        <v>3031</v>
      </c>
      <c r="D6352" s="8" t="s">
        <v>760</v>
      </c>
      <c r="E6352" s="52">
        <v>1752</v>
      </c>
      <c r="F6352" s="13"/>
      <c r="G6352" s="13">
        <v>326.10000000000002</v>
      </c>
    </row>
    <row r="6353" spans="1:7" hidden="1" x14ac:dyDescent="0.75">
      <c r="A6353" s="51">
        <v>44931</v>
      </c>
      <c r="B6353" s="52">
        <v>408</v>
      </c>
      <c r="C6353" s="8" t="s">
        <v>3032</v>
      </c>
      <c r="D6353" s="8" t="s">
        <v>760</v>
      </c>
      <c r="E6353" s="52">
        <v>1752</v>
      </c>
      <c r="F6353" s="13"/>
      <c r="G6353" s="13">
        <v>785.25</v>
      </c>
    </row>
    <row r="6354" spans="1:7" hidden="1" x14ac:dyDescent="0.75">
      <c r="A6354" s="51">
        <v>44931</v>
      </c>
      <c r="B6354" s="52">
        <v>408</v>
      </c>
      <c r="C6354" s="8" t="s">
        <v>2979</v>
      </c>
      <c r="D6354" s="8" t="s">
        <v>760</v>
      </c>
      <c r="E6354" s="52">
        <v>1751</v>
      </c>
      <c r="F6354" s="13"/>
      <c r="G6354" s="13">
        <v>39</v>
      </c>
    </row>
    <row r="6355" spans="1:7" hidden="1" x14ac:dyDescent="0.75">
      <c r="A6355" s="51">
        <v>44931</v>
      </c>
      <c r="B6355" s="52">
        <v>408</v>
      </c>
      <c r="C6355" s="8" t="s">
        <v>3006</v>
      </c>
      <c r="D6355" s="8" t="s">
        <v>760</v>
      </c>
      <c r="E6355" s="52">
        <v>1748</v>
      </c>
      <c r="F6355" s="13"/>
      <c r="G6355" s="13">
        <v>326.10000000000002</v>
      </c>
    </row>
    <row r="6356" spans="1:7" hidden="1" x14ac:dyDescent="0.75">
      <c r="A6356" s="51">
        <v>44931</v>
      </c>
      <c r="B6356" s="52">
        <v>408</v>
      </c>
      <c r="C6356" s="8" t="s">
        <v>3057</v>
      </c>
      <c r="D6356" s="8" t="s">
        <v>760</v>
      </c>
      <c r="E6356" s="52">
        <v>1696</v>
      </c>
      <c r="F6356" s="13"/>
      <c r="G6356" s="13">
        <v>181.45</v>
      </c>
    </row>
    <row r="6357" spans="1:7" hidden="1" x14ac:dyDescent="0.75">
      <c r="A6357" s="51">
        <v>44931</v>
      </c>
      <c r="B6357" s="52">
        <v>408</v>
      </c>
      <c r="C6357" s="8" t="s">
        <v>2980</v>
      </c>
      <c r="D6357" s="8" t="s">
        <v>760</v>
      </c>
      <c r="E6357" s="52">
        <v>1751</v>
      </c>
      <c r="F6357" s="13"/>
      <c r="G6357" s="13">
        <v>1492.15</v>
      </c>
    </row>
    <row r="6358" spans="1:7" hidden="1" x14ac:dyDescent="0.75">
      <c r="A6358" s="51">
        <v>44931</v>
      </c>
      <c r="B6358" s="52">
        <v>408</v>
      </c>
      <c r="C6358" s="8" t="s">
        <v>3007</v>
      </c>
      <c r="D6358" s="8" t="s">
        <v>760</v>
      </c>
      <c r="E6358" s="52">
        <v>1748</v>
      </c>
      <c r="F6358" s="13"/>
      <c r="G6358" s="13">
        <v>980.25</v>
      </c>
    </row>
    <row r="6359" spans="1:7" hidden="1" x14ac:dyDescent="0.75">
      <c r="A6359" s="51">
        <v>44931</v>
      </c>
      <c r="B6359" s="52">
        <v>408</v>
      </c>
      <c r="C6359" s="8" t="s">
        <v>3058</v>
      </c>
      <c r="D6359" s="8" t="s">
        <v>760</v>
      </c>
      <c r="E6359" s="52">
        <v>1696</v>
      </c>
      <c r="F6359" s="13"/>
      <c r="G6359" s="13">
        <v>644.85</v>
      </c>
    </row>
    <row r="6360" spans="1:7" hidden="1" x14ac:dyDescent="0.75">
      <c r="A6360" s="51">
        <v>44931</v>
      </c>
      <c r="B6360" s="52">
        <v>408</v>
      </c>
      <c r="C6360" s="8" t="s">
        <v>2865</v>
      </c>
      <c r="D6360" s="8" t="s">
        <v>760</v>
      </c>
      <c r="E6360" s="52">
        <v>1543</v>
      </c>
      <c r="F6360" s="13"/>
      <c r="G6360" s="13">
        <v>565.28</v>
      </c>
    </row>
    <row r="6361" spans="1:7" hidden="1" x14ac:dyDescent="0.75">
      <c r="A6361" s="51">
        <v>44931</v>
      </c>
      <c r="B6361" s="52">
        <v>408</v>
      </c>
      <c r="C6361" s="8" t="s">
        <v>2074</v>
      </c>
      <c r="D6361" s="8" t="s">
        <v>760</v>
      </c>
      <c r="E6361" s="52">
        <v>710</v>
      </c>
      <c r="F6361" s="13"/>
      <c r="G6361" s="13">
        <v>1280.97</v>
      </c>
    </row>
    <row r="6362" spans="1:7" hidden="1" x14ac:dyDescent="0.75">
      <c r="A6362" s="51">
        <v>44931</v>
      </c>
      <c r="B6362" s="52">
        <v>408</v>
      </c>
      <c r="C6362" s="8" t="s">
        <v>2352</v>
      </c>
      <c r="D6362" s="8" t="s">
        <v>760</v>
      </c>
      <c r="E6362" s="52">
        <v>1818</v>
      </c>
      <c r="F6362" s="13"/>
      <c r="G6362" s="13">
        <v>2361.5</v>
      </c>
    </row>
    <row r="6363" spans="1:7" hidden="1" x14ac:dyDescent="0.75">
      <c r="A6363" s="51">
        <v>44931</v>
      </c>
      <c r="B6363" s="52">
        <v>408</v>
      </c>
      <c r="C6363" s="8" t="s">
        <v>2419</v>
      </c>
      <c r="D6363" s="8" t="s">
        <v>760</v>
      </c>
      <c r="E6363" s="52">
        <v>1821</v>
      </c>
      <c r="F6363" s="13"/>
      <c r="G6363" s="13">
        <v>219.7</v>
      </c>
    </row>
    <row r="6364" spans="1:7" hidden="1" x14ac:dyDescent="0.75">
      <c r="A6364" s="51">
        <v>44931</v>
      </c>
      <c r="B6364" s="52">
        <v>408</v>
      </c>
      <c r="C6364" s="8" t="s">
        <v>2304</v>
      </c>
      <c r="D6364" s="8" t="s">
        <v>760</v>
      </c>
      <c r="E6364" s="52">
        <v>717</v>
      </c>
      <c r="F6364" s="13"/>
      <c r="G6364" s="13">
        <v>1153.0999999999999</v>
      </c>
    </row>
    <row r="6365" spans="1:7" hidden="1" x14ac:dyDescent="0.75">
      <c r="A6365" s="51">
        <v>44931</v>
      </c>
      <c r="B6365" s="52">
        <v>408</v>
      </c>
      <c r="C6365" s="8" t="s">
        <v>2153</v>
      </c>
      <c r="D6365" s="8" t="s">
        <v>760</v>
      </c>
      <c r="E6365" s="52">
        <v>716</v>
      </c>
      <c r="F6365" s="13"/>
      <c r="G6365" s="13">
        <v>629.5</v>
      </c>
    </row>
    <row r="6366" spans="1:7" hidden="1" x14ac:dyDescent="0.75">
      <c r="A6366" s="51">
        <v>44931</v>
      </c>
      <c r="B6366" s="52">
        <v>408</v>
      </c>
      <c r="C6366" s="8" t="s">
        <v>2116</v>
      </c>
      <c r="D6366" s="8" t="s">
        <v>760</v>
      </c>
      <c r="E6366" s="52">
        <v>712</v>
      </c>
      <c r="F6366" s="13"/>
      <c r="G6366" s="13">
        <v>3309.44</v>
      </c>
    </row>
    <row r="6367" spans="1:7" hidden="1" x14ac:dyDescent="0.75">
      <c r="A6367" s="51">
        <v>44931</v>
      </c>
      <c r="B6367" s="52">
        <v>408</v>
      </c>
      <c r="C6367" s="8" t="s">
        <v>1964</v>
      </c>
      <c r="D6367" s="8" t="s">
        <v>760</v>
      </c>
      <c r="E6367" s="52">
        <v>1124</v>
      </c>
      <c r="F6367" s="13"/>
      <c r="G6367" s="13">
        <v>1725.72</v>
      </c>
    </row>
    <row r="6368" spans="1:7" hidden="1" x14ac:dyDescent="0.75">
      <c r="A6368" s="51">
        <v>44931</v>
      </c>
      <c r="B6368" s="52">
        <v>408</v>
      </c>
      <c r="C6368" s="8" t="s">
        <v>2452</v>
      </c>
      <c r="D6368" s="8" t="s">
        <v>760</v>
      </c>
      <c r="E6368" s="52">
        <v>714</v>
      </c>
      <c r="F6368" s="13"/>
      <c r="G6368" s="13">
        <v>1227.8</v>
      </c>
    </row>
    <row r="6369" spans="1:7" hidden="1" x14ac:dyDescent="0.75">
      <c r="A6369" s="51">
        <v>44931</v>
      </c>
      <c r="B6369" s="52">
        <v>408</v>
      </c>
      <c r="C6369" s="8" t="s">
        <v>2004</v>
      </c>
      <c r="D6369" s="8" t="s">
        <v>760</v>
      </c>
      <c r="E6369" s="52">
        <v>713</v>
      </c>
      <c r="F6369" s="13"/>
      <c r="G6369" s="13">
        <v>1195.56</v>
      </c>
    </row>
    <row r="6370" spans="1:7" hidden="1" x14ac:dyDescent="0.75">
      <c r="A6370" s="51">
        <v>44931</v>
      </c>
      <c r="B6370" s="52">
        <v>408</v>
      </c>
      <c r="C6370" s="8" t="s">
        <v>2036</v>
      </c>
      <c r="D6370" s="8" t="s">
        <v>760</v>
      </c>
      <c r="E6370" s="52">
        <v>711</v>
      </c>
      <c r="F6370" s="13"/>
      <c r="G6370" s="13">
        <v>1688.86</v>
      </c>
    </row>
    <row r="6371" spans="1:7" hidden="1" x14ac:dyDescent="0.75">
      <c r="A6371" s="51">
        <v>44931</v>
      </c>
      <c r="B6371" s="52">
        <v>408</v>
      </c>
      <c r="C6371" s="8" t="s">
        <v>2527</v>
      </c>
      <c r="D6371" s="8" t="s">
        <v>760</v>
      </c>
      <c r="E6371" s="52">
        <v>1024</v>
      </c>
      <c r="F6371" s="13"/>
      <c r="G6371" s="13">
        <v>1863</v>
      </c>
    </row>
    <row r="6372" spans="1:7" hidden="1" x14ac:dyDescent="0.75">
      <c r="A6372" s="51">
        <v>44931</v>
      </c>
      <c r="B6372" s="52">
        <v>408</v>
      </c>
      <c r="C6372" s="8" t="s">
        <v>2528</v>
      </c>
      <c r="D6372" s="8" t="s">
        <v>760</v>
      </c>
      <c r="E6372" s="52">
        <v>1024</v>
      </c>
      <c r="F6372" s="13"/>
      <c r="G6372" s="13">
        <v>184</v>
      </c>
    </row>
    <row r="6373" spans="1:7" hidden="1" x14ac:dyDescent="0.75">
      <c r="A6373" s="51">
        <v>44931</v>
      </c>
      <c r="B6373" s="52">
        <v>408</v>
      </c>
      <c r="C6373" s="8" t="s">
        <v>2529</v>
      </c>
      <c r="D6373" s="8" t="s">
        <v>760</v>
      </c>
      <c r="E6373" s="52">
        <v>1024</v>
      </c>
      <c r="F6373" s="13"/>
      <c r="G6373" s="13">
        <v>4320</v>
      </c>
    </row>
    <row r="6374" spans="1:7" hidden="1" x14ac:dyDescent="0.75">
      <c r="A6374" s="51">
        <v>44931</v>
      </c>
      <c r="B6374" s="52">
        <v>408</v>
      </c>
      <c r="C6374" s="8" t="s">
        <v>2530</v>
      </c>
      <c r="D6374" s="8" t="s">
        <v>760</v>
      </c>
      <c r="E6374" s="52">
        <v>1024</v>
      </c>
      <c r="F6374" s="13"/>
      <c r="G6374" s="13">
        <v>240</v>
      </c>
    </row>
    <row r="6375" spans="1:7" hidden="1" x14ac:dyDescent="0.75">
      <c r="A6375" s="51">
        <v>44931</v>
      </c>
      <c r="B6375" s="52">
        <v>408</v>
      </c>
      <c r="C6375" s="8" t="s">
        <v>2531</v>
      </c>
      <c r="D6375" s="8" t="s">
        <v>760</v>
      </c>
      <c r="E6375" s="52">
        <v>1024</v>
      </c>
      <c r="F6375" s="13"/>
      <c r="G6375" s="13">
        <v>630</v>
      </c>
    </row>
    <row r="6376" spans="1:7" hidden="1" x14ac:dyDescent="0.75">
      <c r="A6376" s="51">
        <v>44931</v>
      </c>
      <c r="B6376" s="52">
        <v>408</v>
      </c>
      <c r="C6376" s="8" t="s">
        <v>2532</v>
      </c>
      <c r="D6376" s="8" t="s">
        <v>760</v>
      </c>
      <c r="E6376" s="52">
        <v>1024</v>
      </c>
      <c r="F6376" s="13"/>
      <c r="G6376" s="13">
        <v>915.75</v>
      </c>
    </row>
    <row r="6377" spans="1:7" hidden="1" x14ac:dyDescent="0.75">
      <c r="A6377" s="51">
        <v>44931</v>
      </c>
      <c r="B6377" s="52">
        <v>408</v>
      </c>
      <c r="C6377" s="8" t="s">
        <v>2533</v>
      </c>
      <c r="D6377" s="8" t="s">
        <v>760</v>
      </c>
      <c r="E6377" s="52">
        <v>1024</v>
      </c>
      <c r="F6377" s="13"/>
      <c r="G6377" s="13">
        <v>1440</v>
      </c>
    </row>
    <row r="6378" spans="1:7" hidden="1" x14ac:dyDescent="0.75">
      <c r="A6378" s="51">
        <v>44931</v>
      </c>
      <c r="B6378" s="52">
        <v>408</v>
      </c>
      <c r="C6378" s="8" t="s">
        <v>2882</v>
      </c>
      <c r="D6378" s="8" t="s">
        <v>760</v>
      </c>
      <c r="E6378" s="52">
        <v>1508</v>
      </c>
      <c r="F6378" s="13"/>
      <c r="G6378" s="13">
        <v>2077.1999999999998</v>
      </c>
    </row>
    <row r="6379" spans="1:7" hidden="1" x14ac:dyDescent="0.75">
      <c r="A6379" s="51">
        <v>44931</v>
      </c>
      <c r="B6379" s="52">
        <v>408</v>
      </c>
      <c r="C6379" s="8" t="s">
        <v>2883</v>
      </c>
      <c r="D6379" s="8" t="s">
        <v>760</v>
      </c>
      <c r="E6379" s="52">
        <v>1508</v>
      </c>
      <c r="F6379" s="13"/>
      <c r="G6379" s="13">
        <v>3305.1</v>
      </c>
    </row>
    <row r="6380" spans="1:7" hidden="1" x14ac:dyDescent="0.75">
      <c r="A6380" s="51">
        <v>44932</v>
      </c>
      <c r="B6380" s="52">
        <v>408</v>
      </c>
      <c r="C6380" s="8" t="s">
        <v>2534</v>
      </c>
      <c r="D6380" s="8" t="s">
        <v>760</v>
      </c>
      <c r="E6380" s="52">
        <v>1024</v>
      </c>
      <c r="F6380" s="13"/>
      <c r="G6380" s="13">
        <v>2339.6999999999998</v>
      </c>
    </row>
    <row r="6381" spans="1:7" hidden="1" x14ac:dyDescent="0.75">
      <c r="A6381" s="51">
        <v>44932</v>
      </c>
      <c r="B6381" s="52">
        <v>408</v>
      </c>
      <c r="C6381" s="8" t="s">
        <v>2535</v>
      </c>
      <c r="D6381" s="8" t="s">
        <v>760</v>
      </c>
      <c r="E6381" s="52">
        <v>1024</v>
      </c>
      <c r="F6381" s="13"/>
      <c r="G6381" s="13">
        <v>447.5</v>
      </c>
    </row>
    <row r="6382" spans="1:7" hidden="1" x14ac:dyDescent="0.75">
      <c r="A6382" s="51">
        <v>44932</v>
      </c>
      <c r="B6382" s="52">
        <v>408</v>
      </c>
      <c r="C6382" s="8" t="s">
        <v>2233</v>
      </c>
      <c r="D6382" s="8" t="s">
        <v>760</v>
      </c>
      <c r="E6382" s="52">
        <v>804</v>
      </c>
      <c r="F6382" s="13"/>
      <c r="G6382" s="13">
        <v>666.5</v>
      </c>
    </row>
    <row r="6383" spans="1:7" hidden="1" x14ac:dyDescent="0.75">
      <c r="A6383" s="51">
        <v>44932</v>
      </c>
      <c r="B6383" s="52">
        <v>408</v>
      </c>
      <c r="C6383" s="8" t="s">
        <v>2234</v>
      </c>
      <c r="D6383" s="8" t="s">
        <v>760</v>
      </c>
      <c r="E6383" s="52">
        <v>804</v>
      </c>
      <c r="F6383" s="13"/>
      <c r="G6383" s="13">
        <v>594</v>
      </c>
    </row>
    <row r="6384" spans="1:7" hidden="1" x14ac:dyDescent="0.75">
      <c r="A6384" s="51">
        <v>44932</v>
      </c>
      <c r="B6384" s="52">
        <v>408</v>
      </c>
      <c r="C6384" s="8" t="s">
        <v>2257</v>
      </c>
      <c r="D6384" s="8" t="s">
        <v>760</v>
      </c>
      <c r="E6384" s="52">
        <v>806</v>
      </c>
      <c r="F6384" s="13"/>
      <c r="G6384" s="13">
        <v>990</v>
      </c>
    </row>
    <row r="6385" spans="1:7" hidden="1" x14ac:dyDescent="0.75">
      <c r="A6385" s="51">
        <v>44932</v>
      </c>
      <c r="B6385" s="52">
        <v>408</v>
      </c>
      <c r="C6385" s="8" t="s">
        <v>2258</v>
      </c>
      <c r="D6385" s="8" t="s">
        <v>760</v>
      </c>
      <c r="E6385" s="52">
        <v>806</v>
      </c>
      <c r="F6385" s="13"/>
      <c r="G6385" s="13">
        <v>2985</v>
      </c>
    </row>
    <row r="6386" spans="1:7" hidden="1" x14ac:dyDescent="0.75">
      <c r="A6386" s="51">
        <v>44932</v>
      </c>
      <c r="B6386" s="52">
        <v>408</v>
      </c>
      <c r="C6386" s="8" t="s">
        <v>2821</v>
      </c>
      <c r="D6386" s="8" t="s">
        <v>760</v>
      </c>
      <c r="E6386" s="52">
        <v>707</v>
      </c>
      <c r="F6386" s="13"/>
      <c r="G6386" s="13">
        <v>1326.7</v>
      </c>
    </row>
    <row r="6387" spans="1:7" hidden="1" x14ac:dyDescent="0.75">
      <c r="A6387" s="51">
        <v>44932</v>
      </c>
      <c r="B6387" s="52">
        <v>408</v>
      </c>
      <c r="C6387" s="8" t="s">
        <v>2822</v>
      </c>
      <c r="D6387" s="8" t="s">
        <v>760</v>
      </c>
      <c r="E6387" s="52">
        <v>707</v>
      </c>
      <c r="F6387" s="13"/>
      <c r="G6387" s="13">
        <v>45</v>
      </c>
    </row>
    <row r="6388" spans="1:7" hidden="1" x14ac:dyDescent="0.75">
      <c r="A6388" s="51">
        <v>44932</v>
      </c>
      <c r="B6388" s="52">
        <v>408</v>
      </c>
      <c r="C6388" s="8" t="s">
        <v>2227</v>
      </c>
      <c r="D6388" s="8" t="s">
        <v>760</v>
      </c>
      <c r="E6388" s="52">
        <v>1739</v>
      </c>
      <c r="F6388" s="13"/>
      <c r="G6388" s="13">
        <v>729.36</v>
      </c>
    </row>
    <row r="6389" spans="1:7" hidden="1" x14ac:dyDescent="0.75">
      <c r="A6389" s="51">
        <v>44932</v>
      </c>
      <c r="B6389" s="52">
        <v>408</v>
      </c>
      <c r="C6389" s="8" t="s">
        <v>2176</v>
      </c>
      <c r="D6389" s="8" t="s">
        <v>760</v>
      </c>
      <c r="E6389" s="52">
        <v>1734</v>
      </c>
      <c r="F6389" s="13"/>
      <c r="G6389" s="13">
        <v>2471.87</v>
      </c>
    </row>
    <row r="6390" spans="1:7" hidden="1" x14ac:dyDescent="0.75">
      <c r="A6390" s="51">
        <v>44932</v>
      </c>
      <c r="B6390" s="52">
        <v>408</v>
      </c>
      <c r="C6390" s="8" t="s">
        <v>3126</v>
      </c>
      <c r="D6390" s="8" t="s">
        <v>760</v>
      </c>
      <c r="E6390" s="52">
        <v>1852</v>
      </c>
      <c r="F6390" s="13"/>
      <c r="G6390" s="13">
        <v>2532.71</v>
      </c>
    </row>
    <row r="6391" spans="1:7" hidden="1" x14ac:dyDescent="0.75">
      <c r="A6391" s="51">
        <v>44932</v>
      </c>
      <c r="B6391" s="52">
        <v>408</v>
      </c>
      <c r="C6391" s="8" t="s">
        <v>2305</v>
      </c>
      <c r="D6391" s="8" t="s">
        <v>760</v>
      </c>
      <c r="E6391" s="52">
        <v>717</v>
      </c>
      <c r="F6391" s="13"/>
      <c r="G6391" s="13">
        <v>1894.7</v>
      </c>
    </row>
    <row r="6392" spans="1:7" hidden="1" x14ac:dyDescent="0.75">
      <c r="A6392" s="51">
        <v>44932</v>
      </c>
      <c r="B6392" s="52">
        <v>408</v>
      </c>
      <c r="C6392" s="8" t="s">
        <v>2353</v>
      </c>
      <c r="D6392" s="8" t="s">
        <v>760</v>
      </c>
      <c r="E6392" s="52">
        <v>1818</v>
      </c>
      <c r="F6392" s="13"/>
      <c r="G6392" s="13">
        <v>2430.35</v>
      </c>
    </row>
    <row r="6393" spans="1:7" hidden="1" x14ac:dyDescent="0.75">
      <c r="A6393" s="51">
        <v>44932</v>
      </c>
      <c r="B6393" s="52">
        <v>408</v>
      </c>
      <c r="C6393" s="8" t="s">
        <v>2154</v>
      </c>
      <c r="D6393" s="8" t="s">
        <v>760</v>
      </c>
      <c r="E6393" s="52">
        <v>716</v>
      </c>
      <c r="F6393" s="13"/>
      <c r="G6393" s="13">
        <v>1048.79</v>
      </c>
    </row>
    <row r="6394" spans="1:7" hidden="1" x14ac:dyDescent="0.75">
      <c r="A6394" s="51">
        <v>44932</v>
      </c>
      <c r="B6394" s="52">
        <v>408</v>
      </c>
      <c r="C6394" s="8" t="s">
        <v>2075</v>
      </c>
      <c r="D6394" s="8" t="s">
        <v>760</v>
      </c>
      <c r="E6394" s="52">
        <v>710</v>
      </c>
      <c r="F6394" s="13"/>
      <c r="G6394" s="13">
        <v>1193.04</v>
      </c>
    </row>
    <row r="6395" spans="1:7" hidden="1" x14ac:dyDescent="0.75">
      <c r="A6395" s="51">
        <v>44932</v>
      </c>
      <c r="B6395" s="52">
        <v>408</v>
      </c>
      <c r="C6395" s="8" t="s">
        <v>2420</v>
      </c>
      <c r="D6395" s="8" t="s">
        <v>760</v>
      </c>
      <c r="E6395" s="52">
        <v>1821</v>
      </c>
      <c r="F6395" s="13"/>
      <c r="G6395" s="13">
        <v>299.2</v>
      </c>
    </row>
    <row r="6396" spans="1:7" hidden="1" x14ac:dyDescent="0.75">
      <c r="A6396" s="51">
        <v>44932</v>
      </c>
      <c r="B6396" s="52">
        <v>408</v>
      </c>
      <c r="C6396" s="8" t="s">
        <v>2453</v>
      </c>
      <c r="D6396" s="8" t="s">
        <v>760</v>
      </c>
      <c r="E6396" s="52">
        <v>714</v>
      </c>
      <c r="F6396" s="13"/>
      <c r="G6396" s="13">
        <v>1127.9000000000001</v>
      </c>
    </row>
    <row r="6397" spans="1:7" hidden="1" x14ac:dyDescent="0.75">
      <c r="A6397" s="51">
        <v>44932</v>
      </c>
      <c r="B6397" s="52">
        <v>408</v>
      </c>
      <c r="C6397" s="8" t="s">
        <v>1965</v>
      </c>
      <c r="D6397" s="8" t="s">
        <v>760</v>
      </c>
      <c r="E6397" s="52">
        <v>1124</v>
      </c>
      <c r="F6397" s="13"/>
      <c r="G6397" s="13">
        <v>2061.08</v>
      </c>
    </row>
    <row r="6398" spans="1:7" hidden="1" x14ac:dyDescent="0.75">
      <c r="A6398" s="51">
        <v>44932</v>
      </c>
      <c r="B6398" s="52">
        <v>408</v>
      </c>
      <c r="C6398" s="8" t="s">
        <v>2005</v>
      </c>
      <c r="D6398" s="8" t="s">
        <v>760</v>
      </c>
      <c r="E6398" s="52">
        <v>713</v>
      </c>
      <c r="F6398" s="13"/>
      <c r="G6398" s="13">
        <v>237.31</v>
      </c>
    </row>
    <row r="6399" spans="1:7" hidden="1" x14ac:dyDescent="0.75">
      <c r="A6399" s="51">
        <v>44932</v>
      </c>
      <c r="B6399" s="52">
        <v>408</v>
      </c>
      <c r="C6399" s="8" t="s">
        <v>2397</v>
      </c>
      <c r="D6399" s="8" t="s">
        <v>760</v>
      </c>
      <c r="E6399" s="52">
        <v>719</v>
      </c>
      <c r="F6399" s="13"/>
      <c r="G6399" s="13">
        <v>435.3</v>
      </c>
    </row>
    <row r="6400" spans="1:7" hidden="1" x14ac:dyDescent="0.75">
      <c r="A6400" s="51">
        <v>44932</v>
      </c>
      <c r="B6400" s="52">
        <v>408</v>
      </c>
      <c r="C6400" s="8" t="s">
        <v>2117</v>
      </c>
      <c r="D6400" s="8" t="s">
        <v>760</v>
      </c>
      <c r="E6400" s="52">
        <v>712</v>
      </c>
      <c r="F6400" s="13"/>
      <c r="G6400" s="13">
        <v>4192.95</v>
      </c>
    </row>
    <row r="6401" spans="1:7" hidden="1" x14ac:dyDescent="0.75">
      <c r="A6401" s="51">
        <v>44932</v>
      </c>
      <c r="B6401" s="52">
        <v>408</v>
      </c>
      <c r="C6401" s="8" t="s">
        <v>2037</v>
      </c>
      <c r="D6401" s="8" t="s">
        <v>760</v>
      </c>
      <c r="E6401" s="52">
        <v>711</v>
      </c>
      <c r="F6401" s="13"/>
      <c r="G6401" s="13">
        <v>2109.35</v>
      </c>
    </row>
    <row r="6402" spans="1:7" hidden="1" x14ac:dyDescent="0.75">
      <c r="A6402" s="51">
        <v>44932</v>
      </c>
      <c r="B6402" s="52">
        <v>408</v>
      </c>
      <c r="C6402" s="8" t="s">
        <v>2965</v>
      </c>
      <c r="D6402" s="8" t="s">
        <v>760</v>
      </c>
      <c r="E6402" s="52">
        <v>1765</v>
      </c>
      <c r="F6402" s="13"/>
      <c r="G6402" s="13">
        <v>2285.85</v>
      </c>
    </row>
    <row r="6403" spans="1:7" hidden="1" x14ac:dyDescent="0.75">
      <c r="A6403" s="51">
        <v>44932</v>
      </c>
      <c r="B6403" s="52">
        <v>408</v>
      </c>
      <c r="C6403" s="8" t="s">
        <v>2536</v>
      </c>
      <c r="D6403" s="8" t="s">
        <v>760</v>
      </c>
      <c r="E6403" s="52">
        <v>1024</v>
      </c>
      <c r="F6403" s="13"/>
      <c r="G6403" s="13">
        <v>1723</v>
      </c>
    </row>
    <row r="6404" spans="1:7" hidden="1" x14ac:dyDescent="0.75">
      <c r="A6404" s="51">
        <v>44932</v>
      </c>
      <c r="B6404" s="52">
        <v>408</v>
      </c>
      <c r="C6404" s="8" t="s">
        <v>2537</v>
      </c>
      <c r="D6404" s="8" t="s">
        <v>760</v>
      </c>
      <c r="E6404" s="52">
        <v>1024</v>
      </c>
      <c r="F6404" s="13"/>
      <c r="G6404" s="13">
        <v>2930</v>
      </c>
    </row>
    <row r="6405" spans="1:7" hidden="1" x14ac:dyDescent="0.75">
      <c r="A6405" s="51">
        <v>44932</v>
      </c>
      <c r="B6405" s="52">
        <v>408</v>
      </c>
      <c r="C6405" s="8" t="s">
        <v>2749</v>
      </c>
      <c r="D6405" s="8" t="s">
        <v>760</v>
      </c>
      <c r="E6405" s="52">
        <v>884</v>
      </c>
      <c r="F6405" s="13"/>
      <c r="G6405" s="13">
        <v>550</v>
      </c>
    </row>
    <row r="6406" spans="1:7" hidden="1" x14ac:dyDescent="0.75">
      <c r="A6406" s="51">
        <v>44932</v>
      </c>
      <c r="B6406" s="52">
        <v>408</v>
      </c>
      <c r="C6406" s="8" t="s">
        <v>2678</v>
      </c>
      <c r="D6406" s="8" t="s">
        <v>760</v>
      </c>
      <c r="E6406" s="52">
        <v>883</v>
      </c>
      <c r="F6406" s="13"/>
      <c r="G6406" s="13">
        <v>1006</v>
      </c>
    </row>
    <row r="6407" spans="1:7" hidden="1" x14ac:dyDescent="0.75">
      <c r="A6407" s="51">
        <v>44932</v>
      </c>
      <c r="B6407" s="52">
        <v>408</v>
      </c>
      <c r="C6407" s="8" t="s">
        <v>2795</v>
      </c>
      <c r="D6407" s="8" t="s">
        <v>760</v>
      </c>
      <c r="E6407" s="52">
        <v>1025</v>
      </c>
      <c r="F6407" s="13"/>
      <c r="G6407" s="13">
        <v>2679</v>
      </c>
    </row>
    <row r="6408" spans="1:7" hidden="1" x14ac:dyDescent="0.75">
      <c r="A6408" s="51">
        <v>44932</v>
      </c>
      <c r="B6408" s="52">
        <v>408</v>
      </c>
      <c r="C6408" s="8" t="s">
        <v>2707</v>
      </c>
      <c r="D6408" s="8" t="s">
        <v>760</v>
      </c>
      <c r="E6408" s="52">
        <v>885</v>
      </c>
      <c r="F6408" s="13"/>
      <c r="G6408" s="13">
        <v>1461.1</v>
      </c>
    </row>
    <row r="6409" spans="1:7" hidden="1" x14ac:dyDescent="0.75">
      <c r="A6409" s="51">
        <v>44932</v>
      </c>
      <c r="B6409" s="52">
        <v>408</v>
      </c>
      <c r="C6409" s="8" t="s">
        <v>2796</v>
      </c>
      <c r="D6409" s="8" t="s">
        <v>760</v>
      </c>
      <c r="E6409" s="52">
        <v>1025</v>
      </c>
      <c r="F6409" s="13"/>
      <c r="G6409" s="13">
        <v>479.5</v>
      </c>
    </row>
    <row r="6410" spans="1:7" hidden="1" x14ac:dyDescent="0.75">
      <c r="A6410" s="51">
        <v>44932</v>
      </c>
      <c r="B6410" s="52">
        <v>408</v>
      </c>
      <c r="C6410" s="8" t="s">
        <v>2750</v>
      </c>
      <c r="D6410" s="8" t="s">
        <v>760</v>
      </c>
      <c r="E6410" s="52">
        <v>884</v>
      </c>
      <c r="F6410" s="13"/>
      <c r="G6410" s="13">
        <v>4197.2</v>
      </c>
    </row>
    <row r="6411" spans="1:7" hidden="1" x14ac:dyDescent="0.75">
      <c r="A6411" s="51">
        <v>44932</v>
      </c>
      <c r="B6411" s="52">
        <v>408</v>
      </c>
      <c r="C6411" s="8" t="s">
        <v>2725</v>
      </c>
      <c r="D6411" s="8" t="s">
        <v>760</v>
      </c>
      <c r="E6411" s="52">
        <v>882</v>
      </c>
      <c r="F6411" s="13"/>
      <c r="G6411" s="13">
        <v>315.5</v>
      </c>
    </row>
    <row r="6412" spans="1:7" hidden="1" x14ac:dyDescent="0.75">
      <c r="A6412" s="51">
        <v>44932</v>
      </c>
      <c r="B6412" s="52">
        <v>408</v>
      </c>
      <c r="C6412" s="8" t="s">
        <v>2679</v>
      </c>
      <c r="D6412" s="8" t="s">
        <v>760</v>
      </c>
      <c r="E6412" s="52">
        <v>883</v>
      </c>
      <c r="F6412" s="13"/>
      <c r="G6412" s="13">
        <v>4438.8</v>
      </c>
    </row>
    <row r="6413" spans="1:7" hidden="1" x14ac:dyDescent="0.75">
      <c r="A6413" s="51">
        <v>44932</v>
      </c>
      <c r="B6413" s="52">
        <v>408</v>
      </c>
      <c r="C6413" s="8" t="s">
        <v>3112</v>
      </c>
      <c r="D6413" s="8" t="s">
        <v>760</v>
      </c>
      <c r="E6413" s="52">
        <v>1789</v>
      </c>
      <c r="F6413" s="13"/>
      <c r="G6413" s="13">
        <v>384.5</v>
      </c>
    </row>
    <row r="6414" spans="1:7" hidden="1" x14ac:dyDescent="0.75">
      <c r="A6414" s="51">
        <v>44932</v>
      </c>
      <c r="B6414" s="52">
        <v>408</v>
      </c>
      <c r="C6414" s="8" t="s">
        <v>2854</v>
      </c>
      <c r="D6414" s="8" t="s">
        <v>760</v>
      </c>
      <c r="E6414" s="52">
        <v>1788</v>
      </c>
      <c r="F6414" s="13"/>
      <c r="G6414" s="13">
        <v>384.5</v>
      </c>
    </row>
    <row r="6415" spans="1:7" hidden="1" x14ac:dyDescent="0.75">
      <c r="A6415" s="51">
        <v>44932</v>
      </c>
      <c r="B6415" s="52">
        <v>408</v>
      </c>
      <c r="C6415" s="8" t="s">
        <v>2194</v>
      </c>
      <c r="D6415" s="8" t="s">
        <v>760</v>
      </c>
      <c r="E6415" s="52">
        <v>1736</v>
      </c>
      <c r="F6415" s="13"/>
      <c r="G6415" s="13">
        <v>1467.9</v>
      </c>
    </row>
    <row r="6416" spans="1:7" hidden="1" x14ac:dyDescent="0.75">
      <c r="A6416" s="51">
        <v>44932</v>
      </c>
      <c r="B6416" s="52">
        <v>408</v>
      </c>
      <c r="C6416" s="8" t="s">
        <v>2195</v>
      </c>
      <c r="D6416" s="8" t="s">
        <v>760</v>
      </c>
      <c r="E6416" s="52">
        <v>1736</v>
      </c>
      <c r="F6416" s="13"/>
      <c r="G6416" s="13">
        <v>1662.19</v>
      </c>
    </row>
    <row r="6417" spans="1:7" hidden="1" x14ac:dyDescent="0.75">
      <c r="A6417" s="51">
        <v>44932</v>
      </c>
      <c r="B6417" s="52">
        <v>408</v>
      </c>
      <c r="C6417" s="8" t="s">
        <v>2196</v>
      </c>
      <c r="D6417" s="8" t="s">
        <v>760</v>
      </c>
      <c r="E6417" s="52">
        <v>1736</v>
      </c>
      <c r="F6417" s="13"/>
      <c r="G6417" s="13">
        <v>2281.5100000000002</v>
      </c>
    </row>
    <row r="6418" spans="1:7" hidden="1" x14ac:dyDescent="0.75">
      <c r="A6418" s="51">
        <v>44932</v>
      </c>
      <c r="B6418" s="52">
        <v>408</v>
      </c>
      <c r="C6418" s="8" t="s">
        <v>2197</v>
      </c>
      <c r="D6418" s="8" t="s">
        <v>760</v>
      </c>
      <c r="E6418" s="52">
        <v>1736</v>
      </c>
      <c r="F6418" s="13"/>
      <c r="G6418" s="13">
        <v>1546.79</v>
      </c>
    </row>
    <row r="6419" spans="1:7" hidden="1" x14ac:dyDescent="0.75">
      <c r="A6419" s="51">
        <v>44932</v>
      </c>
      <c r="B6419" s="52">
        <v>408</v>
      </c>
      <c r="C6419" s="8" t="s">
        <v>2886</v>
      </c>
      <c r="D6419" s="8" t="s">
        <v>760</v>
      </c>
      <c r="E6419" s="52">
        <v>1508</v>
      </c>
      <c r="F6419" s="13"/>
      <c r="G6419" s="13">
        <v>1746</v>
      </c>
    </row>
    <row r="6420" spans="1:7" hidden="1" x14ac:dyDescent="0.75">
      <c r="A6420" s="51">
        <v>44932</v>
      </c>
      <c r="B6420" s="52">
        <v>408</v>
      </c>
      <c r="C6420" s="8" t="s">
        <v>2887</v>
      </c>
      <c r="D6420" s="8" t="s">
        <v>760</v>
      </c>
      <c r="E6420" s="52">
        <v>1508</v>
      </c>
      <c r="F6420" s="13"/>
      <c r="G6420" s="13">
        <v>3513.2</v>
      </c>
    </row>
    <row r="6421" spans="1:7" hidden="1" x14ac:dyDescent="0.75">
      <c r="A6421" s="51">
        <v>44933</v>
      </c>
      <c r="B6421" s="52">
        <v>408</v>
      </c>
      <c r="C6421" s="8" t="s">
        <v>2823</v>
      </c>
      <c r="D6421" s="8" t="s">
        <v>760</v>
      </c>
      <c r="E6421" s="52">
        <v>707</v>
      </c>
      <c r="F6421" s="13"/>
      <c r="G6421" s="13">
        <v>3035.7</v>
      </c>
    </row>
    <row r="6422" spans="1:7" hidden="1" x14ac:dyDescent="0.75">
      <c r="A6422" s="51">
        <v>44933</v>
      </c>
      <c r="B6422" s="52">
        <v>408</v>
      </c>
      <c r="C6422" s="8" t="s">
        <v>3033</v>
      </c>
      <c r="D6422" s="8" t="s">
        <v>760</v>
      </c>
      <c r="E6422" s="52">
        <v>1752</v>
      </c>
      <c r="F6422" s="13"/>
      <c r="G6422" s="13">
        <v>429.95</v>
      </c>
    </row>
    <row r="6423" spans="1:7" hidden="1" x14ac:dyDescent="0.75">
      <c r="A6423" s="51">
        <v>44933</v>
      </c>
      <c r="B6423" s="52">
        <v>408</v>
      </c>
      <c r="C6423" s="8" t="s">
        <v>3087</v>
      </c>
      <c r="D6423" s="8" t="s">
        <v>760</v>
      </c>
      <c r="E6423" s="52">
        <v>1747</v>
      </c>
      <c r="F6423" s="13"/>
      <c r="G6423" s="13">
        <v>1342.8</v>
      </c>
    </row>
    <row r="6424" spans="1:7" hidden="1" x14ac:dyDescent="0.75">
      <c r="A6424" s="51">
        <v>44933</v>
      </c>
      <c r="B6424" s="52">
        <v>408</v>
      </c>
      <c r="C6424" s="8" t="s">
        <v>1994</v>
      </c>
      <c r="D6424" s="8" t="s">
        <v>760</v>
      </c>
      <c r="E6424" s="52">
        <v>724</v>
      </c>
      <c r="F6424" s="13"/>
      <c r="G6424" s="13">
        <v>1703.12</v>
      </c>
    </row>
    <row r="6425" spans="1:7" hidden="1" x14ac:dyDescent="0.75">
      <c r="A6425" s="51">
        <v>44933</v>
      </c>
      <c r="B6425" s="52">
        <v>408</v>
      </c>
      <c r="C6425" s="8" t="s">
        <v>2101</v>
      </c>
      <c r="D6425" s="8" t="s">
        <v>760</v>
      </c>
      <c r="E6425" s="52">
        <v>720</v>
      </c>
      <c r="F6425" s="13"/>
      <c r="G6425" s="13">
        <v>1967.6</v>
      </c>
    </row>
    <row r="6426" spans="1:7" hidden="1" x14ac:dyDescent="0.75">
      <c r="A6426" s="51">
        <v>44933</v>
      </c>
      <c r="B6426" s="52">
        <v>408</v>
      </c>
      <c r="C6426" s="8" t="s">
        <v>2981</v>
      </c>
      <c r="D6426" s="8" t="s">
        <v>760</v>
      </c>
      <c r="E6426" s="52">
        <v>1751</v>
      </c>
      <c r="F6426" s="13"/>
      <c r="G6426" s="13">
        <v>1138.4000000000001</v>
      </c>
    </row>
    <row r="6427" spans="1:7" hidden="1" x14ac:dyDescent="0.75">
      <c r="A6427" s="51">
        <v>44933</v>
      </c>
      <c r="B6427" s="52">
        <v>408</v>
      </c>
      <c r="C6427" s="8" t="s">
        <v>3008</v>
      </c>
      <c r="D6427" s="8" t="s">
        <v>760</v>
      </c>
      <c r="E6427" s="52">
        <v>1748</v>
      </c>
      <c r="F6427" s="13"/>
      <c r="G6427" s="13">
        <v>733.55</v>
      </c>
    </row>
    <row r="6428" spans="1:7" hidden="1" x14ac:dyDescent="0.75">
      <c r="A6428" s="51">
        <v>44933</v>
      </c>
      <c r="B6428" s="52">
        <v>408</v>
      </c>
      <c r="C6428" s="8" t="s">
        <v>3059</v>
      </c>
      <c r="D6428" s="8" t="s">
        <v>760</v>
      </c>
      <c r="E6428" s="52">
        <v>1696</v>
      </c>
      <c r="F6428" s="13"/>
      <c r="G6428" s="13">
        <v>612.20000000000005</v>
      </c>
    </row>
    <row r="6429" spans="1:7" hidden="1" x14ac:dyDescent="0.75">
      <c r="A6429" s="51">
        <v>44933</v>
      </c>
      <c r="B6429" s="52">
        <v>408</v>
      </c>
      <c r="C6429" s="8" t="s">
        <v>2354</v>
      </c>
      <c r="D6429" s="8" t="s">
        <v>760</v>
      </c>
      <c r="E6429" s="52">
        <v>1818</v>
      </c>
      <c r="F6429" s="13"/>
      <c r="G6429" s="13">
        <v>1078.8</v>
      </c>
    </row>
    <row r="6430" spans="1:7" hidden="1" x14ac:dyDescent="0.75">
      <c r="A6430" s="51">
        <v>44933</v>
      </c>
      <c r="B6430" s="52">
        <v>408</v>
      </c>
      <c r="C6430" s="8" t="s">
        <v>2076</v>
      </c>
      <c r="D6430" s="8" t="s">
        <v>760</v>
      </c>
      <c r="E6430" s="52">
        <v>710</v>
      </c>
      <c r="F6430" s="13"/>
      <c r="G6430" s="13">
        <v>307</v>
      </c>
    </row>
    <row r="6431" spans="1:7" hidden="1" x14ac:dyDescent="0.75">
      <c r="A6431" s="51">
        <v>44933</v>
      </c>
      <c r="B6431" s="52">
        <v>408</v>
      </c>
      <c r="C6431" s="8" t="s">
        <v>2306</v>
      </c>
      <c r="D6431" s="8" t="s">
        <v>760</v>
      </c>
      <c r="E6431" s="52">
        <v>717</v>
      </c>
      <c r="F6431" s="13"/>
      <c r="G6431" s="13">
        <v>1391.4</v>
      </c>
    </row>
    <row r="6432" spans="1:7" hidden="1" x14ac:dyDescent="0.75">
      <c r="A6432" s="51">
        <v>44933</v>
      </c>
      <c r="B6432" s="52">
        <v>408</v>
      </c>
      <c r="C6432" s="8" t="s">
        <v>2155</v>
      </c>
      <c r="D6432" s="8" t="s">
        <v>760</v>
      </c>
      <c r="E6432" s="52">
        <v>716</v>
      </c>
      <c r="F6432" s="13"/>
      <c r="G6432" s="13">
        <v>888.88</v>
      </c>
    </row>
    <row r="6433" spans="1:7" hidden="1" x14ac:dyDescent="0.75">
      <c r="A6433" s="51">
        <v>44933</v>
      </c>
      <c r="B6433" s="52">
        <v>408</v>
      </c>
      <c r="C6433" s="8" t="s">
        <v>2454</v>
      </c>
      <c r="D6433" s="8" t="s">
        <v>760</v>
      </c>
      <c r="E6433" s="52">
        <v>714</v>
      </c>
      <c r="F6433" s="13"/>
      <c r="G6433" s="13">
        <v>564.9</v>
      </c>
    </row>
    <row r="6434" spans="1:7" hidden="1" x14ac:dyDescent="0.75">
      <c r="A6434" s="51">
        <v>44933</v>
      </c>
      <c r="B6434" s="52">
        <v>408</v>
      </c>
      <c r="C6434" s="8" t="s">
        <v>2118</v>
      </c>
      <c r="D6434" s="8" t="s">
        <v>760</v>
      </c>
      <c r="E6434" s="52">
        <v>712</v>
      </c>
      <c r="F6434" s="13"/>
      <c r="G6434" s="13">
        <v>3764.12</v>
      </c>
    </row>
    <row r="6435" spans="1:7" hidden="1" x14ac:dyDescent="0.75">
      <c r="A6435" s="51">
        <v>44933</v>
      </c>
      <c r="B6435" s="52">
        <v>408</v>
      </c>
      <c r="C6435" s="8" t="s">
        <v>2038</v>
      </c>
      <c r="D6435" s="8" t="s">
        <v>760</v>
      </c>
      <c r="E6435" s="52">
        <v>711</v>
      </c>
      <c r="F6435" s="13"/>
      <c r="G6435" s="13">
        <v>1920.12</v>
      </c>
    </row>
    <row r="6436" spans="1:7" hidden="1" x14ac:dyDescent="0.75">
      <c r="A6436" s="51">
        <v>44933</v>
      </c>
      <c r="B6436" s="52">
        <v>408</v>
      </c>
      <c r="C6436" s="8" t="s">
        <v>2006</v>
      </c>
      <c r="D6436" s="8" t="s">
        <v>760</v>
      </c>
      <c r="E6436" s="52">
        <v>713</v>
      </c>
      <c r="F6436" s="13"/>
      <c r="G6436" s="13">
        <v>1587.5</v>
      </c>
    </row>
    <row r="6437" spans="1:7" hidden="1" x14ac:dyDescent="0.75">
      <c r="A6437" s="51">
        <v>44933</v>
      </c>
      <c r="B6437" s="52">
        <v>408</v>
      </c>
      <c r="C6437" s="8" t="s">
        <v>1966</v>
      </c>
      <c r="D6437" s="8" t="s">
        <v>760</v>
      </c>
      <c r="E6437" s="52">
        <v>1124</v>
      </c>
      <c r="F6437" s="13"/>
      <c r="G6437" s="13">
        <v>1461.62</v>
      </c>
    </row>
    <row r="6438" spans="1:7" hidden="1" x14ac:dyDescent="0.75">
      <c r="A6438" s="51">
        <v>44933</v>
      </c>
      <c r="B6438" s="52">
        <v>408</v>
      </c>
      <c r="C6438" s="8" t="s">
        <v>2538</v>
      </c>
      <c r="D6438" s="8" t="s">
        <v>760</v>
      </c>
      <c r="E6438" s="52">
        <v>1024</v>
      </c>
      <c r="F6438" s="13"/>
      <c r="G6438" s="13">
        <v>2716</v>
      </c>
    </row>
    <row r="6439" spans="1:7" hidden="1" x14ac:dyDescent="0.75">
      <c r="A6439" s="51">
        <v>44933</v>
      </c>
      <c r="B6439" s="52">
        <v>408</v>
      </c>
      <c r="C6439" s="8" t="s">
        <v>2539</v>
      </c>
      <c r="D6439" s="8" t="s">
        <v>760</v>
      </c>
      <c r="E6439" s="52">
        <v>1024</v>
      </c>
      <c r="F6439" s="13"/>
      <c r="G6439" s="13">
        <v>5800</v>
      </c>
    </row>
    <row r="6440" spans="1:7" hidden="1" x14ac:dyDescent="0.75">
      <c r="A6440" s="51">
        <v>44935</v>
      </c>
      <c r="B6440" s="52">
        <v>408</v>
      </c>
      <c r="C6440" s="8" t="s">
        <v>2889</v>
      </c>
      <c r="D6440" s="8" t="s">
        <v>760</v>
      </c>
      <c r="E6440" s="52">
        <v>1508</v>
      </c>
      <c r="F6440" s="13"/>
      <c r="G6440" s="13">
        <v>2277.8000000000002</v>
      </c>
    </row>
    <row r="6441" spans="1:7" hidden="1" x14ac:dyDescent="0.75">
      <c r="A6441" s="51">
        <v>44935</v>
      </c>
      <c r="B6441" s="52">
        <v>408</v>
      </c>
      <c r="C6441" s="8" t="s">
        <v>2890</v>
      </c>
      <c r="D6441" s="8" t="s">
        <v>760</v>
      </c>
      <c r="E6441" s="52">
        <v>1508</v>
      </c>
      <c r="F6441" s="13"/>
      <c r="G6441" s="13">
        <v>3815.8</v>
      </c>
    </row>
    <row r="6442" spans="1:7" hidden="1" x14ac:dyDescent="0.75">
      <c r="A6442" s="51">
        <v>44935</v>
      </c>
      <c r="B6442" s="52">
        <v>408</v>
      </c>
      <c r="C6442" s="8" t="s">
        <v>2235</v>
      </c>
      <c r="D6442" s="8" t="s">
        <v>760</v>
      </c>
      <c r="E6442" s="52">
        <v>804</v>
      </c>
      <c r="F6442" s="13"/>
      <c r="G6442" s="13">
        <v>594</v>
      </c>
    </row>
    <row r="6443" spans="1:7" hidden="1" x14ac:dyDescent="0.75">
      <c r="A6443" s="51">
        <v>44935</v>
      </c>
      <c r="B6443" s="52">
        <v>408</v>
      </c>
      <c r="C6443" s="8" t="s">
        <v>2236</v>
      </c>
      <c r="D6443" s="8" t="s">
        <v>760</v>
      </c>
      <c r="E6443" s="52">
        <v>804</v>
      </c>
      <c r="F6443" s="13"/>
      <c r="G6443" s="13">
        <v>666.5</v>
      </c>
    </row>
    <row r="6444" spans="1:7" hidden="1" x14ac:dyDescent="0.75">
      <c r="A6444" s="51">
        <v>44935</v>
      </c>
      <c r="B6444" s="52">
        <v>408</v>
      </c>
      <c r="C6444" s="8" t="s">
        <v>2259</v>
      </c>
      <c r="D6444" s="8" t="s">
        <v>760</v>
      </c>
      <c r="E6444" s="52">
        <v>806</v>
      </c>
      <c r="F6444" s="13"/>
      <c r="G6444" s="13">
        <v>2423.6</v>
      </c>
    </row>
    <row r="6445" spans="1:7" hidden="1" x14ac:dyDescent="0.75">
      <c r="A6445" s="51">
        <v>44935</v>
      </c>
      <c r="B6445" s="52">
        <v>408</v>
      </c>
      <c r="C6445" s="8" t="s">
        <v>2824</v>
      </c>
      <c r="D6445" s="8" t="s">
        <v>760</v>
      </c>
      <c r="E6445" s="52">
        <v>707</v>
      </c>
      <c r="F6445" s="13"/>
      <c r="G6445" s="13">
        <v>3204.77</v>
      </c>
    </row>
    <row r="6446" spans="1:7" hidden="1" x14ac:dyDescent="0.75">
      <c r="A6446" s="51">
        <v>44935</v>
      </c>
      <c r="B6446" s="52">
        <v>408</v>
      </c>
      <c r="C6446" s="8" t="s">
        <v>2039</v>
      </c>
      <c r="D6446" s="8" t="s">
        <v>760</v>
      </c>
      <c r="E6446" s="52">
        <v>711</v>
      </c>
      <c r="F6446" s="13"/>
      <c r="G6446" s="13">
        <v>102</v>
      </c>
    </row>
    <row r="6447" spans="1:7" hidden="1" x14ac:dyDescent="0.75">
      <c r="A6447" s="51">
        <v>44935</v>
      </c>
      <c r="B6447" s="52">
        <v>408</v>
      </c>
      <c r="C6447" s="8" t="s">
        <v>1967</v>
      </c>
      <c r="D6447" s="8" t="s">
        <v>760</v>
      </c>
      <c r="E6447" s="52">
        <v>1124</v>
      </c>
      <c r="F6447" s="13"/>
      <c r="G6447" s="13">
        <v>255</v>
      </c>
    </row>
    <row r="6448" spans="1:7" hidden="1" x14ac:dyDescent="0.75">
      <c r="A6448" s="51">
        <v>44935</v>
      </c>
      <c r="B6448" s="52">
        <v>408</v>
      </c>
      <c r="C6448" s="8" t="s">
        <v>2077</v>
      </c>
      <c r="D6448" s="8" t="s">
        <v>760</v>
      </c>
      <c r="E6448" s="52">
        <v>710</v>
      </c>
      <c r="F6448" s="13"/>
      <c r="G6448" s="13">
        <v>280.5</v>
      </c>
    </row>
    <row r="6449" spans="1:7" hidden="1" x14ac:dyDescent="0.75">
      <c r="A6449" s="51">
        <v>44935</v>
      </c>
      <c r="B6449" s="52">
        <v>408</v>
      </c>
      <c r="C6449" s="8" t="s">
        <v>2007</v>
      </c>
      <c r="D6449" s="8" t="s">
        <v>760</v>
      </c>
      <c r="E6449" s="52">
        <v>713</v>
      </c>
      <c r="F6449" s="13"/>
      <c r="G6449" s="13">
        <v>127.5</v>
      </c>
    </row>
    <row r="6450" spans="1:7" hidden="1" x14ac:dyDescent="0.75">
      <c r="A6450" s="51">
        <v>44935</v>
      </c>
      <c r="B6450" s="52">
        <v>408</v>
      </c>
      <c r="C6450" s="8" t="s">
        <v>2119</v>
      </c>
      <c r="D6450" s="8" t="s">
        <v>760</v>
      </c>
      <c r="E6450" s="52">
        <v>712</v>
      </c>
      <c r="F6450" s="13"/>
      <c r="G6450" s="13">
        <v>442</v>
      </c>
    </row>
    <row r="6451" spans="1:7" hidden="1" x14ac:dyDescent="0.75">
      <c r="A6451" s="51">
        <v>44935</v>
      </c>
      <c r="B6451" s="52">
        <v>408</v>
      </c>
      <c r="C6451" s="8" t="s">
        <v>2982</v>
      </c>
      <c r="D6451" s="8" t="s">
        <v>760</v>
      </c>
      <c r="E6451" s="52">
        <v>1751</v>
      </c>
      <c r="F6451" s="13"/>
      <c r="G6451" s="13">
        <v>1190.5999999999999</v>
      </c>
    </row>
    <row r="6452" spans="1:7" hidden="1" x14ac:dyDescent="0.75">
      <c r="A6452" s="51">
        <v>44935</v>
      </c>
      <c r="B6452" s="52">
        <v>408</v>
      </c>
      <c r="C6452" s="8" t="s">
        <v>3009</v>
      </c>
      <c r="D6452" s="8" t="s">
        <v>760</v>
      </c>
      <c r="E6452" s="52">
        <v>1748</v>
      </c>
      <c r="F6452" s="13"/>
      <c r="G6452" s="13">
        <v>599.4</v>
      </c>
    </row>
    <row r="6453" spans="1:7" hidden="1" x14ac:dyDescent="0.75">
      <c r="A6453" s="51">
        <v>44935</v>
      </c>
      <c r="B6453" s="52">
        <v>408</v>
      </c>
      <c r="C6453" s="8" t="s">
        <v>3060</v>
      </c>
      <c r="D6453" s="8" t="s">
        <v>760</v>
      </c>
      <c r="E6453" s="52">
        <v>1696</v>
      </c>
      <c r="F6453" s="13"/>
      <c r="G6453" s="13">
        <v>602.15</v>
      </c>
    </row>
    <row r="6454" spans="1:7" hidden="1" x14ac:dyDescent="0.75">
      <c r="A6454" s="51">
        <v>44935</v>
      </c>
      <c r="B6454" s="52">
        <v>408</v>
      </c>
      <c r="C6454" s="8" t="s">
        <v>3034</v>
      </c>
      <c r="D6454" s="8" t="s">
        <v>760</v>
      </c>
      <c r="E6454" s="52">
        <v>1752</v>
      </c>
      <c r="F6454" s="13"/>
      <c r="G6454" s="13">
        <v>503.9</v>
      </c>
    </row>
    <row r="6455" spans="1:7" hidden="1" x14ac:dyDescent="0.75">
      <c r="A6455" s="51">
        <v>44935</v>
      </c>
      <c r="B6455" s="52">
        <v>408</v>
      </c>
      <c r="C6455" s="8" t="s">
        <v>3088</v>
      </c>
      <c r="D6455" s="8" t="s">
        <v>760</v>
      </c>
      <c r="E6455" s="52">
        <v>1747</v>
      </c>
      <c r="F6455" s="13"/>
      <c r="G6455" s="13">
        <v>1456.45</v>
      </c>
    </row>
    <row r="6456" spans="1:7" hidden="1" x14ac:dyDescent="0.75">
      <c r="A6456" s="51">
        <v>44935</v>
      </c>
      <c r="B6456" s="52">
        <v>408</v>
      </c>
      <c r="C6456" s="8" t="s">
        <v>3127</v>
      </c>
      <c r="D6456" s="8" t="s">
        <v>760</v>
      </c>
      <c r="E6456" s="52">
        <v>1852</v>
      </c>
      <c r="F6456" s="13"/>
      <c r="G6456" s="13">
        <v>1777.63</v>
      </c>
    </row>
    <row r="6457" spans="1:7" hidden="1" x14ac:dyDescent="0.75">
      <c r="A6457" s="51">
        <v>44935</v>
      </c>
      <c r="B6457" s="52">
        <v>408</v>
      </c>
      <c r="C6457" s="8" t="s">
        <v>2355</v>
      </c>
      <c r="D6457" s="8" t="s">
        <v>760</v>
      </c>
      <c r="E6457" s="52">
        <v>1818</v>
      </c>
      <c r="F6457" s="13"/>
      <c r="G6457" s="13">
        <v>1119</v>
      </c>
    </row>
    <row r="6458" spans="1:7" hidden="1" x14ac:dyDescent="0.75">
      <c r="A6458" s="51">
        <v>44935</v>
      </c>
      <c r="B6458" s="52">
        <v>408</v>
      </c>
      <c r="C6458" s="8" t="s">
        <v>2307</v>
      </c>
      <c r="D6458" s="8" t="s">
        <v>760</v>
      </c>
      <c r="E6458" s="52">
        <v>717</v>
      </c>
      <c r="F6458" s="13"/>
      <c r="G6458" s="13">
        <v>2055.6999999999998</v>
      </c>
    </row>
    <row r="6459" spans="1:7" hidden="1" x14ac:dyDescent="0.75">
      <c r="A6459" s="51">
        <v>44935</v>
      </c>
      <c r="B6459" s="52">
        <v>408</v>
      </c>
      <c r="C6459" s="8" t="s">
        <v>2078</v>
      </c>
      <c r="D6459" s="8" t="s">
        <v>760</v>
      </c>
      <c r="E6459" s="52">
        <v>710</v>
      </c>
      <c r="F6459" s="13"/>
      <c r="G6459" s="13">
        <v>796.88</v>
      </c>
    </row>
    <row r="6460" spans="1:7" hidden="1" x14ac:dyDescent="0.75">
      <c r="A6460" s="51">
        <v>44935</v>
      </c>
      <c r="B6460" s="52">
        <v>408</v>
      </c>
      <c r="C6460" s="8" t="s">
        <v>2156</v>
      </c>
      <c r="D6460" s="8" t="s">
        <v>760</v>
      </c>
      <c r="E6460" s="52">
        <v>716</v>
      </c>
      <c r="F6460" s="13"/>
      <c r="G6460" s="13">
        <v>1007.43</v>
      </c>
    </row>
    <row r="6461" spans="1:7" hidden="1" x14ac:dyDescent="0.75">
      <c r="A6461" s="51">
        <v>44935</v>
      </c>
      <c r="B6461" s="52">
        <v>408</v>
      </c>
      <c r="C6461" s="8" t="s">
        <v>2008</v>
      </c>
      <c r="D6461" s="8" t="s">
        <v>760</v>
      </c>
      <c r="E6461" s="52">
        <v>713</v>
      </c>
      <c r="F6461" s="13"/>
      <c r="G6461" s="13">
        <v>1057.97</v>
      </c>
    </row>
    <row r="6462" spans="1:7" hidden="1" x14ac:dyDescent="0.75">
      <c r="A6462" s="51">
        <v>44935</v>
      </c>
      <c r="B6462" s="52">
        <v>408</v>
      </c>
      <c r="C6462" s="8" t="s">
        <v>1968</v>
      </c>
      <c r="D6462" s="8" t="s">
        <v>760</v>
      </c>
      <c r="E6462" s="52">
        <v>1124</v>
      </c>
      <c r="F6462" s="13"/>
      <c r="G6462" s="13">
        <v>2582.3200000000002</v>
      </c>
    </row>
    <row r="6463" spans="1:7" hidden="1" x14ac:dyDescent="0.75">
      <c r="A6463" s="51">
        <v>44935</v>
      </c>
      <c r="B6463" s="52">
        <v>408</v>
      </c>
      <c r="C6463" s="8" t="s">
        <v>2040</v>
      </c>
      <c r="D6463" s="8" t="s">
        <v>760</v>
      </c>
      <c r="E6463" s="52">
        <v>711</v>
      </c>
      <c r="F6463" s="13"/>
      <c r="G6463" s="13">
        <v>3169.39</v>
      </c>
    </row>
    <row r="6464" spans="1:7" hidden="1" x14ac:dyDescent="0.75">
      <c r="A6464" s="51">
        <v>44935</v>
      </c>
      <c r="B6464" s="52">
        <v>408</v>
      </c>
      <c r="C6464" s="8" t="s">
        <v>2120</v>
      </c>
      <c r="D6464" s="8" t="s">
        <v>760</v>
      </c>
      <c r="E6464" s="52">
        <v>712</v>
      </c>
      <c r="F6464" s="13"/>
      <c r="G6464" s="13">
        <v>3859.78</v>
      </c>
    </row>
    <row r="6465" spans="1:7" hidden="1" x14ac:dyDescent="0.75">
      <c r="A6465" s="51">
        <v>44935</v>
      </c>
      <c r="B6465" s="52">
        <v>408</v>
      </c>
      <c r="C6465" s="8" t="s">
        <v>2966</v>
      </c>
      <c r="D6465" s="8" t="s">
        <v>760</v>
      </c>
      <c r="E6465" s="52">
        <v>1765</v>
      </c>
      <c r="F6465" s="13"/>
      <c r="G6465" s="13">
        <v>2089.75</v>
      </c>
    </row>
    <row r="6466" spans="1:7" hidden="1" x14ac:dyDescent="0.75">
      <c r="A6466" s="51">
        <v>44935</v>
      </c>
      <c r="B6466" s="52">
        <v>408</v>
      </c>
      <c r="C6466" s="8" t="s">
        <v>2198</v>
      </c>
      <c r="D6466" s="8" t="s">
        <v>760</v>
      </c>
      <c r="E6466" s="52">
        <v>1736</v>
      </c>
      <c r="F6466" s="13"/>
      <c r="G6466" s="13">
        <v>1380.89</v>
      </c>
    </row>
    <row r="6467" spans="1:7" hidden="1" x14ac:dyDescent="0.75">
      <c r="A6467" s="51">
        <v>44935</v>
      </c>
      <c r="B6467" s="52">
        <v>408</v>
      </c>
      <c r="C6467" s="8" t="s">
        <v>2199</v>
      </c>
      <c r="D6467" s="8" t="s">
        <v>760</v>
      </c>
      <c r="E6467" s="52">
        <v>1736</v>
      </c>
      <c r="F6467" s="13"/>
      <c r="G6467" s="13">
        <v>1111.05</v>
      </c>
    </row>
    <row r="6468" spans="1:7" hidden="1" x14ac:dyDescent="0.75">
      <c r="A6468" s="51">
        <v>44935</v>
      </c>
      <c r="B6468" s="52">
        <v>408</v>
      </c>
      <c r="C6468" s="8" t="s">
        <v>2308</v>
      </c>
      <c r="D6468" s="8" t="s">
        <v>760</v>
      </c>
      <c r="E6468" s="52">
        <v>717</v>
      </c>
      <c r="F6468" s="13"/>
      <c r="G6468" s="13">
        <v>649</v>
      </c>
    </row>
    <row r="6469" spans="1:7" hidden="1" x14ac:dyDescent="0.75">
      <c r="A6469" s="51">
        <v>44935</v>
      </c>
      <c r="B6469" s="52">
        <v>408</v>
      </c>
      <c r="C6469" s="8" t="s">
        <v>2680</v>
      </c>
      <c r="D6469" s="8" t="s">
        <v>760</v>
      </c>
      <c r="E6469" s="52">
        <v>883</v>
      </c>
      <c r="F6469" s="13"/>
      <c r="G6469" s="13">
        <v>3407.1</v>
      </c>
    </row>
    <row r="6470" spans="1:7" hidden="1" x14ac:dyDescent="0.75">
      <c r="A6470" s="51">
        <v>44935</v>
      </c>
      <c r="B6470" s="52">
        <v>408</v>
      </c>
      <c r="C6470" s="8" t="s">
        <v>2681</v>
      </c>
      <c r="D6470" s="8" t="s">
        <v>760</v>
      </c>
      <c r="E6470" s="52">
        <v>883</v>
      </c>
      <c r="F6470" s="13"/>
      <c r="G6470" s="13">
        <v>1006</v>
      </c>
    </row>
    <row r="6471" spans="1:7" hidden="1" x14ac:dyDescent="0.75">
      <c r="A6471" s="51">
        <v>44935</v>
      </c>
      <c r="B6471" s="52">
        <v>408</v>
      </c>
      <c r="C6471" s="8" t="s">
        <v>2708</v>
      </c>
      <c r="D6471" s="8" t="s">
        <v>760</v>
      </c>
      <c r="E6471" s="52">
        <v>885</v>
      </c>
      <c r="F6471" s="13"/>
      <c r="G6471" s="13">
        <v>585.4</v>
      </c>
    </row>
    <row r="6472" spans="1:7" hidden="1" x14ac:dyDescent="0.75">
      <c r="A6472" s="51">
        <v>44935</v>
      </c>
      <c r="B6472" s="52">
        <v>408</v>
      </c>
      <c r="C6472" s="8" t="s">
        <v>2726</v>
      </c>
      <c r="D6472" s="8" t="s">
        <v>760</v>
      </c>
      <c r="E6472" s="52">
        <v>882</v>
      </c>
      <c r="F6472" s="13"/>
      <c r="G6472" s="13">
        <v>385.2</v>
      </c>
    </row>
    <row r="6473" spans="1:7" hidden="1" x14ac:dyDescent="0.75">
      <c r="A6473" s="51">
        <v>44935</v>
      </c>
      <c r="B6473" s="52">
        <v>408</v>
      </c>
      <c r="C6473" s="8" t="s">
        <v>2751</v>
      </c>
      <c r="D6473" s="8" t="s">
        <v>760</v>
      </c>
      <c r="E6473" s="52">
        <v>884</v>
      </c>
      <c r="F6473" s="13"/>
      <c r="G6473" s="13">
        <v>3895.7</v>
      </c>
    </row>
    <row r="6474" spans="1:7" hidden="1" x14ac:dyDescent="0.75">
      <c r="A6474" s="51">
        <v>44935</v>
      </c>
      <c r="B6474" s="52">
        <v>408</v>
      </c>
      <c r="C6474" s="8" t="s">
        <v>2752</v>
      </c>
      <c r="D6474" s="8" t="s">
        <v>760</v>
      </c>
      <c r="E6474" s="52">
        <v>884</v>
      </c>
      <c r="F6474" s="13"/>
      <c r="G6474" s="13">
        <v>1305</v>
      </c>
    </row>
    <row r="6475" spans="1:7" hidden="1" x14ac:dyDescent="0.75">
      <c r="A6475" s="51">
        <v>44935</v>
      </c>
      <c r="B6475" s="52">
        <v>408</v>
      </c>
      <c r="C6475" s="8" t="s">
        <v>2797</v>
      </c>
      <c r="D6475" s="8" t="s">
        <v>760</v>
      </c>
      <c r="E6475" s="52">
        <v>1025</v>
      </c>
      <c r="F6475" s="13"/>
      <c r="G6475" s="13">
        <v>1839.2</v>
      </c>
    </row>
    <row r="6476" spans="1:7" hidden="1" x14ac:dyDescent="0.75">
      <c r="A6476" s="51">
        <v>44935</v>
      </c>
      <c r="B6476" s="52">
        <v>408</v>
      </c>
      <c r="C6476" s="8" t="s">
        <v>2798</v>
      </c>
      <c r="D6476" s="8" t="s">
        <v>760</v>
      </c>
      <c r="E6476" s="52">
        <v>1025</v>
      </c>
      <c r="F6476" s="13"/>
      <c r="G6476" s="13">
        <v>479.5</v>
      </c>
    </row>
    <row r="6477" spans="1:7" hidden="1" x14ac:dyDescent="0.75">
      <c r="A6477" s="51">
        <v>44935</v>
      </c>
      <c r="B6477" s="52">
        <v>408</v>
      </c>
      <c r="C6477" s="8" t="s">
        <v>2398</v>
      </c>
      <c r="D6477" s="8" t="s">
        <v>760</v>
      </c>
      <c r="E6477" s="52">
        <v>719</v>
      </c>
      <c r="F6477" s="13"/>
      <c r="G6477" s="13">
        <v>376.38</v>
      </c>
    </row>
    <row r="6478" spans="1:7" hidden="1" x14ac:dyDescent="0.75">
      <c r="A6478" s="51">
        <v>44935</v>
      </c>
      <c r="B6478" s="52">
        <v>408</v>
      </c>
      <c r="C6478" s="8" t="s">
        <v>2455</v>
      </c>
      <c r="D6478" s="8" t="s">
        <v>760</v>
      </c>
      <c r="E6478" s="52">
        <v>714</v>
      </c>
      <c r="F6478" s="13"/>
      <c r="G6478" s="13">
        <v>1678.57</v>
      </c>
    </row>
    <row r="6479" spans="1:7" hidden="1" x14ac:dyDescent="0.75">
      <c r="A6479" s="51">
        <v>44935</v>
      </c>
      <c r="B6479" s="52">
        <v>408</v>
      </c>
      <c r="C6479" s="8" t="s">
        <v>3113</v>
      </c>
      <c r="D6479" s="8" t="s">
        <v>760</v>
      </c>
      <c r="E6479" s="52">
        <v>1789</v>
      </c>
      <c r="F6479" s="13"/>
      <c r="G6479" s="13">
        <v>306</v>
      </c>
    </row>
    <row r="6480" spans="1:7" hidden="1" x14ac:dyDescent="0.75">
      <c r="A6480" s="51">
        <v>44935</v>
      </c>
      <c r="B6480" s="52">
        <v>408</v>
      </c>
      <c r="C6480" s="8" t="s">
        <v>2855</v>
      </c>
      <c r="D6480" s="8" t="s">
        <v>760</v>
      </c>
      <c r="E6480" s="52">
        <v>1788</v>
      </c>
      <c r="F6480" s="13"/>
      <c r="G6480" s="13">
        <v>306</v>
      </c>
    </row>
    <row r="6481" spans="1:7" hidden="1" x14ac:dyDescent="0.75">
      <c r="A6481" s="51">
        <v>44935</v>
      </c>
      <c r="B6481" s="52">
        <v>408</v>
      </c>
      <c r="C6481" s="8" t="s">
        <v>2540</v>
      </c>
      <c r="D6481" s="8" t="s">
        <v>760</v>
      </c>
      <c r="E6481" s="52">
        <v>1024</v>
      </c>
      <c r="F6481" s="13"/>
      <c r="G6481" s="13">
        <v>1280</v>
      </c>
    </row>
    <row r="6482" spans="1:7" hidden="1" x14ac:dyDescent="0.75">
      <c r="A6482" s="51">
        <v>44935</v>
      </c>
      <c r="B6482" s="52">
        <v>408</v>
      </c>
      <c r="C6482" s="8" t="s">
        <v>2541</v>
      </c>
      <c r="D6482" s="8" t="s">
        <v>760</v>
      </c>
      <c r="E6482" s="52">
        <v>1024</v>
      </c>
      <c r="F6482" s="13"/>
      <c r="G6482" s="13">
        <v>2291</v>
      </c>
    </row>
    <row r="6483" spans="1:7" hidden="1" x14ac:dyDescent="0.75">
      <c r="A6483" s="51">
        <v>44935</v>
      </c>
      <c r="B6483" s="52">
        <v>408</v>
      </c>
      <c r="C6483" s="8" t="s">
        <v>2542</v>
      </c>
      <c r="D6483" s="8" t="s">
        <v>760</v>
      </c>
      <c r="E6483" s="52">
        <v>1024</v>
      </c>
      <c r="F6483" s="13"/>
      <c r="G6483" s="13">
        <v>322</v>
      </c>
    </row>
    <row r="6484" spans="1:7" hidden="1" x14ac:dyDescent="0.75">
      <c r="A6484" s="51">
        <v>44935</v>
      </c>
      <c r="B6484" s="52">
        <v>408</v>
      </c>
      <c r="C6484" s="8" t="s">
        <v>2543</v>
      </c>
      <c r="D6484" s="8" t="s">
        <v>760</v>
      </c>
      <c r="E6484" s="52">
        <v>1024</v>
      </c>
      <c r="F6484" s="13"/>
      <c r="G6484" s="13">
        <v>340</v>
      </c>
    </row>
    <row r="6485" spans="1:7" hidden="1" x14ac:dyDescent="0.75">
      <c r="A6485" s="51">
        <v>44935</v>
      </c>
      <c r="B6485" s="52">
        <v>408</v>
      </c>
      <c r="C6485" s="8" t="s">
        <v>2544</v>
      </c>
      <c r="D6485" s="8" t="s">
        <v>760</v>
      </c>
      <c r="E6485" s="52">
        <v>1024</v>
      </c>
      <c r="F6485" s="13"/>
      <c r="G6485" s="13">
        <v>2283</v>
      </c>
    </row>
    <row r="6486" spans="1:7" hidden="1" x14ac:dyDescent="0.75">
      <c r="A6486" s="51">
        <v>44936</v>
      </c>
      <c r="B6486" s="52">
        <v>408</v>
      </c>
      <c r="C6486" s="8" t="s">
        <v>2545</v>
      </c>
      <c r="D6486" s="8" t="s">
        <v>760</v>
      </c>
      <c r="E6486" s="52">
        <v>1024</v>
      </c>
      <c r="F6486" s="13"/>
      <c r="G6486" s="13">
        <v>89.5</v>
      </c>
    </row>
    <row r="6487" spans="1:7" hidden="1" x14ac:dyDescent="0.75">
      <c r="A6487" s="51">
        <v>44936</v>
      </c>
      <c r="B6487" s="52">
        <v>408</v>
      </c>
      <c r="C6487" s="8" t="s">
        <v>2546</v>
      </c>
      <c r="D6487" s="8" t="s">
        <v>760</v>
      </c>
      <c r="E6487" s="52">
        <v>1024</v>
      </c>
      <c r="F6487" s="13"/>
      <c r="G6487" s="13">
        <v>1736.6</v>
      </c>
    </row>
    <row r="6488" spans="1:7" hidden="1" x14ac:dyDescent="0.75">
      <c r="A6488" s="51">
        <v>44936</v>
      </c>
      <c r="B6488" s="52">
        <v>408</v>
      </c>
      <c r="C6488" s="8" t="s">
        <v>2825</v>
      </c>
      <c r="D6488" s="8" t="s">
        <v>760</v>
      </c>
      <c r="E6488" s="52">
        <v>707</v>
      </c>
      <c r="F6488" s="13"/>
      <c r="G6488" s="13">
        <v>1885.56</v>
      </c>
    </row>
    <row r="6489" spans="1:7" hidden="1" x14ac:dyDescent="0.75">
      <c r="A6489" s="51">
        <v>44936</v>
      </c>
      <c r="B6489" s="52">
        <v>408</v>
      </c>
      <c r="C6489" s="8" t="s">
        <v>3035</v>
      </c>
      <c r="D6489" s="8" t="s">
        <v>760</v>
      </c>
      <c r="E6489" s="52">
        <v>1752</v>
      </c>
      <c r="F6489" s="13"/>
      <c r="G6489" s="13">
        <v>556.75</v>
      </c>
    </row>
    <row r="6490" spans="1:7" hidden="1" x14ac:dyDescent="0.75">
      <c r="A6490" s="51">
        <v>44936</v>
      </c>
      <c r="B6490" s="52">
        <v>408</v>
      </c>
      <c r="C6490" s="8" t="s">
        <v>3089</v>
      </c>
      <c r="D6490" s="8" t="s">
        <v>760</v>
      </c>
      <c r="E6490" s="52">
        <v>1747</v>
      </c>
      <c r="F6490" s="13"/>
      <c r="G6490" s="13">
        <v>1361.2</v>
      </c>
    </row>
    <row r="6491" spans="1:7" hidden="1" x14ac:dyDescent="0.75">
      <c r="A6491" s="51">
        <v>44936</v>
      </c>
      <c r="B6491" s="52">
        <v>408</v>
      </c>
      <c r="C6491" s="8" t="s">
        <v>2102</v>
      </c>
      <c r="D6491" s="8" t="s">
        <v>760</v>
      </c>
      <c r="E6491" s="52">
        <v>720</v>
      </c>
      <c r="F6491" s="13"/>
      <c r="G6491" s="13">
        <v>2802.04</v>
      </c>
    </row>
    <row r="6492" spans="1:7" hidden="1" x14ac:dyDescent="0.75">
      <c r="A6492" s="51">
        <v>44936</v>
      </c>
      <c r="B6492" s="52">
        <v>408</v>
      </c>
      <c r="C6492" s="8" t="s">
        <v>1995</v>
      </c>
      <c r="D6492" s="8" t="s">
        <v>760</v>
      </c>
      <c r="E6492" s="52">
        <v>724</v>
      </c>
      <c r="F6492" s="13"/>
      <c r="G6492" s="13">
        <v>2171.9899999999998</v>
      </c>
    </row>
    <row r="6493" spans="1:7" hidden="1" x14ac:dyDescent="0.75">
      <c r="A6493" s="51">
        <v>44936</v>
      </c>
      <c r="B6493" s="52">
        <v>408</v>
      </c>
      <c r="C6493" s="8" t="s">
        <v>3036</v>
      </c>
      <c r="D6493" s="8" t="s">
        <v>760</v>
      </c>
      <c r="E6493" s="52">
        <v>1752</v>
      </c>
      <c r="F6493" s="13"/>
      <c r="G6493" s="13">
        <v>155.4</v>
      </c>
    </row>
    <row r="6494" spans="1:7" hidden="1" x14ac:dyDescent="0.75">
      <c r="A6494" s="51">
        <v>44936</v>
      </c>
      <c r="B6494" s="52">
        <v>408</v>
      </c>
      <c r="C6494" s="8" t="s">
        <v>3010</v>
      </c>
      <c r="D6494" s="8" t="s">
        <v>760</v>
      </c>
      <c r="E6494" s="52">
        <v>1748</v>
      </c>
      <c r="F6494" s="13"/>
      <c r="G6494" s="13">
        <v>385.1</v>
      </c>
    </row>
    <row r="6495" spans="1:7" hidden="1" x14ac:dyDescent="0.75">
      <c r="A6495" s="51">
        <v>44936</v>
      </c>
      <c r="B6495" s="52">
        <v>408</v>
      </c>
      <c r="C6495" s="8" t="s">
        <v>3090</v>
      </c>
      <c r="D6495" s="8" t="s">
        <v>760</v>
      </c>
      <c r="E6495" s="52">
        <v>1747</v>
      </c>
      <c r="F6495" s="13"/>
      <c r="G6495" s="13">
        <v>1114.7</v>
      </c>
    </row>
    <row r="6496" spans="1:7" hidden="1" x14ac:dyDescent="0.75">
      <c r="A6496" s="51">
        <v>44936</v>
      </c>
      <c r="B6496" s="52">
        <v>408</v>
      </c>
      <c r="C6496" s="8" t="s">
        <v>3061</v>
      </c>
      <c r="D6496" s="8" t="s">
        <v>760</v>
      </c>
      <c r="E6496" s="52">
        <v>1696</v>
      </c>
      <c r="F6496" s="13"/>
      <c r="G6496" s="13">
        <v>287.10000000000002</v>
      </c>
    </row>
    <row r="6497" spans="1:7" hidden="1" x14ac:dyDescent="0.75">
      <c r="A6497" s="51">
        <v>44936</v>
      </c>
      <c r="B6497" s="52">
        <v>408</v>
      </c>
      <c r="C6497" s="8" t="s">
        <v>2983</v>
      </c>
      <c r="D6497" s="8" t="s">
        <v>760</v>
      </c>
      <c r="E6497" s="52">
        <v>1751</v>
      </c>
      <c r="F6497" s="13"/>
      <c r="G6497" s="13">
        <v>1016</v>
      </c>
    </row>
    <row r="6498" spans="1:7" hidden="1" x14ac:dyDescent="0.75">
      <c r="A6498" s="51">
        <v>44936</v>
      </c>
      <c r="B6498" s="52">
        <v>408</v>
      </c>
      <c r="C6498" s="8" t="s">
        <v>3062</v>
      </c>
      <c r="D6498" s="8" t="s">
        <v>760</v>
      </c>
      <c r="E6498" s="52">
        <v>1696</v>
      </c>
      <c r="F6498" s="13"/>
      <c r="G6498" s="13">
        <v>425.1</v>
      </c>
    </row>
    <row r="6499" spans="1:7" hidden="1" x14ac:dyDescent="0.75">
      <c r="A6499" s="51">
        <v>44936</v>
      </c>
      <c r="B6499" s="52">
        <v>408</v>
      </c>
      <c r="C6499" s="8" t="s">
        <v>3011</v>
      </c>
      <c r="D6499" s="8" t="s">
        <v>760</v>
      </c>
      <c r="E6499" s="52">
        <v>1748</v>
      </c>
      <c r="F6499" s="13"/>
      <c r="G6499" s="13">
        <v>731.5</v>
      </c>
    </row>
    <row r="6500" spans="1:7" hidden="1" x14ac:dyDescent="0.75">
      <c r="A6500" s="51">
        <v>44936</v>
      </c>
      <c r="B6500" s="52">
        <v>408</v>
      </c>
      <c r="C6500" s="8" t="s">
        <v>2984</v>
      </c>
      <c r="D6500" s="8" t="s">
        <v>760</v>
      </c>
      <c r="E6500" s="52">
        <v>1751</v>
      </c>
      <c r="F6500" s="13"/>
      <c r="G6500" s="13">
        <v>1007.7</v>
      </c>
    </row>
    <row r="6501" spans="1:7" hidden="1" x14ac:dyDescent="0.75">
      <c r="A6501" s="51">
        <v>44936</v>
      </c>
      <c r="B6501" s="52">
        <v>408</v>
      </c>
      <c r="C6501" s="8" t="s">
        <v>2309</v>
      </c>
      <c r="D6501" s="8" t="s">
        <v>760</v>
      </c>
      <c r="E6501" s="52">
        <v>717</v>
      </c>
      <c r="F6501" s="13"/>
      <c r="G6501" s="13">
        <v>1973.9</v>
      </c>
    </row>
    <row r="6502" spans="1:7" hidden="1" x14ac:dyDescent="0.75">
      <c r="A6502" s="51">
        <v>44936</v>
      </c>
      <c r="B6502" s="52">
        <v>408</v>
      </c>
      <c r="C6502" s="8" t="s">
        <v>2356</v>
      </c>
      <c r="D6502" s="8" t="s">
        <v>760</v>
      </c>
      <c r="E6502" s="52">
        <v>1818</v>
      </c>
      <c r="F6502" s="13"/>
      <c r="G6502" s="13">
        <v>1885.4</v>
      </c>
    </row>
    <row r="6503" spans="1:7" hidden="1" x14ac:dyDescent="0.75">
      <c r="A6503" s="51">
        <v>44936</v>
      </c>
      <c r="B6503" s="52">
        <v>408</v>
      </c>
      <c r="C6503" s="8" t="s">
        <v>2079</v>
      </c>
      <c r="D6503" s="8" t="s">
        <v>760</v>
      </c>
      <c r="E6503" s="52">
        <v>710</v>
      </c>
      <c r="F6503" s="13"/>
      <c r="G6503" s="13">
        <v>445.56</v>
      </c>
    </row>
    <row r="6504" spans="1:7" hidden="1" x14ac:dyDescent="0.75">
      <c r="A6504" s="51">
        <v>44936</v>
      </c>
      <c r="B6504" s="52">
        <v>408</v>
      </c>
      <c r="C6504" s="8" t="s">
        <v>2157</v>
      </c>
      <c r="D6504" s="8" t="s">
        <v>760</v>
      </c>
      <c r="E6504" s="52">
        <v>716</v>
      </c>
      <c r="F6504" s="13"/>
      <c r="G6504" s="13">
        <v>1193.93</v>
      </c>
    </row>
    <row r="6505" spans="1:7" hidden="1" x14ac:dyDescent="0.75">
      <c r="A6505" s="51">
        <v>44936</v>
      </c>
      <c r="B6505" s="52">
        <v>408</v>
      </c>
      <c r="C6505" s="8" t="s">
        <v>2421</v>
      </c>
      <c r="D6505" s="8" t="s">
        <v>760</v>
      </c>
      <c r="E6505" s="52">
        <v>1821</v>
      </c>
      <c r="F6505" s="13"/>
      <c r="G6505" s="13">
        <v>343.7</v>
      </c>
    </row>
    <row r="6506" spans="1:7" hidden="1" x14ac:dyDescent="0.75">
      <c r="A6506" s="51">
        <v>44936</v>
      </c>
      <c r="B6506" s="52">
        <v>408</v>
      </c>
      <c r="C6506" s="8" t="s">
        <v>2456</v>
      </c>
      <c r="D6506" s="8" t="s">
        <v>760</v>
      </c>
      <c r="E6506" s="52">
        <v>714</v>
      </c>
      <c r="F6506" s="13"/>
      <c r="G6506" s="13">
        <v>652.4</v>
      </c>
    </row>
    <row r="6507" spans="1:7" hidden="1" x14ac:dyDescent="0.75">
      <c r="A6507" s="51">
        <v>44936</v>
      </c>
      <c r="B6507" s="52">
        <v>408</v>
      </c>
      <c r="C6507" s="8" t="s">
        <v>2041</v>
      </c>
      <c r="D6507" s="8" t="s">
        <v>760</v>
      </c>
      <c r="E6507" s="52">
        <v>711</v>
      </c>
      <c r="F6507" s="13"/>
      <c r="G6507" s="13">
        <v>1983.85</v>
      </c>
    </row>
    <row r="6508" spans="1:7" hidden="1" x14ac:dyDescent="0.75">
      <c r="A6508" s="51">
        <v>44936</v>
      </c>
      <c r="B6508" s="52">
        <v>408</v>
      </c>
      <c r="C6508" s="8" t="s">
        <v>2121</v>
      </c>
      <c r="D6508" s="8" t="s">
        <v>760</v>
      </c>
      <c r="E6508" s="52">
        <v>712</v>
      </c>
      <c r="F6508" s="13"/>
      <c r="G6508" s="13">
        <v>3735.59</v>
      </c>
    </row>
    <row r="6509" spans="1:7" hidden="1" x14ac:dyDescent="0.75">
      <c r="A6509" s="51">
        <v>44936</v>
      </c>
      <c r="B6509" s="52">
        <v>408</v>
      </c>
      <c r="C6509" s="8" t="s">
        <v>1969</v>
      </c>
      <c r="D6509" s="8" t="s">
        <v>760</v>
      </c>
      <c r="E6509" s="52">
        <v>1124</v>
      </c>
      <c r="F6509" s="13"/>
      <c r="G6509" s="13">
        <v>1055.8399999999999</v>
      </c>
    </row>
    <row r="6510" spans="1:7" hidden="1" x14ac:dyDescent="0.75">
      <c r="A6510" s="51">
        <v>44936</v>
      </c>
      <c r="B6510" s="52">
        <v>408</v>
      </c>
      <c r="C6510" s="8" t="s">
        <v>2009</v>
      </c>
      <c r="D6510" s="8" t="s">
        <v>760</v>
      </c>
      <c r="E6510" s="52">
        <v>713</v>
      </c>
      <c r="F6510" s="13"/>
      <c r="G6510" s="13">
        <v>1133.7</v>
      </c>
    </row>
    <row r="6511" spans="1:7" hidden="1" x14ac:dyDescent="0.75">
      <c r="A6511" s="51">
        <v>44936</v>
      </c>
      <c r="B6511" s="52">
        <v>408</v>
      </c>
      <c r="C6511" s="8" t="s">
        <v>2826</v>
      </c>
      <c r="D6511" s="8" t="s">
        <v>760</v>
      </c>
      <c r="E6511" s="52">
        <v>707</v>
      </c>
      <c r="F6511" s="13"/>
      <c r="G6511" s="13">
        <v>2180</v>
      </c>
    </row>
    <row r="6512" spans="1:7" hidden="1" x14ac:dyDescent="0.75">
      <c r="A6512" s="51">
        <v>44936</v>
      </c>
      <c r="B6512" s="52">
        <v>408</v>
      </c>
      <c r="C6512" s="8" t="s">
        <v>2547</v>
      </c>
      <c r="D6512" s="8" t="s">
        <v>760</v>
      </c>
      <c r="E6512" s="52">
        <v>1024</v>
      </c>
      <c r="F6512" s="13"/>
      <c r="G6512" s="13">
        <v>4811</v>
      </c>
    </row>
    <row r="6513" spans="1:7" hidden="1" x14ac:dyDescent="0.75">
      <c r="A6513" s="51">
        <v>44936</v>
      </c>
      <c r="B6513" s="52">
        <v>408</v>
      </c>
      <c r="C6513" s="8" t="s">
        <v>2548</v>
      </c>
      <c r="D6513" s="8" t="s">
        <v>760</v>
      </c>
      <c r="E6513" s="52">
        <v>1024</v>
      </c>
      <c r="F6513" s="13"/>
      <c r="G6513" s="13">
        <v>2178</v>
      </c>
    </row>
    <row r="6514" spans="1:7" hidden="1" x14ac:dyDescent="0.75">
      <c r="A6514" s="51">
        <v>44936</v>
      </c>
      <c r="B6514" s="52">
        <v>408</v>
      </c>
      <c r="C6514" s="8" t="s">
        <v>2549</v>
      </c>
      <c r="D6514" s="8" t="s">
        <v>760</v>
      </c>
      <c r="E6514" s="52">
        <v>1024</v>
      </c>
      <c r="F6514" s="13"/>
      <c r="G6514" s="13">
        <v>1184.25</v>
      </c>
    </row>
    <row r="6515" spans="1:7" hidden="1" x14ac:dyDescent="0.75">
      <c r="A6515" s="51">
        <v>44936</v>
      </c>
      <c r="B6515" s="52">
        <v>408</v>
      </c>
      <c r="C6515" s="8" t="s">
        <v>2892</v>
      </c>
      <c r="D6515" s="8" t="s">
        <v>760</v>
      </c>
      <c r="E6515" s="52">
        <v>1508</v>
      </c>
      <c r="F6515" s="13"/>
      <c r="G6515" s="13">
        <v>2290</v>
      </c>
    </row>
    <row r="6516" spans="1:7" hidden="1" x14ac:dyDescent="0.75">
      <c r="A6516" s="51">
        <v>44936</v>
      </c>
      <c r="B6516" s="52">
        <v>408</v>
      </c>
      <c r="C6516" s="8" t="s">
        <v>2893</v>
      </c>
      <c r="D6516" s="8" t="s">
        <v>760</v>
      </c>
      <c r="E6516" s="52">
        <v>1508</v>
      </c>
      <c r="F6516" s="13"/>
      <c r="G6516" s="13">
        <v>3508.5</v>
      </c>
    </row>
    <row r="6517" spans="1:7" hidden="1" x14ac:dyDescent="0.75">
      <c r="A6517" s="51">
        <v>44936</v>
      </c>
      <c r="B6517" s="52">
        <v>408</v>
      </c>
      <c r="C6517" s="8" t="s">
        <v>2357</v>
      </c>
      <c r="D6517" s="8" t="s">
        <v>760</v>
      </c>
      <c r="E6517" s="52">
        <v>1818</v>
      </c>
      <c r="F6517" s="13"/>
      <c r="G6517" s="13">
        <v>691.15</v>
      </c>
    </row>
    <row r="6518" spans="1:7" hidden="1" x14ac:dyDescent="0.75">
      <c r="A6518" s="51">
        <v>44936</v>
      </c>
      <c r="B6518" s="52">
        <v>408</v>
      </c>
      <c r="C6518" s="8" t="s">
        <v>2358</v>
      </c>
      <c r="D6518" s="8" t="s">
        <v>760</v>
      </c>
      <c r="E6518" s="52">
        <v>1818</v>
      </c>
      <c r="F6518" s="13"/>
      <c r="G6518" s="13">
        <v>543.15</v>
      </c>
    </row>
    <row r="6519" spans="1:7" hidden="1" x14ac:dyDescent="0.75">
      <c r="A6519" s="51">
        <v>44936</v>
      </c>
      <c r="B6519" s="52">
        <v>408</v>
      </c>
      <c r="C6519" s="8" t="s">
        <v>2359</v>
      </c>
      <c r="D6519" s="8" t="s">
        <v>760</v>
      </c>
      <c r="E6519" s="52">
        <v>1818</v>
      </c>
      <c r="F6519" s="13"/>
      <c r="G6519" s="13">
        <v>543.15</v>
      </c>
    </row>
    <row r="6520" spans="1:7" hidden="1" x14ac:dyDescent="0.75">
      <c r="A6520" s="51">
        <v>44937</v>
      </c>
      <c r="B6520" s="52">
        <v>408</v>
      </c>
      <c r="C6520" s="8" t="s">
        <v>2566</v>
      </c>
      <c r="D6520" s="8" t="s">
        <v>760</v>
      </c>
      <c r="E6520" s="52">
        <v>1024</v>
      </c>
      <c r="F6520" s="13"/>
      <c r="G6520" s="13">
        <v>1156</v>
      </c>
    </row>
    <row r="6521" spans="1:7" hidden="1" x14ac:dyDescent="0.75">
      <c r="A6521" s="51">
        <v>44937</v>
      </c>
      <c r="B6521" s="52">
        <v>408</v>
      </c>
      <c r="C6521" s="8" t="s">
        <v>2363</v>
      </c>
      <c r="D6521" s="8" t="s">
        <v>760</v>
      </c>
      <c r="E6521" s="52">
        <v>1818</v>
      </c>
      <c r="F6521" s="13"/>
      <c r="G6521" s="13">
        <v>543.15</v>
      </c>
    </row>
    <row r="6522" spans="1:7" hidden="1" x14ac:dyDescent="0.75">
      <c r="A6522" s="51">
        <v>44937</v>
      </c>
      <c r="B6522" s="52">
        <v>408</v>
      </c>
      <c r="C6522" s="8" t="s">
        <v>2364</v>
      </c>
      <c r="D6522" s="8" t="s">
        <v>760</v>
      </c>
      <c r="E6522" s="52">
        <v>1818</v>
      </c>
      <c r="F6522" s="13"/>
      <c r="G6522" s="13">
        <v>691.15</v>
      </c>
    </row>
    <row r="6523" spans="1:7" hidden="1" x14ac:dyDescent="0.75">
      <c r="A6523" s="51">
        <v>44937</v>
      </c>
      <c r="B6523" s="52">
        <v>408</v>
      </c>
      <c r="C6523" s="8" t="s">
        <v>2365</v>
      </c>
      <c r="D6523" s="8" t="s">
        <v>760</v>
      </c>
      <c r="E6523" s="52">
        <v>1818</v>
      </c>
      <c r="F6523" s="13"/>
      <c r="G6523" s="13">
        <v>603.15</v>
      </c>
    </row>
    <row r="6524" spans="1:7" hidden="1" x14ac:dyDescent="0.75">
      <c r="A6524" s="51">
        <v>44937</v>
      </c>
      <c r="B6524" s="52">
        <v>408</v>
      </c>
      <c r="C6524" s="8" t="s">
        <v>2567</v>
      </c>
      <c r="D6524" s="8" t="s">
        <v>760</v>
      </c>
      <c r="E6524" s="52">
        <v>1024</v>
      </c>
      <c r="F6524" s="13"/>
      <c r="G6524" s="13">
        <v>268.5</v>
      </c>
    </row>
    <row r="6525" spans="1:7" hidden="1" x14ac:dyDescent="0.75">
      <c r="A6525" s="51">
        <v>44937</v>
      </c>
      <c r="B6525" s="52">
        <v>408</v>
      </c>
      <c r="C6525" s="8" t="s">
        <v>2568</v>
      </c>
      <c r="D6525" s="8" t="s">
        <v>760</v>
      </c>
      <c r="E6525" s="52">
        <v>1024</v>
      </c>
      <c r="F6525" s="13"/>
      <c r="G6525" s="13">
        <v>1852.1</v>
      </c>
    </row>
    <row r="6526" spans="1:7" hidden="1" x14ac:dyDescent="0.75">
      <c r="A6526" s="51">
        <v>44937</v>
      </c>
      <c r="B6526" s="52">
        <v>408</v>
      </c>
      <c r="C6526" s="8" t="s">
        <v>2238</v>
      </c>
      <c r="D6526" s="8" t="s">
        <v>760</v>
      </c>
      <c r="E6526" s="52">
        <v>804</v>
      </c>
      <c r="F6526" s="13"/>
      <c r="G6526" s="13">
        <v>916.75</v>
      </c>
    </row>
    <row r="6527" spans="1:7" hidden="1" x14ac:dyDescent="0.75">
      <c r="A6527" s="51">
        <v>44937</v>
      </c>
      <c r="B6527" s="52">
        <v>408</v>
      </c>
      <c r="C6527" s="8" t="s">
        <v>2270</v>
      </c>
      <c r="D6527" s="8" t="s">
        <v>760</v>
      </c>
      <c r="E6527" s="52">
        <v>806</v>
      </c>
      <c r="F6527" s="13"/>
      <c r="G6527" s="13">
        <v>990</v>
      </c>
    </row>
    <row r="6528" spans="1:7" hidden="1" x14ac:dyDescent="0.75">
      <c r="A6528" s="51">
        <v>44937</v>
      </c>
      <c r="B6528" s="52">
        <v>408</v>
      </c>
      <c r="C6528" s="8" t="s">
        <v>2271</v>
      </c>
      <c r="D6528" s="8" t="s">
        <v>760</v>
      </c>
      <c r="E6528" s="52">
        <v>806</v>
      </c>
      <c r="F6528" s="13"/>
      <c r="G6528" s="13">
        <v>2602.5</v>
      </c>
    </row>
    <row r="6529" spans="1:7" hidden="1" x14ac:dyDescent="0.75">
      <c r="A6529" s="51">
        <v>44937</v>
      </c>
      <c r="B6529" s="52">
        <v>408</v>
      </c>
      <c r="C6529" s="8" t="s">
        <v>2202</v>
      </c>
      <c r="D6529" s="8" t="s">
        <v>760</v>
      </c>
      <c r="E6529" s="52">
        <v>1736</v>
      </c>
      <c r="F6529" s="13"/>
      <c r="G6529" s="13">
        <v>1172.02</v>
      </c>
    </row>
    <row r="6530" spans="1:7" hidden="1" x14ac:dyDescent="0.75">
      <c r="A6530" s="51">
        <v>44937</v>
      </c>
      <c r="B6530" s="52">
        <v>408</v>
      </c>
      <c r="C6530" s="8" t="s">
        <v>1955</v>
      </c>
      <c r="D6530" s="8" t="s">
        <v>760</v>
      </c>
      <c r="E6530" s="52">
        <v>709</v>
      </c>
      <c r="F6530" s="13"/>
      <c r="G6530" s="13">
        <v>1216.2</v>
      </c>
    </row>
    <row r="6531" spans="1:7" hidden="1" x14ac:dyDescent="0.75">
      <c r="A6531" s="51">
        <v>44937</v>
      </c>
      <c r="B6531" s="52">
        <v>408</v>
      </c>
      <c r="C6531" s="8" t="s">
        <v>2366</v>
      </c>
      <c r="D6531" s="8" t="s">
        <v>760</v>
      </c>
      <c r="E6531" s="52">
        <v>1818</v>
      </c>
      <c r="F6531" s="13"/>
      <c r="G6531" s="13">
        <v>173.9</v>
      </c>
    </row>
    <row r="6532" spans="1:7" hidden="1" x14ac:dyDescent="0.75">
      <c r="A6532" s="51">
        <v>44937</v>
      </c>
      <c r="B6532" s="52">
        <v>408</v>
      </c>
      <c r="C6532" s="8" t="s">
        <v>2367</v>
      </c>
      <c r="D6532" s="8" t="s">
        <v>760</v>
      </c>
      <c r="E6532" s="52">
        <v>1818</v>
      </c>
      <c r="F6532" s="13"/>
      <c r="G6532" s="13">
        <v>2550.6999999999998</v>
      </c>
    </row>
    <row r="6533" spans="1:7" hidden="1" x14ac:dyDescent="0.75">
      <c r="A6533" s="51">
        <v>44937</v>
      </c>
      <c r="B6533" s="52">
        <v>408</v>
      </c>
      <c r="C6533" s="8" t="s">
        <v>2315</v>
      </c>
      <c r="D6533" s="8" t="s">
        <v>760</v>
      </c>
      <c r="E6533" s="52">
        <v>717</v>
      </c>
      <c r="F6533" s="13"/>
      <c r="G6533" s="13">
        <v>1790.15</v>
      </c>
    </row>
    <row r="6534" spans="1:7" hidden="1" x14ac:dyDescent="0.75">
      <c r="A6534" s="51">
        <v>44937</v>
      </c>
      <c r="B6534" s="52">
        <v>408</v>
      </c>
      <c r="C6534" s="8" t="s">
        <v>2426</v>
      </c>
      <c r="D6534" s="8" t="s">
        <v>760</v>
      </c>
      <c r="E6534" s="52">
        <v>1821</v>
      </c>
      <c r="F6534" s="13"/>
      <c r="G6534" s="13">
        <v>222</v>
      </c>
    </row>
    <row r="6535" spans="1:7" hidden="1" x14ac:dyDescent="0.75">
      <c r="A6535" s="51">
        <v>44937</v>
      </c>
      <c r="B6535" s="52">
        <v>408</v>
      </c>
      <c r="C6535" s="8" t="s">
        <v>2011</v>
      </c>
      <c r="D6535" s="8" t="s">
        <v>760</v>
      </c>
      <c r="E6535" s="52">
        <v>713</v>
      </c>
      <c r="F6535" s="13"/>
      <c r="G6535" s="13">
        <v>1061.51</v>
      </c>
    </row>
    <row r="6536" spans="1:7" hidden="1" x14ac:dyDescent="0.75">
      <c r="A6536" s="51">
        <v>44937</v>
      </c>
      <c r="B6536" s="52">
        <v>408</v>
      </c>
      <c r="C6536" s="8" t="s">
        <v>2401</v>
      </c>
      <c r="D6536" s="8" t="s">
        <v>760</v>
      </c>
      <c r="E6536" s="52">
        <v>719</v>
      </c>
      <c r="F6536" s="13"/>
      <c r="G6536" s="13">
        <v>126.6</v>
      </c>
    </row>
    <row r="6537" spans="1:7" hidden="1" x14ac:dyDescent="0.75">
      <c r="A6537" s="51">
        <v>44937</v>
      </c>
      <c r="B6537" s="52">
        <v>408</v>
      </c>
      <c r="C6537" s="8" t="s">
        <v>2463</v>
      </c>
      <c r="D6537" s="8" t="s">
        <v>760</v>
      </c>
      <c r="E6537" s="52">
        <v>714</v>
      </c>
      <c r="F6537" s="13"/>
      <c r="G6537" s="13">
        <v>760</v>
      </c>
    </row>
    <row r="6538" spans="1:7" hidden="1" x14ac:dyDescent="0.75">
      <c r="A6538" s="51">
        <v>44937</v>
      </c>
      <c r="B6538" s="52">
        <v>408</v>
      </c>
      <c r="C6538" s="8" t="s">
        <v>2127</v>
      </c>
      <c r="D6538" s="8" t="s">
        <v>760</v>
      </c>
      <c r="E6538" s="52">
        <v>712</v>
      </c>
      <c r="F6538" s="13"/>
      <c r="G6538" s="13">
        <v>3270.35</v>
      </c>
    </row>
    <row r="6539" spans="1:7" hidden="1" x14ac:dyDescent="0.75">
      <c r="A6539" s="51">
        <v>44937</v>
      </c>
      <c r="B6539" s="52">
        <v>408</v>
      </c>
      <c r="C6539" s="8" t="s">
        <v>2043</v>
      </c>
      <c r="D6539" s="8" t="s">
        <v>760</v>
      </c>
      <c r="E6539" s="52">
        <v>711</v>
      </c>
      <c r="F6539" s="13"/>
      <c r="G6539" s="13">
        <v>2501.75</v>
      </c>
    </row>
    <row r="6540" spans="1:7" hidden="1" x14ac:dyDescent="0.75">
      <c r="A6540" s="51">
        <v>44937</v>
      </c>
      <c r="B6540" s="52">
        <v>408</v>
      </c>
      <c r="C6540" s="8" t="s">
        <v>1973</v>
      </c>
      <c r="D6540" s="8" t="s">
        <v>760</v>
      </c>
      <c r="E6540" s="52">
        <v>1124</v>
      </c>
      <c r="F6540" s="13"/>
      <c r="G6540" s="13">
        <v>1857.28</v>
      </c>
    </row>
    <row r="6541" spans="1:7" hidden="1" x14ac:dyDescent="0.75">
      <c r="A6541" s="51">
        <v>44937</v>
      </c>
      <c r="B6541" s="52">
        <v>408</v>
      </c>
      <c r="C6541" s="8" t="s">
        <v>2967</v>
      </c>
      <c r="D6541" s="8" t="s">
        <v>760</v>
      </c>
      <c r="E6541" s="52">
        <v>1765</v>
      </c>
      <c r="F6541" s="13"/>
      <c r="G6541" s="13">
        <v>2037</v>
      </c>
    </row>
    <row r="6542" spans="1:7" hidden="1" x14ac:dyDescent="0.75">
      <c r="A6542" s="51">
        <v>44937</v>
      </c>
      <c r="B6542" s="52">
        <v>408</v>
      </c>
      <c r="C6542" s="8" t="s">
        <v>2203</v>
      </c>
      <c r="D6542" s="8" t="s">
        <v>760</v>
      </c>
      <c r="E6542" s="52">
        <v>1736</v>
      </c>
      <c r="F6542" s="13"/>
      <c r="G6542" s="13">
        <v>1117.07</v>
      </c>
    </row>
    <row r="6543" spans="1:7" hidden="1" x14ac:dyDescent="0.75">
      <c r="A6543" s="51">
        <v>44937</v>
      </c>
      <c r="B6543" s="52">
        <v>408</v>
      </c>
      <c r="C6543" s="8" t="s">
        <v>2204</v>
      </c>
      <c r="D6543" s="8" t="s">
        <v>760</v>
      </c>
      <c r="E6543" s="52">
        <v>1736</v>
      </c>
      <c r="F6543" s="13"/>
      <c r="G6543" s="13">
        <v>627.29999999999995</v>
      </c>
    </row>
    <row r="6544" spans="1:7" hidden="1" x14ac:dyDescent="0.75">
      <c r="A6544" s="51">
        <v>44937</v>
      </c>
      <c r="B6544" s="52">
        <v>408</v>
      </c>
      <c r="C6544" s="8" t="s">
        <v>2205</v>
      </c>
      <c r="D6544" s="8" t="s">
        <v>760</v>
      </c>
      <c r="E6544" s="52">
        <v>1736</v>
      </c>
      <c r="F6544" s="13"/>
      <c r="G6544" s="13">
        <v>1045.3</v>
      </c>
    </row>
    <row r="6545" spans="1:7" hidden="1" x14ac:dyDescent="0.75">
      <c r="A6545" s="51">
        <v>44937</v>
      </c>
      <c r="B6545" s="52">
        <v>408</v>
      </c>
      <c r="C6545" s="8" t="s">
        <v>2206</v>
      </c>
      <c r="D6545" s="8" t="s">
        <v>760</v>
      </c>
      <c r="E6545" s="52">
        <v>1736</v>
      </c>
      <c r="F6545" s="13"/>
      <c r="G6545" s="13">
        <v>1023.3</v>
      </c>
    </row>
    <row r="6546" spans="1:7" hidden="1" x14ac:dyDescent="0.75">
      <c r="A6546" s="51">
        <v>44937</v>
      </c>
      <c r="B6546" s="52">
        <v>408</v>
      </c>
      <c r="C6546" s="8" t="s">
        <v>3114</v>
      </c>
      <c r="D6546" s="8" t="s">
        <v>760</v>
      </c>
      <c r="E6546" s="52">
        <v>1789</v>
      </c>
      <c r="F6546" s="13"/>
      <c r="G6546" s="13">
        <v>350.5</v>
      </c>
    </row>
    <row r="6547" spans="1:7" hidden="1" x14ac:dyDescent="0.75">
      <c r="A6547" s="51">
        <v>44937</v>
      </c>
      <c r="B6547" s="52">
        <v>408</v>
      </c>
      <c r="C6547" s="8" t="s">
        <v>2856</v>
      </c>
      <c r="D6547" s="8" t="s">
        <v>760</v>
      </c>
      <c r="E6547" s="52">
        <v>1788</v>
      </c>
      <c r="F6547" s="13"/>
      <c r="G6547" s="13">
        <v>350.5</v>
      </c>
    </row>
    <row r="6548" spans="1:7" hidden="1" x14ac:dyDescent="0.75">
      <c r="A6548" s="51">
        <v>44937</v>
      </c>
      <c r="B6548" s="52">
        <v>408</v>
      </c>
      <c r="C6548" s="8" t="s">
        <v>2682</v>
      </c>
      <c r="D6548" s="8" t="s">
        <v>760</v>
      </c>
      <c r="E6548" s="52">
        <v>883</v>
      </c>
      <c r="F6548" s="13"/>
      <c r="G6548" s="13">
        <v>4363.8999999999996</v>
      </c>
    </row>
    <row r="6549" spans="1:7" hidden="1" x14ac:dyDescent="0.75">
      <c r="A6549" s="51">
        <v>44937</v>
      </c>
      <c r="B6549" s="52">
        <v>408</v>
      </c>
      <c r="C6549" s="8" t="s">
        <v>2683</v>
      </c>
      <c r="D6549" s="8" t="s">
        <v>760</v>
      </c>
      <c r="E6549" s="52">
        <v>883</v>
      </c>
      <c r="F6549" s="13"/>
      <c r="G6549" s="13">
        <v>786</v>
      </c>
    </row>
    <row r="6550" spans="1:7" hidden="1" x14ac:dyDescent="0.75">
      <c r="A6550" s="51">
        <v>44937</v>
      </c>
      <c r="B6550" s="52">
        <v>408</v>
      </c>
      <c r="C6550" s="8" t="s">
        <v>2709</v>
      </c>
      <c r="D6550" s="8" t="s">
        <v>760</v>
      </c>
      <c r="E6550" s="52">
        <v>885</v>
      </c>
      <c r="F6550" s="13"/>
      <c r="G6550" s="13">
        <v>1280.5</v>
      </c>
    </row>
    <row r="6551" spans="1:7" hidden="1" x14ac:dyDescent="0.75">
      <c r="A6551" s="51">
        <v>44937</v>
      </c>
      <c r="B6551" s="52">
        <v>408</v>
      </c>
      <c r="C6551" s="8" t="s">
        <v>2727</v>
      </c>
      <c r="D6551" s="8" t="s">
        <v>760</v>
      </c>
      <c r="E6551" s="52">
        <v>882</v>
      </c>
      <c r="F6551" s="13"/>
      <c r="G6551" s="13">
        <v>158</v>
      </c>
    </row>
    <row r="6552" spans="1:7" hidden="1" x14ac:dyDescent="0.75">
      <c r="A6552" s="51">
        <v>44937</v>
      </c>
      <c r="B6552" s="52">
        <v>408</v>
      </c>
      <c r="C6552" s="8" t="s">
        <v>2753</v>
      </c>
      <c r="D6552" s="8" t="s">
        <v>760</v>
      </c>
      <c r="E6552" s="52">
        <v>884</v>
      </c>
      <c r="F6552" s="13"/>
      <c r="G6552" s="13">
        <v>4444.1000000000004</v>
      </c>
    </row>
    <row r="6553" spans="1:7" hidden="1" x14ac:dyDescent="0.75">
      <c r="A6553" s="51">
        <v>44937</v>
      </c>
      <c r="B6553" s="52">
        <v>408</v>
      </c>
      <c r="C6553" s="8" t="s">
        <v>2754</v>
      </c>
      <c r="D6553" s="8" t="s">
        <v>760</v>
      </c>
      <c r="E6553" s="52">
        <v>884</v>
      </c>
      <c r="F6553" s="13"/>
      <c r="G6553" s="13">
        <v>982.5</v>
      </c>
    </row>
    <row r="6554" spans="1:7" hidden="1" x14ac:dyDescent="0.75">
      <c r="A6554" s="51">
        <v>44937</v>
      </c>
      <c r="B6554" s="52">
        <v>408</v>
      </c>
      <c r="C6554" s="8" t="s">
        <v>2775</v>
      </c>
      <c r="D6554" s="8" t="s">
        <v>760</v>
      </c>
      <c r="E6554" s="52">
        <v>881</v>
      </c>
      <c r="F6554" s="13"/>
      <c r="G6554" s="13">
        <v>732</v>
      </c>
    </row>
    <row r="6555" spans="1:7" hidden="1" x14ac:dyDescent="0.75">
      <c r="A6555" s="51">
        <v>44937</v>
      </c>
      <c r="B6555" s="52">
        <v>408</v>
      </c>
      <c r="C6555" s="8" t="s">
        <v>2799</v>
      </c>
      <c r="D6555" s="8" t="s">
        <v>760</v>
      </c>
      <c r="E6555" s="52">
        <v>1025</v>
      </c>
      <c r="F6555" s="13"/>
      <c r="G6555" s="13">
        <v>2155.8000000000002</v>
      </c>
    </row>
    <row r="6556" spans="1:7" hidden="1" x14ac:dyDescent="0.75">
      <c r="A6556" s="51">
        <v>44937</v>
      </c>
      <c r="B6556" s="52">
        <v>408</v>
      </c>
      <c r="C6556" s="8" t="s">
        <v>2800</v>
      </c>
      <c r="D6556" s="8" t="s">
        <v>760</v>
      </c>
      <c r="E6556" s="52">
        <v>1025</v>
      </c>
      <c r="F6556" s="13"/>
      <c r="G6556" s="13">
        <v>479.5</v>
      </c>
    </row>
    <row r="6557" spans="1:7" hidden="1" x14ac:dyDescent="0.75">
      <c r="A6557" s="51">
        <v>44937</v>
      </c>
      <c r="B6557" s="52">
        <v>408</v>
      </c>
      <c r="C6557" s="8" t="s">
        <v>2569</v>
      </c>
      <c r="D6557" s="8" t="s">
        <v>760</v>
      </c>
      <c r="E6557" s="52">
        <v>1024</v>
      </c>
      <c r="F6557" s="13"/>
      <c r="G6557" s="13">
        <v>2306</v>
      </c>
    </row>
    <row r="6558" spans="1:7" hidden="1" x14ac:dyDescent="0.75">
      <c r="A6558" s="51">
        <v>44937</v>
      </c>
      <c r="B6558" s="52">
        <v>408</v>
      </c>
      <c r="C6558" s="8" t="s">
        <v>2570</v>
      </c>
      <c r="D6558" s="8" t="s">
        <v>760</v>
      </c>
      <c r="E6558" s="52">
        <v>1024</v>
      </c>
      <c r="F6558" s="13"/>
      <c r="G6558" s="13">
        <v>2126</v>
      </c>
    </row>
    <row r="6559" spans="1:7" hidden="1" x14ac:dyDescent="0.75">
      <c r="A6559" s="51">
        <v>44938</v>
      </c>
      <c r="B6559" s="52">
        <v>408</v>
      </c>
      <c r="C6559" s="8" t="s">
        <v>2571</v>
      </c>
      <c r="D6559" s="8" t="s">
        <v>760</v>
      </c>
      <c r="E6559" s="52">
        <v>1024</v>
      </c>
      <c r="F6559" s="13"/>
      <c r="G6559" s="13">
        <v>7140</v>
      </c>
    </row>
    <row r="6560" spans="1:7" hidden="1" x14ac:dyDescent="0.75">
      <c r="A6560" s="51">
        <v>44938</v>
      </c>
      <c r="B6560" s="52">
        <v>408</v>
      </c>
      <c r="C6560" s="8" t="s">
        <v>2572</v>
      </c>
      <c r="D6560" s="8" t="s">
        <v>760</v>
      </c>
      <c r="E6560" s="52">
        <v>1024</v>
      </c>
      <c r="F6560" s="13"/>
      <c r="G6560" s="13">
        <v>1783.9</v>
      </c>
    </row>
    <row r="6561" spans="1:7" hidden="1" x14ac:dyDescent="0.75">
      <c r="A6561" s="51">
        <v>44938</v>
      </c>
      <c r="B6561" s="52">
        <v>408</v>
      </c>
      <c r="C6561" s="8" t="s">
        <v>3012</v>
      </c>
      <c r="D6561" s="8" t="s">
        <v>760</v>
      </c>
      <c r="E6561" s="52">
        <v>1748</v>
      </c>
      <c r="F6561" s="13"/>
      <c r="G6561" s="13">
        <v>148.80000000000001</v>
      </c>
    </row>
    <row r="6562" spans="1:7" hidden="1" x14ac:dyDescent="0.75">
      <c r="A6562" s="51">
        <v>44938</v>
      </c>
      <c r="B6562" s="52">
        <v>408</v>
      </c>
      <c r="C6562" s="8" t="s">
        <v>3091</v>
      </c>
      <c r="D6562" s="8" t="s">
        <v>760</v>
      </c>
      <c r="E6562" s="52">
        <v>1747</v>
      </c>
      <c r="F6562" s="13"/>
      <c r="G6562" s="13">
        <v>497</v>
      </c>
    </row>
    <row r="6563" spans="1:7" hidden="1" x14ac:dyDescent="0.75">
      <c r="A6563" s="51">
        <v>44938</v>
      </c>
      <c r="B6563" s="52">
        <v>408</v>
      </c>
      <c r="C6563" s="8" t="s">
        <v>3063</v>
      </c>
      <c r="D6563" s="8" t="s">
        <v>760</v>
      </c>
      <c r="E6563" s="52">
        <v>1696</v>
      </c>
      <c r="F6563" s="13"/>
      <c r="G6563" s="13">
        <v>209.45</v>
      </c>
    </row>
    <row r="6564" spans="1:7" hidden="1" x14ac:dyDescent="0.75">
      <c r="A6564" s="51">
        <v>44938</v>
      </c>
      <c r="B6564" s="52">
        <v>408</v>
      </c>
      <c r="C6564" s="8" t="s">
        <v>2985</v>
      </c>
      <c r="D6564" s="8" t="s">
        <v>760</v>
      </c>
      <c r="E6564" s="52">
        <v>1751</v>
      </c>
      <c r="F6564" s="13"/>
      <c r="G6564" s="13">
        <v>309.5</v>
      </c>
    </row>
    <row r="6565" spans="1:7" hidden="1" x14ac:dyDescent="0.75">
      <c r="A6565" s="51">
        <v>44938</v>
      </c>
      <c r="B6565" s="52">
        <v>408</v>
      </c>
      <c r="C6565" s="8" t="s">
        <v>3037</v>
      </c>
      <c r="D6565" s="8" t="s">
        <v>760</v>
      </c>
      <c r="E6565" s="52">
        <v>1752</v>
      </c>
      <c r="F6565" s="13"/>
      <c r="G6565" s="13">
        <v>147.15</v>
      </c>
    </row>
    <row r="6566" spans="1:7" hidden="1" x14ac:dyDescent="0.75">
      <c r="A6566" s="51">
        <v>44938</v>
      </c>
      <c r="B6566" s="52">
        <v>408</v>
      </c>
      <c r="C6566" s="8" t="s">
        <v>2067</v>
      </c>
      <c r="D6566" s="8" t="s">
        <v>760</v>
      </c>
      <c r="E6566" s="52">
        <v>1729</v>
      </c>
      <c r="F6566" s="13"/>
      <c r="G6566" s="13">
        <v>901.36</v>
      </c>
    </row>
    <row r="6567" spans="1:7" hidden="1" x14ac:dyDescent="0.75">
      <c r="A6567" s="51">
        <v>44938</v>
      </c>
      <c r="B6567" s="52">
        <v>408</v>
      </c>
      <c r="C6567" s="8" t="s">
        <v>2104</v>
      </c>
      <c r="D6567" s="8" t="s">
        <v>760</v>
      </c>
      <c r="E6567" s="52">
        <v>720</v>
      </c>
      <c r="F6567" s="13"/>
      <c r="G6567" s="13">
        <v>1925.81</v>
      </c>
    </row>
    <row r="6568" spans="1:7" hidden="1" x14ac:dyDescent="0.75">
      <c r="A6568" s="51">
        <v>44938</v>
      </c>
      <c r="B6568" s="52">
        <v>408</v>
      </c>
      <c r="C6568" s="8" t="s">
        <v>2828</v>
      </c>
      <c r="D6568" s="8" t="s">
        <v>760</v>
      </c>
      <c r="E6568" s="52">
        <v>707</v>
      </c>
      <c r="F6568" s="13"/>
      <c r="G6568" s="13">
        <v>1615.7</v>
      </c>
    </row>
    <row r="6569" spans="1:7" hidden="1" x14ac:dyDescent="0.75">
      <c r="A6569" s="51">
        <v>44938</v>
      </c>
      <c r="B6569" s="52">
        <v>408</v>
      </c>
      <c r="C6569" s="8" t="s">
        <v>3038</v>
      </c>
      <c r="D6569" s="8" t="s">
        <v>760</v>
      </c>
      <c r="E6569" s="52">
        <v>1752</v>
      </c>
      <c r="F6569" s="13"/>
      <c r="G6569" s="13">
        <v>1016.7</v>
      </c>
    </row>
    <row r="6570" spans="1:7" hidden="1" x14ac:dyDescent="0.75">
      <c r="A6570" s="51">
        <v>44938</v>
      </c>
      <c r="B6570" s="52">
        <v>408</v>
      </c>
      <c r="C6570" s="8" t="s">
        <v>2866</v>
      </c>
      <c r="D6570" s="8" t="s">
        <v>760</v>
      </c>
      <c r="E6570" s="52">
        <v>1543</v>
      </c>
      <c r="F6570" s="13"/>
      <c r="G6570" s="13">
        <v>422.35</v>
      </c>
    </row>
    <row r="6571" spans="1:7" hidden="1" x14ac:dyDescent="0.75">
      <c r="A6571" s="51">
        <v>44938</v>
      </c>
      <c r="B6571" s="52">
        <v>408</v>
      </c>
      <c r="C6571" s="8" t="s">
        <v>3092</v>
      </c>
      <c r="D6571" s="8" t="s">
        <v>760</v>
      </c>
      <c r="E6571" s="52">
        <v>1747</v>
      </c>
      <c r="F6571" s="13"/>
      <c r="G6571" s="13">
        <v>1859.6</v>
      </c>
    </row>
    <row r="6572" spans="1:7" hidden="1" x14ac:dyDescent="0.75">
      <c r="A6572" s="51">
        <v>44938</v>
      </c>
      <c r="B6572" s="52">
        <v>408</v>
      </c>
      <c r="C6572" s="8" t="s">
        <v>2986</v>
      </c>
      <c r="D6572" s="8" t="s">
        <v>760</v>
      </c>
      <c r="E6572" s="52">
        <v>1751</v>
      </c>
      <c r="F6572" s="13"/>
      <c r="G6572" s="13">
        <v>1434.8</v>
      </c>
    </row>
    <row r="6573" spans="1:7" hidden="1" x14ac:dyDescent="0.75">
      <c r="A6573" s="51">
        <v>44938</v>
      </c>
      <c r="B6573" s="52">
        <v>408</v>
      </c>
      <c r="C6573" s="8" t="s">
        <v>3064</v>
      </c>
      <c r="D6573" s="8" t="s">
        <v>760</v>
      </c>
      <c r="E6573" s="52">
        <v>1696</v>
      </c>
      <c r="F6573" s="13"/>
      <c r="G6573" s="13">
        <v>729.6</v>
      </c>
    </row>
    <row r="6574" spans="1:7" hidden="1" x14ac:dyDescent="0.75">
      <c r="A6574" s="51">
        <v>44938</v>
      </c>
      <c r="B6574" s="52">
        <v>408</v>
      </c>
      <c r="C6574" s="8" t="s">
        <v>3013</v>
      </c>
      <c r="D6574" s="8" t="s">
        <v>760</v>
      </c>
      <c r="E6574" s="52">
        <v>1748</v>
      </c>
      <c r="F6574" s="13"/>
      <c r="G6574" s="13">
        <v>1016.7</v>
      </c>
    </row>
    <row r="6575" spans="1:7" hidden="1" x14ac:dyDescent="0.75">
      <c r="A6575" s="51">
        <v>44938</v>
      </c>
      <c r="B6575" s="52">
        <v>408</v>
      </c>
      <c r="C6575" s="8" t="s">
        <v>2464</v>
      </c>
      <c r="D6575" s="8" t="s">
        <v>760</v>
      </c>
      <c r="E6575" s="52">
        <v>714</v>
      </c>
      <c r="F6575" s="13"/>
      <c r="G6575" s="13">
        <v>1006.6</v>
      </c>
    </row>
    <row r="6576" spans="1:7" hidden="1" x14ac:dyDescent="0.75">
      <c r="A6576" s="51">
        <v>44938</v>
      </c>
      <c r="B6576" s="52">
        <v>408</v>
      </c>
      <c r="C6576" s="8" t="s">
        <v>1974</v>
      </c>
      <c r="D6576" s="8" t="s">
        <v>760</v>
      </c>
      <c r="E6576" s="52">
        <v>1124</v>
      </c>
      <c r="F6576" s="13"/>
      <c r="G6576" s="13">
        <v>2313.85</v>
      </c>
    </row>
    <row r="6577" spans="1:7" hidden="1" x14ac:dyDescent="0.75">
      <c r="A6577" s="51">
        <v>44938</v>
      </c>
      <c r="B6577" s="52">
        <v>408</v>
      </c>
      <c r="C6577" s="8" t="s">
        <v>2012</v>
      </c>
      <c r="D6577" s="8" t="s">
        <v>760</v>
      </c>
      <c r="E6577" s="52">
        <v>713</v>
      </c>
      <c r="F6577" s="13"/>
      <c r="G6577" s="13">
        <v>699.87</v>
      </c>
    </row>
    <row r="6578" spans="1:7" hidden="1" x14ac:dyDescent="0.75">
      <c r="A6578" s="51">
        <v>44938</v>
      </c>
      <c r="B6578" s="52">
        <v>408</v>
      </c>
      <c r="C6578" s="8" t="s">
        <v>2044</v>
      </c>
      <c r="D6578" s="8" t="s">
        <v>760</v>
      </c>
      <c r="E6578" s="52">
        <v>711</v>
      </c>
      <c r="F6578" s="13"/>
      <c r="G6578" s="13">
        <v>2676.21</v>
      </c>
    </row>
    <row r="6579" spans="1:7" hidden="1" x14ac:dyDescent="0.75">
      <c r="A6579" s="51">
        <v>44938</v>
      </c>
      <c r="B6579" s="52">
        <v>408</v>
      </c>
      <c r="C6579" s="8" t="s">
        <v>2128</v>
      </c>
      <c r="D6579" s="8" t="s">
        <v>760</v>
      </c>
      <c r="E6579" s="52">
        <v>712</v>
      </c>
      <c r="F6579" s="13"/>
      <c r="G6579" s="13">
        <v>1795.43</v>
      </c>
    </row>
    <row r="6580" spans="1:7" hidden="1" x14ac:dyDescent="0.75">
      <c r="A6580" s="51">
        <v>44938</v>
      </c>
      <c r="B6580" s="52">
        <v>408</v>
      </c>
      <c r="C6580" s="8" t="s">
        <v>2316</v>
      </c>
      <c r="D6580" s="8" t="s">
        <v>760</v>
      </c>
      <c r="E6580" s="52">
        <v>717</v>
      </c>
      <c r="F6580" s="13"/>
      <c r="G6580" s="13">
        <v>868</v>
      </c>
    </row>
    <row r="6581" spans="1:7" hidden="1" x14ac:dyDescent="0.75">
      <c r="A6581" s="51">
        <v>44938</v>
      </c>
      <c r="B6581" s="52">
        <v>408</v>
      </c>
      <c r="C6581" s="8" t="s">
        <v>2368</v>
      </c>
      <c r="D6581" s="8" t="s">
        <v>760</v>
      </c>
      <c r="E6581" s="52">
        <v>1818</v>
      </c>
      <c r="F6581" s="13"/>
      <c r="G6581" s="13">
        <v>1471.3</v>
      </c>
    </row>
    <row r="6582" spans="1:7" hidden="1" x14ac:dyDescent="0.75">
      <c r="A6582" s="51">
        <v>44938</v>
      </c>
      <c r="B6582" s="52">
        <v>408</v>
      </c>
      <c r="C6582" s="8" t="s">
        <v>2427</v>
      </c>
      <c r="D6582" s="8" t="s">
        <v>760</v>
      </c>
      <c r="E6582" s="52">
        <v>1821</v>
      </c>
      <c r="F6582" s="13"/>
      <c r="G6582" s="13">
        <v>262</v>
      </c>
    </row>
    <row r="6583" spans="1:7" hidden="1" x14ac:dyDescent="0.75">
      <c r="A6583" s="51">
        <v>44938</v>
      </c>
      <c r="B6583" s="52">
        <v>408</v>
      </c>
      <c r="C6583" s="8" t="s">
        <v>2159</v>
      </c>
      <c r="D6583" s="8" t="s">
        <v>760</v>
      </c>
      <c r="E6583" s="52">
        <v>716</v>
      </c>
      <c r="F6583" s="13"/>
      <c r="G6583" s="13">
        <v>374.68</v>
      </c>
    </row>
    <row r="6584" spans="1:7" hidden="1" x14ac:dyDescent="0.75">
      <c r="A6584" s="51">
        <v>44938</v>
      </c>
      <c r="B6584" s="52">
        <v>408</v>
      </c>
      <c r="C6584" s="8" t="s">
        <v>2081</v>
      </c>
      <c r="D6584" s="8" t="s">
        <v>760</v>
      </c>
      <c r="E6584" s="52">
        <v>710</v>
      </c>
      <c r="F6584" s="13"/>
      <c r="G6584" s="13">
        <v>2253.84</v>
      </c>
    </row>
    <row r="6585" spans="1:7" hidden="1" x14ac:dyDescent="0.75">
      <c r="A6585" s="51">
        <v>44939</v>
      </c>
      <c r="B6585" s="52">
        <v>408</v>
      </c>
      <c r="C6585" s="8" t="s">
        <v>2183</v>
      </c>
      <c r="D6585" s="8" t="s">
        <v>760</v>
      </c>
      <c r="E6585" s="52">
        <v>917</v>
      </c>
      <c r="F6585" s="13"/>
      <c r="G6585" s="13">
        <v>539</v>
      </c>
    </row>
    <row r="6586" spans="1:7" hidden="1" x14ac:dyDescent="0.75">
      <c r="A6586" s="51">
        <v>44939</v>
      </c>
      <c r="B6586" s="52">
        <v>408</v>
      </c>
      <c r="C6586" s="8" t="s">
        <v>2184</v>
      </c>
      <c r="D6586" s="8" t="s">
        <v>760</v>
      </c>
      <c r="E6586" s="52">
        <v>917</v>
      </c>
      <c r="F6586" s="13"/>
      <c r="G6586" s="13">
        <v>2503.38</v>
      </c>
    </row>
    <row r="6587" spans="1:7" hidden="1" x14ac:dyDescent="0.75">
      <c r="A6587" s="51">
        <v>44939</v>
      </c>
      <c r="B6587" s="52">
        <v>408</v>
      </c>
      <c r="C6587" s="8" t="s">
        <v>2185</v>
      </c>
      <c r="D6587" s="8" t="s">
        <v>760</v>
      </c>
      <c r="E6587" s="52">
        <v>917</v>
      </c>
      <c r="F6587" s="13"/>
      <c r="G6587" s="13">
        <v>2173.2399999999998</v>
      </c>
    </row>
    <row r="6588" spans="1:7" hidden="1" x14ac:dyDescent="0.75">
      <c r="A6588" s="51">
        <v>44939</v>
      </c>
      <c r="B6588" s="52">
        <v>408</v>
      </c>
      <c r="C6588" s="8" t="s">
        <v>2829</v>
      </c>
      <c r="D6588" s="8" t="s">
        <v>760</v>
      </c>
      <c r="E6588" s="52">
        <v>707</v>
      </c>
      <c r="F6588" s="13"/>
      <c r="G6588" s="13">
        <v>2610</v>
      </c>
    </row>
    <row r="6589" spans="1:7" hidden="1" x14ac:dyDescent="0.75">
      <c r="A6589" s="51">
        <v>44939</v>
      </c>
      <c r="B6589" s="52">
        <v>408</v>
      </c>
      <c r="C6589" s="8" t="s">
        <v>2573</v>
      </c>
      <c r="D6589" s="8" t="s">
        <v>760</v>
      </c>
      <c r="E6589" s="52">
        <v>1024</v>
      </c>
      <c r="F6589" s="13"/>
      <c r="G6589" s="13">
        <v>181.25</v>
      </c>
    </row>
    <row r="6590" spans="1:7" hidden="1" x14ac:dyDescent="0.75">
      <c r="A6590" s="51">
        <v>44939</v>
      </c>
      <c r="B6590" s="52">
        <v>408</v>
      </c>
      <c r="C6590" s="8" t="s">
        <v>2574</v>
      </c>
      <c r="D6590" s="8" t="s">
        <v>760</v>
      </c>
      <c r="E6590" s="52">
        <v>1024</v>
      </c>
      <c r="F6590" s="13"/>
      <c r="G6590" s="13">
        <v>720</v>
      </c>
    </row>
    <row r="6591" spans="1:7" hidden="1" x14ac:dyDescent="0.75">
      <c r="A6591" s="51">
        <v>44939</v>
      </c>
      <c r="B6591" s="52">
        <v>408</v>
      </c>
      <c r="C6591" s="8" t="s">
        <v>2575</v>
      </c>
      <c r="D6591" s="8" t="s">
        <v>760</v>
      </c>
      <c r="E6591" s="52">
        <v>1024</v>
      </c>
      <c r="F6591" s="13"/>
      <c r="G6591" s="13">
        <v>408</v>
      </c>
    </row>
    <row r="6592" spans="1:7" hidden="1" x14ac:dyDescent="0.75">
      <c r="A6592" s="51">
        <v>44939</v>
      </c>
      <c r="B6592" s="52">
        <v>408</v>
      </c>
      <c r="C6592" s="8" t="s">
        <v>2576</v>
      </c>
      <c r="D6592" s="8" t="s">
        <v>760</v>
      </c>
      <c r="E6592" s="52">
        <v>1024</v>
      </c>
      <c r="F6592" s="13"/>
      <c r="G6592" s="13">
        <v>184</v>
      </c>
    </row>
    <row r="6593" spans="1:7" hidden="1" x14ac:dyDescent="0.75">
      <c r="A6593" s="51">
        <v>44939</v>
      </c>
      <c r="B6593" s="52">
        <v>408</v>
      </c>
      <c r="C6593" s="8" t="s">
        <v>2577</v>
      </c>
      <c r="D6593" s="8" t="s">
        <v>760</v>
      </c>
      <c r="E6593" s="52">
        <v>1024</v>
      </c>
      <c r="F6593" s="13"/>
      <c r="G6593" s="13">
        <v>912</v>
      </c>
    </row>
    <row r="6594" spans="1:7" hidden="1" x14ac:dyDescent="0.75">
      <c r="A6594" s="51">
        <v>44939</v>
      </c>
      <c r="B6594" s="52">
        <v>408</v>
      </c>
      <c r="C6594" s="8" t="s">
        <v>2578</v>
      </c>
      <c r="D6594" s="8" t="s">
        <v>760</v>
      </c>
      <c r="E6594" s="52">
        <v>1024</v>
      </c>
      <c r="F6594" s="13"/>
      <c r="G6594" s="13">
        <v>2172</v>
      </c>
    </row>
    <row r="6595" spans="1:7" hidden="1" x14ac:dyDescent="0.75">
      <c r="A6595" s="51">
        <v>44939</v>
      </c>
      <c r="B6595" s="52">
        <v>408</v>
      </c>
      <c r="C6595" s="8" t="s">
        <v>2579</v>
      </c>
      <c r="D6595" s="8" t="s">
        <v>760</v>
      </c>
      <c r="E6595" s="52">
        <v>1024</v>
      </c>
      <c r="F6595" s="13"/>
      <c r="G6595" s="13">
        <v>4980</v>
      </c>
    </row>
    <row r="6596" spans="1:7" hidden="1" x14ac:dyDescent="0.75">
      <c r="A6596" s="51">
        <v>44939</v>
      </c>
      <c r="B6596" s="52">
        <v>408</v>
      </c>
      <c r="C6596" s="8" t="s">
        <v>2906</v>
      </c>
      <c r="D6596" s="8" t="s">
        <v>760</v>
      </c>
      <c r="E6596" s="52">
        <v>1508</v>
      </c>
      <c r="F6596" s="13"/>
      <c r="G6596" s="13">
        <v>2448.4</v>
      </c>
    </row>
    <row r="6597" spans="1:7" hidden="1" x14ac:dyDescent="0.75">
      <c r="A6597" s="51">
        <v>44939</v>
      </c>
      <c r="B6597" s="52">
        <v>408</v>
      </c>
      <c r="C6597" s="8" t="s">
        <v>2907</v>
      </c>
      <c r="D6597" s="8" t="s">
        <v>760</v>
      </c>
      <c r="E6597" s="52">
        <v>1508</v>
      </c>
      <c r="F6597" s="13"/>
      <c r="G6597" s="13">
        <v>3438.2</v>
      </c>
    </row>
    <row r="6598" spans="1:7" hidden="1" x14ac:dyDescent="0.75">
      <c r="A6598" s="51">
        <v>44939</v>
      </c>
      <c r="B6598" s="52">
        <v>408</v>
      </c>
      <c r="C6598" s="8" t="s">
        <v>2580</v>
      </c>
      <c r="D6598" s="8" t="s">
        <v>760</v>
      </c>
      <c r="E6598" s="52">
        <v>1024</v>
      </c>
      <c r="F6598" s="13"/>
      <c r="G6598" s="13">
        <v>179</v>
      </c>
    </row>
    <row r="6599" spans="1:7" hidden="1" x14ac:dyDescent="0.75">
      <c r="A6599" s="51">
        <v>44939</v>
      </c>
      <c r="B6599" s="52">
        <v>408</v>
      </c>
      <c r="C6599" s="8" t="s">
        <v>2581</v>
      </c>
      <c r="D6599" s="8" t="s">
        <v>760</v>
      </c>
      <c r="E6599" s="52">
        <v>1024</v>
      </c>
      <c r="F6599" s="13"/>
      <c r="G6599" s="13">
        <v>526</v>
      </c>
    </row>
    <row r="6600" spans="1:7" hidden="1" x14ac:dyDescent="0.75">
      <c r="A6600" s="51">
        <v>44939</v>
      </c>
      <c r="B6600" s="52">
        <v>408</v>
      </c>
      <c r="C6600" s="8" t="s">
        <v>2239</v>
      </c>
      <c r="D6600" s="8" t="s">
        <v>760</v>
      </c>
      <c r="E6600" s="52">
        <v>804</v>
      </c>
      <c r="F6600" s="13"/>
      <c r="G6600" s="13">
        <v>916.75</v>
      </c>
    </row>
    <row r="6601" spans="1:7" hidden="1" x14ac:dyDescent="0.75">
      <c r="A6601" s="51">
        <v>44939</v>
      </c>
      <c r="B6601" s="52">
        <v>408</v>
      </c>
      <c r="C6601" s="8" t="s">
        <v>2272</v>
      </c>
      <c r="D6601" s="8" t="s">
        <v>760</v>
      </c>
      <c r="E6601" s="52">
        <v>806</v>
      </c>
      <c r="F6601" s="13"/>
      <c r="G6601" s="13">
        <v>3045.5</v>
      </c>
    </row>
    <row r="6602" spans="1:7" hidden="1" x14ac:dyDescent="0.75">
      <c r="A6602" s="51">
        <v>44939</v>
      </c>
      <c r="B6602" s="52">
        <v>408</v>
      </c>
      <c r="C6602" s="8" t="s">
        <v>2273</v>
      </c>
      <c r="D6602" s="8" t="s">
        <v>760</v>
      </c>
      <c r="E6602" s="52">
        <v>806</v>
      </c>
      <c r="F6602" s="13"/>
      <c r="G6602" s="13">
        <v>594</v>
      </c>
    </row>
    <row r="6603" spans="1:7" hidden="1" x14ac:dyDescent="0.75">
      <c r="A6603" s="51">
        <v>44939</v>
      </c>
      <c r="B6603" s="52">
        <v>408</v>
      </c>
      <c r="C6603" s="8" t="s">
        <v>2830</v>
      </c>
      <c r="D6603" s="8" t="s">
        <v>760</v>
      </c>
      <c r="E6603" s="52">
        <v>707</v>
      </c>
      <c r="F6603" s="13"/>
      <c r="G6603" s="13">
        <v>2180</v>
      </c>
    </row>
    <row r="6604" spans="1:7" hidden="1" x14ac:dyDescent="0.75">
      <c r="A6604" s="51">
        <v>44939</v>
      </c>
      <c r="B6604" s="52">
        <v>408</v>
      </c>
      <c r="C6604" s="8" t="s">
        <v>2831</v>
      </c>
      <c r="D6604" s="8" t="s">
        <v>760</v>
      </c>
      <c r="E6604" s="52">
        <v>707</v>
      </c>
      <c r="F6604" s="13"/>
      <c r="G6604" s="13">
        <v>1120.75</v>
      </c>
    </row>
    <row r="6605" spans="1:7" hidden="1" x14ac:dyDescent="0.75">
      <c r="A6605" s="51">
        <v>44939</v>
      </c>
      <c r="B6605" s="52">
        <v>408</v>
      </c>
      <c r="C6605" s="8" t="s">
        <v>2178</v>
      </c>
      <c r="D6605" s="8" t="s">
        <v>760</v>
      </c>
      <c r="E6605" s="52">
        <v>1734</v>
      </c>
      <c r="F6605" s="13"/>
      <c r="G6605" s="13">
        <v>1562.38</v>
      </c>
    </row>
    <row r="6606" spans="1:7" hidden="1" x14ac:dyDescent="0.75">
      <c r="A6606" s="51">
        <v>44939</v>
      </c>
      <c r="B6606" s="52">
        <v>408</v>
      </c>
      <c r="C6606" s="8" t="s">
        <v>2229</v>
      </c>
      <c r="D6606" s="8" t="s">
        <v>760</v>
      </c>
      <c r="E6606" s="52">
        <v>1739</v>
      </c>
      <c r="F6606" s="13"/>
      <c r="G6606" s="13">
        <v>742.76</v>
      </c>
    </row>
    <row r="6607" spans="1:7" hidden="1" x14ac:dyDescent="0.75">
      <c r="A6607" s="51">
        <v>44939</v>
      </c>
      <c r="B6607" s="52">
        <v>408</v>
      </c>
      <c r="C6607" s="8" t="s">
        <v>2465</v>
      </c>
      <c r="D6607" s="8" t="s">
        <v>760</v>
      </c>
      <c r="E6607" s="52">
        <v>714</v>
      </c>
      <c r="F6607" s="13"/>
      <c r="G6607" s="13">
        <v>1197.3399999999999</v>
      </c>
    </row>
    <row r="6608" spans="1:7" hidden="1" x14ac:dyDescent="0.75">
      <c r="A6608" s="51">
        <v>44939</v>
      </c>
      <c r="B6608" s="52">
        <v>408</v>
      </c>
      <c r="C6608" s="8" t="s">
        <v>2129</v>
      </c>
      <c r="D6608" s="8" t="s">
        <v>760</v>
      </c>
      <c r="E6608" s="52">
        <v>712</v>
      </c>
      <c r="F6608" s="13"/>
      <c r="G6608" s="13">
        <v>4248.29</v>
      </c>
    </row>
    <row r="6609" spans="1:7" hidden="1" x14ac:dyDescent="0.75">
      <c r="A6609" s="51">
        <v>44939</v>
      </c>
      <c r="B6609" s="52">
        <v>408</v>
      </c>
      <c r="C6609" s="8" t="s">
        <v>2402</v>
      </c>
      <c r="D6609" s="8" t="s">
        <v>760</v>
      </c>
      <c r="E6609" s="52">
        <v>719</v>
      </c>
      <c r="F6609" s="13"/>
      <c r="G6609" s="13">
        <v>196.88</v>
      </c>
    </row>
    <row r="6610" spans="1:7" hidden="1" x14ac:dyDescent="0.75">
      <c r="A6610" s="51">
        <v>44939</v>
      </c>
      <c r="B6610" s="52">
        <v>408</v>
      </c>
      <c r="C6610" s="8" t="s">
        <v>1975</v>
      </c>
      <c r="D6610" s="8" t="s">
        <v>760</v>
      </c>
      <c r="E6610" s="52">
        <v>1124</v>
      </c>
      <c r="F6610" s="13"/>
      <c r="G6610" s="13">
        <v>2238.52</v>
      </c>
    </row>
    <row r="6611" spans="1:7" hidden="1" x14ac:dyDescent="0.75">
      <c r="A6611" s="51">
        <v>44939</v>
      </c>
      <c r="B6611" s="52">
        <v>408</v>
      </c>
      <c r="C6611" s="8" t="s">
        <v>2045</v>
      </c>
      <c r="D6611" s="8" t="s">
        <v>760</v>
      </c>
      <c r="E6611" s="52">
        <v>711</v>
      </c>
      <c r="F6611" s="13"/>
      <c r="G6611" s="13">
        <v>1730.83</v>
      </c>
    </row>
    <row r="6612" spans="1:7" hidden="1" x14ac:dyDescent="0.75">
      <c r="A6612" s="51">
        <v>44939</v>
      </c>
      <c r="B6612" s="52">
        <v>408</v>
      </c>
      <c r="C6612" s="8" t="s">
        <v>2013</v>
      </c>
      <c r="D6612" s="8" t="s">
        <v>760</v>
      </c>
      <c r="E6612" s="52">
        <v>713</v>
      </c>
      <c r="F6612" s="13"/>
      <c r="G6612" s="13">
        <v>931.23</v>
      </c>
    </row>
    <row r="6613" spans="1:7" hidden="1" x14ac:dyDescent="0.75">
      <c r="A6613" s="51">
        <v>44939</v>
      </c>
      <c r="B6613" s="52">
        <v>408</v>
      </c>
      <c r="C6613" s="8" t="s">
        <v>2317</v>
      </c>
      <c r="D6613" s="8" t="s">
        <v>760</v>
      </c>
      <c r="E6613" s="52">
        <v>717</v>
      </c>
      <c r="F6613" s="13"/>
      <c r="G6613" s="13">
        <v>750</v>
      </c>
    </row>
    <row r="6614" spans="1:7" hidden="1" x14ac:dyDescent="0.75">
      <c r="A6614" s="51">
        <v>44939</v>
      </c>
      <c r="B6614" s="52">
        <v>408</v>
      </c>
      <c r="C6614" s="8" t="s">
        <v>2369</v>
      </c>
      <c r="D6614" s="8" t="s">
        <v>760</v>
      </c>
      <c r="E6614" s="52">
        <v>1818</v>
      </c>
      <c r="F6614" s="13"/>
      <c r="G6614" s="13">
        <v>2827.3</v>
      </c>
    </row>
    <row r="6615" spans="1:7" hidden="1" x14ac:dyDescent="0.75">
      <c r="A6615" s="51">
        <v>44939</v>
      </c>
      <c r="B6615" s="52">
        <v>408</v>
      </c>
      <c r="C6615" s="8" t="s">
        <v>2160</v>
      </c>
      <c r="D6615" s="8" t="s">
        <v>760</v>
      </c>
      <c r="E6615" s="52">
        <v>716</v>
      </c>
      <c r="F6615" s="13"/>
      <c r="G6615" s="13">
        <v>1143.23</v>
      </c>
    </row>
    <row r="6616" spans="1:7" hidden="1" x14ac:dyDescent="0.75">
      <c r="A6616" s="51">
        <v>44939</v>
      </c>
      <c r="B6616" s="52">
        <v>408</v>
      </c>
      <c r="C6616" s="8" t="s">
        <v>2082</v>
      </c>
      <c r="D6616" s="8" t="s">
        <v>760</v>
      </c>
      <c r="E6616" s="52">
        <v>710</v>
      </c>
      <c r="F6616" s="13"/>
      <c r="G6616" s="13">
        <v>1989.78</v>
      </c>
    </row>
    <row r="6617" spans="1:7" hidden="1" x14ac:dyDescent="0.75">
      <c r="A6617" s="51">
        <v>44939</v>
      </c>
      <c r="B6617" s="52">
        <v>408</v>
      </c>
      <c r="C6617" s="8" t="s">
        <v>2428</v>
      </c>
      <c r="D6617" s="8" t="s">
        <v>760</v>
      </c>
      <c r="E6617" s="52">
        <v>1821</v>
      </c>
      <c r="F6617" s="13"/>
      <c r="G6617" s="13">
        <v>210.7</v>
      </c>
    </row>
    <row r="6618" spans="1:7" hidden="1" x14ac:dyDescent="0.75">
      <c r="A6618" s="51">
        <v>44940</v>
      </c>
      <c r="B6618" s="52">
        <v>408</v>
      </c>
      <c r="C6618" s="8" t="s">
        <v>2968</v>
      </c>
      <c r="D6618" s="8" t="s">
        <v>760</v>
      </c>
      <c r="E6618" s="52">
        <v>1765</v>
      </c>
      <c r="F6618" s="13"/>
      <c r="G6618" s="13">
        <v>700</v>
      </c>
    </row>
    <row r="6619" spans="1:7" hidden="1" x14ac:dyDescent="0.75">
      <c r="A6619" s="51">
        <v>44940</v>
      </c>
      <c r="B6619" s="52">
        <v>408</v>
      </c>
      <c r="C6619" s="8" t="s">
        <v>2969</v>
      </c>
      <c r="D6619" s="8" t="s">
        <v>760</v>
      </c>
      <c r="E6619" s="52">
        <v>1765</v>
      </c>
      <c r="F6619" s="13"/>
      <c r="G6619" s="13">
        <v>3233.25</v>
      </c>
    </row>
    <row r="6620" spans="1:7" hidden="1" x14ac:dyDescent="0.75">
      <c r="A6620" s="51">
        <v>44940</v>
      </c>
      <c r="B6620" s="52">
        <v>408</v>
      </c>
      <c r="C6620" s="8" t="s">
        <v>2801</v>
      </c>
      <c r="D6620" s="8" t="s">
        <v>760</v>
      </c>
      <c r="E6620" s="52">
        <v>1025</v>
      </c>
      <c r="F6620" s="13"/>
      <c r="G6620" s="13">
        <v>652.5</v>
      </c>
    </row>
    <row r="6621" spans="1:7" hidden="1" x14ac:dyDescent="0.75">
      <c r="A6621" s="51">
        <v>44940</v>
      </c>
      <c r="B6621" s="52">
        <v>408</v>
      </c>
      <c r="C6621" s="8" t="s">
        <v>2802</v>
      </c>
      <c r="D6621" s="8" t="s">
        <v>760</v>
      </c>
      <c r="E6621" s="52">
        <v>1025</v>
      </c>
      <c r="F6621" s="13"/>
      <c r="G6621" s="13">
        <v>2474.1999999999998</v>
      </c>
    </row>
    <row r="6622" spans="1:7" hidden="1" x14ac:dyDescent="0.75">
      <c r="A6622" s="51">
        <v>44940</v>
      </c>
      <c r="B6622" s="52">
        <v>408</v>
      </c>
      <c r="C6622" s="8" t="s">
        <v>2776</v>
      </c>
      <c r="D6622" s="8" t="s">
        <v>760</v>
      </c>
      <c r="E6622" s="52">
        <v>881</v>
      </c>
      <c r="F6622" s="13"/>
      <c r="G6622" s="13">
        <v>766</v>
      </c>
    </row>
    <row r="6623" spans="1:7" hidden="1" x14ac:dyDescent="0.75">
      <c r="A6623" s="51">
        <v>44940</v>
      </c>
      <c r="B6623" s="52">
        <v>408</v>
      </c>
      <c r="C6623" s="8" t="s">
        <v>2755</v>
      </c>
      <c r="D6623" s="8" t="s">
        <v>760</v>
      </c>
      <c r="E6623" s="52">
        <v>884</v>
      </c>
      <c r="F6623" s="13"/>
      <c r="G6623" s="13">
        <v>1195</v>
      </c>
    </row>
    <row r="6624" spans="1:7" hidden="1" x14ac:dyDescent="0.75">
      <c r="A6624" s="51">
        <v>44940</v>
      </c>
      <c r="B6624" s="52">
        <v>408</v>
      </c>
      <c r="C6624" s="8" t="s">
        <v>2756</v>
      </c>
      <c r="D6624" s="8" t="s">
        <v>760</v>
      </c>
      <c r="E6624" s="52">
        <v>884</v>
      </c>
      <c r="F6624" s="13"/>
      <c r="G6624" s="13">
        <v>4493.3999999999996</v>
      </c>
    </row>
    <row r="6625" spans="1:7" hidden="1" x14ac:dyDescent="0.75">
      <c r="A6625" s="51">
        <v>44940</v>
      </c>
      <c r="B6625" s="52">
        <v>408</v>
      </c>
      <c r="C6625" s="8" t="s">
        <v>2728</v>
      </c>
      <c r="D6625" s="8" t="s">
        <v>760</v>
      </c>
      <c r="E6625" s="52">
        <v>882</v>
      </c>
      <c r="F6625" s="13"/>
      <c r="G6625" s="13">
        <v>398</v>
      </c>
    </row>
    <row r="6626" spans="1:7" hidden="1" x14ac:dyDescent="0.75">
      <c r="A6626" s="51">
        <v>44940</v>
      </c>
      <c r="B6626" s="52">
        <v>408</v>
      </c>
      <c r="C6626" s="8" t="s">
        <v>2710</v>
      </c>
      <c r="D6626" s="8" t="s">
        <v>760</v>
      </c>
      <c r="E6626" s="52">
        <v>885</v>
      </c>
      <c r="F6626" s="13"/>
      <c r="G6626" s="13">
        <v>1278</v>
      </c>
    </row>
    <row r="6627" spans="1:7" hidden="1" x14ac:dyDescent="0.75">
      <c r="A6627" s="51">
        <v>44940</v>
      </c>
      <c r="B6627" s="52">
        <v>408</v>
      </c>
      <c r="C6627" s="8" t="s">
        <v>2684</v>
      </c>
      <c r="D6627" s="8" t="s">
        <v>760</v>
      </c>
      <c r="E6627" s="52">
        <v>883</v>
      </c>
      <c r="F6627" s="13"/>
      <c r="G6627" s="13">
        <v>1061</v>
      </c>
    </row>
    <row r="6628" spans="1:7" hidden="1" x14ac:dyDescent="0.75">
      <c r="A6628" s="51">
        <v>44940</v>
      </c>
      <c r="B6628" s="52">
        <v>408</v>
      </c>
      <c r="C6628" s="8" t="s">
        <v>2685</v>
      </c>
      <c r="D6628" s="8" t="s">
        <v>760</v>
      </c>
      <c r="E6628" s="52">
        <v>883</v>
      </c>
      <c r="F6628" s="13"/>
      <c r="G6628" s="13">
        <v>5151.5</v>
      </c>
    </row>
    <row r="6629" spans="1:7" hidden="1" x14ac:dyDescent="0.75">
      <c r="A6629" s="51">
        <v>44940</v>
      </c>
      <c r="B6629" s="52">
        <v>408</v>
      </c>
      <c r="C6629" s="8" t="s">
        <v>2207</v>
      </c>
      <c r="D6629" s="8" t="s">
        <v>760</v>
      </c>
      <c r="E6629" s="52">
        <v>1736</v>
      </c>
      <c r="F6629" s="13"/>
      <c r="G6629" s="13">
        <v>606.6</v>
      </c>
    </row>
    <row r="6630" spans="1:7" hidden="1" x14ac:dyDescent="0.75">
      <c r="A6630" s="51">
        <v>44940</v>
      </c>
      <c r="B6630" s="52">
        <v>408</v>
      </c>
      <c r="C6630" s="8" t="s">
        <v>2208</v>
      </c>
      <c r="D6630" s="8" t="s">
        <v>760</v>
      </c>
      <c r="E6630" s="52">
        <v>1736</v>
      </c>
      <c r="F6630" s="13"/>
      <c r="G6630" s="13">
        <v>1244.9100000000001</v>
      </c>
    </row>
    <row r="6631" spans="1:7" hidden="1" x14ac:dyDescent="0.75">
      <c r="A6631" s="51">
        <v>44940</v>
      </c>
      <c r="B6631" s="52">
        <v>408</v>
      </c>
      <c r="C6631" s="8" t="s">
        <v>2209</v>
      </c>
      <c r="D6631" s="8" t="s">
        <v>760</v>
      </c>
      <c r="E6631" s="52">
        <v>1736</v>
      </c>
      <c r="F6631" s="13"/>
      <c r="G6631" s="13">
        <v>920.63</v>
      </c>
    </row>
    <row r="6632" spans="1:7" hidden="1" x14ac:dyDescent="0.75">
      <c r="A6632" s="51">
        <v>44940</v>
      </c>
      <c r="B6632" s="52">
        <v>408</v>
      </c>
      <c r="C6632" s="8" t="s">
        <v>2210</v>
      </c>
      <c r="D6632" s="8" t="s">
        <v>760</v>
      </c>
      <c r="E6632" s="52">
        <v>1736</v>
      </c>
      <c r="F6632" s="13"/>
      <c r="G6632" s="13">
        <v>1136.5899999999999</v>
      </c>
    </row>
    <row r="6633" spans="1:7" hidden="1" x14ac:dyDescent="0.75">
      <c r="A6633" s="51">
        <v>44940</v>
      </c>
      <c r="B6633" s="52">
        <v>408</v>
      </c>
      <c r="C6633" s="8" t="s">
        <v>2582</v>
      </c>
      <c r="D6633" s="8" t="s">
        <v>760</v>
      </c>
      <c r="E6633" s="52">
        <v>1024</v>
      </c>
      <c r="F6633" s="13"/>
      <c r="G6633" s="13">
        <v>2100</v>
      </c>
    </row>
    <row r="6634" spans="1:7" hidden="1" x14ac:dyDescent="0.75">
      <c r="A6634" s="51">
        <v>44940</v>
      </c>
      <c r="B6634" s="52">
        <v>408</v>
      </c>
      <c r="C6634" s="8" t="s">
        <v>2583</v>
      </c>
      <c r="D6634" s="8" t="s">
        <v>760</v>
      </c>
      <c r="E6634" s="52">
        <v>1024</v>
      </c>
      <c r="F6634" s="13"/>
      <c r="G6634" s="13">
        <v>2747</v>
      </c>
    </row>
    <row r="6635" spans="1:7" hidden="1" x14ac:dyDescent="0.75">
      <c r="A6635" s="51">
        <v>44940</v>
      </c>
      <c r="B6635" s="52">
        <v>408</v>
      </c>
      <c r="C6635" s="8" t="s">
        <v>3115</v>
      </c>
      <c r="D6635" s="8" t="s">
        <v>760</v>
      </c>
      <c r="E6635" s="52">
        <v>1789</v>
      </c>
      <c r="F6635" s="13"/>
      <c r="G6635" s="13">
        <v>325</v>
      </c>
    </row>
    <row r="6636" spans="1:7" hidden="1" x14ac:dyDescent="0.75">
      <c r="A6636" s="51">
        <v>44940</v>
      </c>
      <c r="B6636" s="52">
        <v>408</v>
      </c>
      <c r="C6636" s="8" t="s">
        <v>2857</v>
      </c>
      <c r="D6636" s="8" t="s">
        <v>760</v>
      </c>
      <c r="E6636" s="52">
        <v>1788</v>
      </c>
      <c r="F6636" s="13"/>
      <c r="G6636" s="13">
        <v>325</v>
      </c>
    </row>
    <row r="6637" spans="1:7" hidden="1" x14ac:dyDescent="0.75">
      <c r="A6637" s="51">
        <v>44940</v>
      </c>
      <c r="B6637" s="52">
        <v>408</v>
      </c>
      <c r="C6637" s="8" t="s">
        <v>2584</v>
      </c>
      <c r="D6637" s="8" t="s">
        <v>760</v>
      </c>
      <c r="E6637" s="52">
        <v>1024</v>
      </c>
      <c r="F6637" s="13"/>
      <c r="G6637" s="13">
        <v>260.5</v>
      </c>
    </row>
    <row r="6638" spans="1:7" hidden="1" x14ac:dyDescent="0.75">
      <c r="A6638" s="51">
        <v>44940</v>
      </c>
      <c r="B6638" s="52">
        <v>408</v>
      </c>
      <c r="C6638" s="8" t="s">
        <v>2832</v>
      </c>
      <c r="D6638" s="8" t="s">
        <v>760</v>
      </c>
      <c r="E6638" s="52">
        <v>707</v>
      </c>
      <c r="F6638" s="13"/>
      <c r="G6638" s="13">
        <v>2983.7</v>
      </c>
    </row>
    <row r="6639" spans="1:7" hidden="1" x14ac:dyDescent="0.75">
      <c r="A6639" s="51">
        <v>44940</v>
      </c>
      <c r="B6639" s="52">
        <v>408</v>
      </c>
      <c r="C6639" s="8" t="s">
        <v>2833</v>
      </c>
      <c r="D6639" s="8" t="s">
        <v>760</v>
      </c>
      <c r="E6639" s="52">
        <v>707</v>
      </c>
      <c r="F6639" s="13"/>
      <c r="G6639" s="13">
        <v>294</v>
      </c>
    </row>
    <row r="6640" spans="1:7" hidden="1" x14ac:dyDescent="0.75">
      <c r="A6640" s="51">
        <v>44940</v>
      </c>
      <c r="B6640" s="52">
        <v>408</v>
      </c>
      <c r="C6640" s="8" t="s">
        <v>1956</v>
      </c>
      <c r="D6640" s="8" t="s">
        <v>760</v>
      </c>
      <c r="E6640" s="52">
        <v>709</v>
      </c>
      <c r="F6640" s="13"/>
      <c r="G6640" s="13">
        <v>667.68</v>
      </c>
    </row>
    <row r="6641" spans="1:7" hidden="1" x14ac:dyDescent="0.75">
      <c r="A6641" s="51">
        <v>44940</v>
      </c>
      <c r="B6641" s="52">
        <v>408</v>
      </c>
      <c r="C6641" s="8" t="s">
        <v>3093</v>
      </c>
      <c r="D6641" s="8" t="s">
        <v>760</v>
      </c>
      <c r="E6641" s="52">
        <v>1747</v>
      </c>
      <c r="F6641" s="13"/>
      <c r="G6641" s="13">
        <v>1600.35</v>
      </c>
    </row>
    <row r="6642" spans="1:7" hidden="1" x14ac:dyDescent="0.75">
      <c r="A6642" s="51">
        <v>44940</v>
      </c>
      <c r="B6642" s="52">
        <v>408</v>
      </c>
      <c r="C6642" s="8" t="s">
        <v>3039</v>
      </c>
      <c r="D6642" s="8" t="s">
        <v>760</v>
      </c>
      <c r="E6642" s="52">
        <v>1752</v>
      </c>
      <c r="F6642" s="13"/>
      <c r="G6642" s="13">
        <v>869.55</v>
      </c>
    </row>
    <row r="6643" spans="1:7" hidden="1" x14ac:dyDescent="0.75">
      <c r="A6643" s="51">
        <v>44940</v>
      </c>
      <c r="B6643" s="52">
        <v>408</v>
      </c>
      <c r="C6643" s="8" t="s">
        <v>2105</v>
      </c>
      <c r="D6643" s="8" t="s">
        <v>760</v>
      </c>
      <c r="E6643" s="52">
        <v>720</v>
      </c>
      <c r="F6643" s="13"/>
      <c r="G6643" s="13">
        <v>1979.12</v>
      </c>
    </row>
    <row r="6644" spans="1:7" hidden="1" x14ac:dyDescent="0.75">
      <c r="A6644" s="51">
        <v>44940</v>
      </c>
      <c r="B6644" s="52">
        <v>408</v>
      </c>
      <c r="C6644" s="8" t="s">
        <v>3065</v>
      </c>
      <c r="D6644" s="8" t="s">
        <v>760</v>
      </c>
      <c r="E6644" s="52">
        <v>1696</v>
      </c>
      <c r="F6644" s="13"/>
      <c r="G6644" s="13">
        <v>542.70000000000005</v>
      </c>
    </row>
    <row r="6645" spans="1:7" hidden="1" x14ac:dyDescent="0.75">
      <c r="A6645" s="51">
        <v>44940</v>
      </c>
      <c r="B6645" s="52">
        <v>408</v>
      </c>
      <c r="C6645" s="8" t="s">
        <v>3014</v>
      </c>
      <c r="D6645" s="8" t="s">
        <v>760</v>
      </c>
      <c r="E6645" s="52">
        <v>1748</v>
      </c>
      <c r="F6645" s="13"/>
      <c r="G6645" s="13">
        <v>736</v>
      </c>
    </row>
    <row r="6646" spans="1:7" hidden="1" x14ac:dyDescent="0.75">
      <c r="A6646" s="51">
        <v>44940</v>
      </c>
      <c r="B6646" s="52">
        <v>408</v>
      </c>
      <c r="C6646" s="8" t="s">
        <v>2987</v>
      </c>
      <c r="D6646" s="8" t="s">
        <v>760</v>
      </c>
      <c r="E6646" s="52">
        <v>1751</v>
      </c>
      <c r="F6646" s="13"/>
      <c r="G6646" s="13">
        <v>1116.1500000000001</v>
      </c>
    </row>
    <row r="6647" spans="1:7" hidden="1" x14ac:dyDescent="0.75">
      <c r="A6647" s="51">
        <v>44940</v>
      </c>
      <c r="B6647" s="52">
        <v>408</v>
      </c>
      <c r="C6647" s="8" t="s">
        <v>2106</v>
      </c>
      <c r="D6647" s="8" t="s">
        <v>760</v>
      </c>
      <c r="E6647" s="52">
        <v>720</v>
      </c>
      <c r="F6647" s="13"/>
      <c r="G6647" s="13">
        <v>288.36</v>
      </c>
    </row>
    <row r="6648" spans="1:7" hidden="1" x14ac:dyDescent="0.75">
      <c r="A6648" s="51">
        <v>44940</v>
      </c>
      <c r="B6648" s="52">
        <v>408</v>
      </c>
      <c r="C6648" s="8" t="s">
        <v>2370</v>
      </c>
      <c r="D6648" s="8" t="s">
        <v>760</v>
      </c>
      <c r="E6648" s="52">
        <v>1818</v>
      </c>
      <c r="F6648" s="13"/>
      <c r="G6648" s="13">
        <v>1511.5</v>
      </c>
    </row>
    <row r="6649" spans="1:7" hidden="1" x14ac:dyDescent="0.75">
      <c r="A6649" s="51">
        <v>44940</v>
      </c>
      <c r="B6649" s="52">
        <v>408</v>
      </c>
      <c r="C6649" s="8" t="s">
        <v>2161</v>
      </c>
      <c r="D6649" s="8" t="s">
        <v>760</v>
      </c>
      <c r="E6649" s="52">
        <v>716</v>
      </c>
      <c r="F6649" s="13"/>
      <c r="G6649" s="13">
        <v>642.55999999999995</v>
      </c>
    </row>
    <row r="6650" spans="1:7" hidden="1" x14ac:dyDescent="0.75">
      <c r="A6650" s="51">
        <v>44940</v>
      </c>
      <c r="B6650" s="52">
        <v>408</v>
      </c>
      <c r="C6650" s="8" t="s">
        <v>2083</v>
      </c>
      <c r="D6650" s="8" t="s">
        <v>760</v>
      </c>
      <c r="E6650" s="52">
        <v>710</v>
      </c>
      <c r="F6650" s="13"/>
      <c r="G6650" s="13">
        <v>797.85</v>
      </c>
    </row>
    <row r="6651" spans="1:7" hidden="1" x14ac:dyDescent="0.75">
      <c r="A6651" s="51">
        <v>44940</v>
      </c>
      <c r="B6651" s="52">
        <v>408</v>
      </c>
      <c r="C6651" s="8" t="s">
        <v>2318</v>
      </c>
      <c r="D6651" s="8" t="s">
        <v>760</v>
      </c>
      <c r="E6651" s="52">
        <v>717</v>
      </c>
      <c r="F6651" s="13"/>
      <c r="G6651" s="13">
        <v>1351.5</v>
      </c>
    </row>
    <row r="6652" spans="1:7" hidden="1" x14ac:dyDescent="0.75">
      <c r="A6652" s="51">
        <v>44940</v>
      </c>
      <c r="B6652" s="52">
        <v>408</v>
      </c>
      <c r="C6652" s="8" t="s">
        <v>2046</v>
      </c>
      <c r="D6652" s="8" t="s">
        <v>760</v>
      </c>
      <c r="E6652" s="52">
        <v>711</v>
      </c>
      <c r="F6652" s="13"/>
      <c r="G6652" s="13">
        <v>1732.25</v>
      </c>
    </row>
    <row r="6653" spans="1:7" hidden="1" x14ac:dyDescent="0.75">
      <c r="A6653" s="51">
        <v>44940</v>
      </c>
      <c r="B6653" s="52">
        <v>408</v>
      </c>
      <c r="C6653" s="8" t="s">
        <v>2014</v>
      </c>
      <c r="D6653" s="8" t="s">
        <v>760</v>
      </c>
      <c r="E6653" s="52">
        <v>713</v>
      </c>
      <c r="F6653" s="13"/>
      <c r="G6653" s="13">
        <v>427.78</v>
      </c>
    </row>
    <row r="6654" spans="1:7" hidden="1" x14ac:dyDescent="0.75">
      <c r="A6654" s="51">
        <v>44940</v>
      </c>
      <c r="B6654" s="52">
        <v>408</v>
      </c>
      <c r="C6654" s="8" t="s">
        <v>1976</v>
      </c>
      <c r="D6654" s="8" t="s">
        <v>760</v>
      </c>
      <c r="E6654" s="52">
        <v>1124</v>
      </c>
      <c r="F6654" s="13"/>
      <c r="G6654" s="13">
        <v>994.84</v>
      </c>
    </row>
    <row r="6655" spans="1:7" hidden="1" x14ac:dyDescent="0.75">
      <c r="A6655" s="51">
        <v>44940</v>
      </c>
      <c r="B6655" s="52">
        <v>408</v>
      </c>
      <c r="C6655" s="8" t="s">
        <v>2130</v>
      </c>
      <c r="D6655" s="8" t="s">
        <v>760</v>
      </c>
      <c r="E6655" s="52">
        <v>712</v>
      </c>
      <c r="F6655" s="13"/>
      <c r="G6655" s="13">
        <v>194.4</v>
      </c>
    </row>
    <row r="6656" spans="1:7" hidden="1" x14ac:dyDescent="0.75">
      <c r="A6656" s="51">
        <v>44940</v>
      </c>
      <c r="B6656" s="52">
        <v>408</v>
      </c>
      <c r="C6656" s="8" t="s">
        <v>2131</v>
      </c>
      <c r="D6656" s="8" t="s">
        <v>760</v>
      </c>
      <c r="E6656" s="52">
        <v>712</v>
      </c>
      <c r="F6656" s="13"/>
      <c r="G6656" s="13">
        <v>3544.85</v>
      </c>
    </row>
    <row r="6657" spans="1:7" hidden="1" x14ac:dyDescent="0.75">
      <c r="A6657" s="51">
        <v>44940</v>
      </c>
      <c r="B6657" s="52">
        <v>408</v>
      </c>
      <c r="C6657" s="8" t="s">
        <v>2466</v>
      </c>
      <c r="D6657" s="8" t="s">
        <v>760</v>
      </c>
      <c r="E6657" s="52">
        <v>714</v>
      </c>
      <c r="F6657" s="13"/>
      <c r="G6657" s="13">
        <v>469</v>
      </c>
    </row>
    <row r="6658" spans="1:7" hidden="1" x14ac:dyDescent="0.75">
      <c r="A6658" s="51">
        <v>44942</v>
      </c>
      <c r="B6658" s="52">
        <v>408</v>
      </c>
      <c r="C6658" s="8" t="s">
        <v>2585</v>
      </c>
      <c r="D6658" s="8" t="s">
        <v>760</v>
      </c>
      <c r="E6658" s="52">
        <v>1024</v>
      </c>
      <c r="F6658" s="13"/>
      <c r="G6658" s="13">
        <v>4044</v>
      </c>
    </row>
    <row r="6659" spans="1:7" hidden="1" x14ac:dyDescent="0.75">
      <c r="A6659" s="51">
        <v>44942</v>
      </c>
      <c r="B6659" s="52">
        <v>408</v>
      </c>
      <c r="C6659" s="8" t="s">
        <v>2586</v>
      </c>
      <c r="D6659" s="8" t="s">
        <v>760</v>
      </c>
      <c r="E6659" s="52">
        <v>1024</v>
      </c>
      <c r="F6659" s="13"/>
      <c r="G6659" s="13">
        <v>6340</v>
      </c>
    </row>
    <row r="6660" spans="1:7" hidden="1" x14ac:dyDescent="0.75">
      <c r="A6660" s="51">
        <v>44942</v>
      </c>
      <c r="B6660" s="52">
        <v>408</v>
      </c>
      <c r="C6660" s="8" t="s">
        <v>2908</v>
      </c>
      <c r="D6660" s="8" t="s">
        <v>760</v>
      </c>
      <c r="E6660" s="52">
        <v>1508</v>
      </c>
      <c r="F6660" s="13"/>
      <c r="G6660" s="13">
        <v>1608</v>
      </c>
    </row>
    <row r="6661" spans="1:7" hidden="1" x14ac:dyDescent="0.75">
      <c r="A6661" s="51">
        <v>44942</v>
      </c>
      <c r="B6661" s="52">
        <v>408</v>
      </c>
      <c r="C6661" s="8" t="s">
        <v>2909</v>
      </c>
      <c r="D6661" s="8" t="s">
        <v>760</v>
      </c>
      <c r="E6661" s="52">
        <v>1508</v>
      </c>
      <c r="F6661" s="13"/>
      <c r="G6661" s="13">
        <v>2493.1</v>
      </c>
    </row>
    <row r="6662" spans="1:7" hidden="1" x14ac:dyDescent="0.75">
      <c r="A6662" s="51">
        <v>44942</v>
      </c>
      <c r="B6662" s="52">
        <v>408</v>
      </c>
      <c r="C6662" s="8" t="s">
        <v>2274</v>
      </c>
      <c r="D6662" s="8" t="s">
        <v>760</v>
      </c>
      <c r="E6662" s="52">
        <v>806</v>
      </c>
      <c r="F6662" s="13"/>
      <c r="G6662" s="13">
        <v>990</v>
      </c>
    </row>
    <row r="6663" spans="1:7" hidden="1" x14ac:dyDescent="0.75">
      <c r="A6663" s="51">
        <v>44942</v>
      </c>
      <c r="B6663" s="52">
        <v>408</v>
      </c>
      <c r="C6663" s="8" t="s">
        <v>2240</v>
      </c>
      <c r="D6663" s="8" t="s">
        <v>760</v>
      </c>
      <c r="E6663" s="52">
        <v>804</v>
      </c>
      <c r="F6663" s="13"/>
      <c r="G6663" s="13">
        <v>594</v>
      </c>
    </row>
    <row r="6664" spans="1:7" hidden="1" x14ac:dyDescent="0.75">
      <c r="A6664" s="51">
        <v>44942</v>
      </c>
      <c r="B6664" s="52">
        <v>408</v>
      </c>
      <c r="C6664" s="8" t="s">
        <v>2275</v>
      </c>
      <c r="D6664" s="8" t="s">
        <v>760</v>
      </c>
      <c r="E6664" s="52">
        <v>806</v>
      </c>
      <c r="F6664" s="13"/>
      <c r="G6664" s="13">
        <v>3105</v>
      </c>
    </row>
    <row r="6665" spans="1:7" hidden="1" x14ac:dyDescent="0.75">
      <c r="A6665" s="51">
        <v>44942</v>
      </c>
      <c r="B6665" s="52">
        <v>408</v>
      </c>
      <c r="C6665" s="8" t="s">
        <v>2241</v>
      </c>
      <c r="D6665" s="8" t="s">
        <v>760</v>
      </c>
      <c r="E6665" s="52">
        <v>804</v>
      </c>
      <c r="F6665" s="13"/>
      <c r="G6665" s="13">
        <v>666.5</v>
      </c>
    </row>
    <row r="6666" spans="1:7" hidden="1" x14ac:dyDescent="0.75">
      <c r="A6666" s="51">
        <v>44942</v>
      </c>
      <c r="B6666" s="52">
        <v>408</v>
      </c>
      <c r="C6666" s="8" t="s">
        <v>2834</v>
      </c>
      <c r="D6666" s="8" t="s">
        <v>760</v>
      </c>
      <c r="E6666" s="52">
        <v>707</v>
      </c>
      <c r="F6666" s="13"/>
      <c r="G6666" s="13">
        <v>2149.5</v>
      </c>
    </row>
    <row r="6667" spans="1:7" hidden="1" x14ac:dyDescent="0.75">
      <c r="A6667" s="51">
        <v>44942</v>
      </c>
      <c r="B6667" s="52">
        <v>408</v>
      </c>
      <c r="C6667" s="8" t="s">
        <v>3040</v>
      </c>
      <c r="D6667" s="8" t="s">
        <v>760</v>
      </c>
      <c r="E6667" s="52">
        <v>1752</v>
      </c>
      <c r="F6667" s="13"/>
      <c r="G6667" s="13">
        <v>782.15</v>
      </c>
    </row>
    <row r="6668" spans="1:7" hidden="1" x14ac:dyDescent="0.75">
      <c r="A6668" s="51">
        <v>44942</v>
      </c>
      <c r="B6668" s="52">
        <v>408</v>
      </c>
      <c r="C6668" s="8" t="s">
        <v>3094</v>
      </c>
      <c r="D6668" s="8" t="s">
        <v>760</v>
      </c>
      <c r="E6668" s="52">
        <v>1747</v>
      </c>
      <c r="F6668" s="13"/>
      <c r="G6668" s="13">
        <v>1666.45</v>
      </c>
    </row>
    <row r="6669" spans="1:7" hidden="1" x14ac:dyDescent="0.75">
      <c r="A6669" s="51">
        <v>44942</v>
      </c>
      <c r="B6669" s="52">
        <v>408</v>
      </c>
      <c r="C6669" s="8" t="s">
        <v>3066</v>
      </c>
      <c r="D6669" s="8" t="s">
        <v>760</v>
      </c>
      <c r="E6669" s="52">
        <v>1696</v>
      </c>
      <c r="F6669" s="13"/>
      <c r="G6669" s="13">
        <v>583.9</v>
      </c>
    </row>
    <row r="6670" spans="1:7" hidden="1" x14ac:dyDescent="0.75">
      <c r="A6670" s="51">
        <v>44942</v>
      </c>
      <c r="B6670" s="52">
        <v>408</v>
      </c>
      <c r="C6670" s="8" t="s">
        <v>2988</v>
      </c>
      <c r="D6670" s="8" t="s">
        <v>760</v>
      </c>
      <c r="E6670" s="52">
        <v>1751</v>
      </c>
      <c r="F6670" s="13"/>
      <c r="G6670" s="13">
        <v>1431.5</v>
      </c>
    </row>
    <row r="6671" spans="1:7" hidden="1" x14ac:dyDescent="0.75">
      <c r="A6671" s="51">
        <v>44942</v>
      </c>
      <c r="B6671" s="52">
        <v>408</v>
      </c>
      <c r="C6671" s="8" t="s">
        <v>3015</v>
      </c>
      <c r="D6671" s="8" t="s">
        <v>760</v>
      </c>
      <c r="E6671" s="52">
        <v>1748</v>
      </c>
      <c r="F6671" s="13"/>
      <c r="G6671" s="13">
        <v>928.55</v>
      </c>
    </row>
    <row r="6672" spans="1:7" hidden="1" x14ac:dyDescent="0.75">
      <c r="A6672" s="51">
        <v>44942</v>
      </c>
      <c r="B6672" s="52">
        <v>408</v>
      </c>
      <c r="C6672" s="8" t="s">
        <v>1977</v>
      </c>
      <c r="D6672" s="8" t="s">
        <v>760</v>
      </c>
      <c r="E6672" s="52">
        <v>1124</v>
      </c>
      <c r="F6672" s="13"/>
      <c r="G6672" s="13">
        <v>621</v>
      </c>
    </row>
    <row r="6673" spans="1:7" hidden="1" x14ac:dyDescent="0.75">
      <c r="A6673" s="51">
        <v>44942</v>
      </c>
      <c r="B6673" s="52">
        <v>408</v>
      </c>
      <c r="C6673" s="8" t="s">
        <v>2047</v>
      </c>
      <c r="D6673" s="8" t="s">
        <v>760</v>
      </c>
      <c r="E6673" s="52">
        <v>711</v>
      </c>
      <c r="F6673" s="13"/>
      <c r="G6673" s="13">
        <v>418.6</v>
      </c>
    </row>
    <row r="6674" spans="1:7" hidden="1" x14ac:dyDescent="0.75">
      <c r="A6674" s="51">
        <v>44942</v>
      </c>
      <c r="B6674" s="52">
        <v>408</v>
      </c>
      <c r="C6674" s="8" t="s">
        <v>2132</v>
      </c>
      <c r="D6674" s="8" t="s">
        <v>760</v>
      </c>
      <c r="E6674" s="52">
        <v>712</v>
      </c>
      <c r="F6674" s="13"/>
      <c r="G6674" s="13">
        <v>859</v>
      </c>
    </row>
    <row r="6675" spans="1:7" hidden="1" x14ac:dyDescent="0.75">
      <c r="A6675" s="51">
        <v>44942</v>
      </c>
      <c r="B6675" s="52">
        <v>408</v>
      </c>
      <c r="C6675" s="8" t="s">
        <v>2015</v>
      </c>
      <c r="D6675" s="8" t="s">
        <v>760</v>
      </c>
      <c r="E6675" s="52">
        <v>713</v>
      </c>
      <c r="F6675" s="13"/>
      <c r="G6675" s="13">
        <v>268.8</v>
      </c>
    </row>
    <row r="6676" spans="1:7" hidden="1" x14ac:dyDescent="0.75">
      <c r="A6676" s="51">
        <v>44942</v>
      </c>
      <c r="B6676" s="52">
        <v>408</v>
      </c>
      <c r="C6676" s="8" t="s">
        <v>2467</v>
      </c>
      <c r="D6676" s="8" t="s">
        <v>760</v>
      </c>
      <c r="E6676" s="52">
        <v>714</v>
      </c>
      <c r="F6676" s="13"/>
      <c r="G6676" s="13">
        <v>2237.5500000000002</v>
      </c>
    </row>
    <row r="6677" spans="1:7" hidden="1" x14ac:dyDescent="0.75">
      <c r="A6677" s="51">
        <v>44942</v>
      </c>
      <c r="B6677" s="52">
        <v>408</v>
      </c>
      <c r="C6677" s="8" t="s">
        <v>2016</v>
      </c>
      <c r="D6677" s="8" t="s">
        <v>760</v>
      </c>
      <c r="E6677" s="52">
        <v>713</v>
      </c>
      <c r="F6677" s="13"/>
      <c r="G6677" s="13">
        <v>1375.42</v>
      </c>
    </row>
    <row r="6678" spans="1:7" hidden="1" x14ac:dyDescent="0.75">
      <c r="A6678" s="51">
        <v>44942</v>
      </c>
      <c r="B6678" s="52">
        <v>408</v>
      </c>
      <c r="C6678" s="8" t="s">
        <v>2133</v>
      </c>
      <c r="D6678" s="8" t="s">
        <v>760</v>
      </c>
      <c r="E6678" s="52">
        <v>712</v>
      </c>
      <c r="F6678" s="13"/>
      <c r="G6678" s="13">
        <v>6877.17</v>
      </c>
    </row>
    <row r="6679" spans="1:7" hidden="1" x14ac:dyDescent="0.75">
      <c r="A6679" s="51">
        <v>44942</v>
      </c>
      <c r="B6679" s="52">
        <v>408</v>
      </c>
      <c r="C6679" s="8" t="s">
        <v>2048</v>
      </c>
      <c r="D6679" s="8" t="s">
        <v>760</v>
      </c>
      <c r="E6679" s="52">
        <v>711</v>
      </c>
      <c r="F6679" s="13"/>
      <c r="G6679" s="13">
        <v>3798.32</v>
      </c>
    </row>
    <row r="6680" spans="1:7" hidden="1" x14ac:dyDescent="0.75">
      <c r="A6680" s="51">
        <v>44942</v>
      </c>
      <c r="B6680" s="52">
        <v>408</v>
      </c>
      <c r="C6680" s="8" t="s">
        <v>1978</v>
      </c>
      <c r="D6680" s="8" t="s">
        <v>760</v>
      </c>
      <c r="E6680" s="52">
        <v>1124</v>
      </c>
      <c r="F6680" s="13"/>
      <c r="G6680" s="13">
        <v>2121.2199999999998</v>
      </c>
    </row>
    <row r="6681" spans="1:7" hidden="1" x14ac:dyDescent="0.75">
      <c r="A6681" s="51">
        <v>44942</v>
      </c>
      <c r="B6681" s="52">
        <v>408</v>
      </c>
      <c r="C6681" s="8" t="s">
        <v>2084</v>
      </c>
      <c r="D6681" s="8" t="s">
        <v>760</v>
      </c>
      <c r="E6681" s="52">
        <v>710</v>
      </c>
      <c r="F6681" s="13"/>
      <c r="G6681" s="13">
        <v>302.8</v>
      </c>
    </row>
    <row r="6682" spans="1:7" hidden="1" x14ac:dyDescent="0.75">
      <c r="A6682" s="51">
        <v>44942</v>
      </c>
      <c r="B6682" s="52">
        <v>408</v>
      </c>
      <c r="C6682" s="8" t="s">
        <v>2403</v>
      </c>
      <c r="D6682" s="8" t="s">
        <v>760</v>
      </c>
      <c r="E6682" s="52">
        <v>719</v>
      </c>
      <c r="F6682" s="13"/>
      <c r="G6682" s="13">
        <v>380.95</v>
      </c>
    </row>
    <row r="6683" spans="1:7" hidden="1" x14ac:dyDescent="0.75">
      <c r="A6683" s="51">
        <v>44942</v>
      </c>
      <c r="B6683" s="52">
        <v>408</v>
      </c>
      <c r="C6683" s="8" t="s">
        <v>2319</v>
      </c>
      <c r="D6683" s="8" t="s">
        <v>760</v>
      </c>
      <c r="E6683" s="52">
        <v>717</v>
      </c>
      <c r="F6683" s="13"/>
      <c r="G6683" s="13">
        <v>3572.5</v>
      </c>
    </row>
    <row r="6684" spans="1:7" hidden="1" x14ac:dyDescent="0.75">
      <c r="A6684" s="51">
        <v>44942</v>
      </c>
      <c r="B6684" s="52">
        <v>408</v>
      </c>
      <c r="C6684" s="8" t="s">
        <v>2371</v>
      </c>
      <c r="D6684" s="8" t="s">
        <v>760</v>
      </c>
      <c r="E6684" s="52">
        <v>1818</v>
      </c>
      <c r="F6684" s="13"/>
      <c r="G6684" s="13">
        <v>2762.7</v>
      </c>
    </row>
    <row r="6685" spans="1:7" hidden="1" x14ac:dyDescent="0.75">
      <c r="A6685" s="51">
        <v>44942</v>
      </c>
      <c r="B6685" s="52">
        <v>408</v>
      </c>
      <c r="C6685" s="8" t="s">
        <v>2162</v>
      </c>
      <c r="D6685" s="8" t="s">
        <v>760</v>
      </c>
      <c r="E6685" s="52">
        <v>716</v>
      </c>
      <c r="F6685" s="13"/>
      <c r="G6685" s="13">
        <v>1044.24</v>
      </c>
    </row>
    <row r="6686" spans="1:7" hidden="1" x14ac:dyDescent="0.75">
      <c r="A6686" s="51">
        <v>44942</v>
      </c>
      <c r="B6686" s="52">
        <v>408</v>
      </c>
      <c r="C6686" s="8" t="s">
        <v>2085</v>
      </c>
      <c r="D6686" s="8" t="s">
        <v>760</v>
      </c>
      <c r="E6686" s="52">
        <v>710</v>
      </c>
      <c r="F6686" s="13"/>
      <c r="G6686" s="13">
        <v>1108.17</v>
      </c>
    </row>
    <row r="6687" spans="1:7" hidden="1" x14ac:dyDescent="0.75">
      <c r="A6687" s="51">
        <v>44942</v>
      </c>
      <c r="B6687" s="52">
        <v>408</v>
      </c>
      <c r="C6687" s="8" t="s">
        <v>2134</v>
      </c>
      <c r="D6687" s="8" t="s">
        <v>760</v>
      </c>
      <c r="E6687" s="52">
        <v>712</v>
      </c>
      <c r="F6687" s="13"/>
      <c r="G6687" s="13">
        <v>51.84</v>
      </c>
    </row>
    <row r="6688" spans="1:7" hidden="1" x14ac:dyDescent="0.75">
      <c r="A6688" s="51">
        <v>44943</v>
      </c>
      <c r="B6688" s="52">
        <v>408</v>
      </c>
      <c r="C6688" s="8" t="s">
        <v>2211</v>
      </c>
      <c r="D6688" s="8" t="s">
        <v>760</v>
      </c>
      <c r="E6688" s="52">
        <v>1736</v>
      </c>
      <c r="F6688" s="13"/>
      <c r="G6688" s="13">
        <v>1402.61</v>
      </c>
    </row>
    <row r="6689" spans="1:7" hidden="1" x14ac:dyDescent="0.75">
      <c r="A6689" s="51">
        <v>44943</v>
      </c>
      <c r="B6689" s="52">
        <v>408</v>
      </c>
      <c r="C6689" s="8" t="s">
        <v>2212</v>
      </c>
      <c r="D6689" s="8" t="s">
        <v>760</v>
      </c>
      <c r="E6689" s="52">
        <v>1736</v>
      </c>
      <c r="F6689" s="13"/>
      <c r="G6689" s="13">
        <v>778.18</v>
      </c>
    </row>
    <row r="6690" spans="1:7" hidden="1" x14ac:dyDescent="0.75">
      <c r="A6690" s="51">
        <v>44943</v>
      </c>
      <c r="B6690" s="52">
        <v>408</v>
      </c>
      <c r="C6690" s="8" t="s">
        <v>2587</v>
      </c>
      <c r="D6690" s="8" t="s">
        <v>760</v>
      </c>
      <c r="E6690" s="52">
        <v>1024</v>
      </c>
      <c r="F6690" s="13"/>
      <c r="G6690" s="13">
        <v>58</v>
      </c>
    </row>
    <row r="6691" spans="1:7" hidden="1" x14ac:dyDescent="0.75">
      <c r="A6691" s="51">
        <v>44943</v>
      </c>
      <c r="B6691" s="52">
        <v>408</v>
      </c>
      <c r="C6691" s="8" t="s">
        <v>2588</v>
      </c>
      <c r="D6691" s="8" t="s">
        <v>760</v>
      </c>
      <c r="E6691" s="52">
        <v>1024</v>
      </c>
      <c r="F6691" s="13"/>
      <c r="G6691" s="13">
        <v>2730</v>
      </c>
    </row>
    <row r="6692" spans="1:7" hidden="1" x14ac:dyDescent="0.75">
      <c r="A6692" s="51">
        <v>44943</v>
      </c>
      <c r="B6692" s="52">
        <v>408</v>
      </c>
      <c r="C6692" s="8" t="s">
        <v>2589</v>
      </c>
      <c r="D6692" s="8" t="s">
        <v>760</v>
      </c>
      <c r="E6692" s="52">
        <v>1024</v>
      </c>
      <c r="F6692" s="13"/>
      <c r="G6692" s="13">
        <v>2249</v>
      </c>
    </row>
    <row r="6693" spans="1:7" hidden="1" x14ac:dyDescent="0.75">
      <c r="A6693" s="51">
        <v>44943</v>
      </c>
      <c r="B6693" s="52">
        <v>408</v>
      </c>
      <c r="C6693" s="8" t="s">
        <v>2970</v>
      </c>
      <c r="D6693" s="8" t="s">
        <v>760</v>
      </c>
      <c r="E6693" s="52">
        <v>1765</v>
      </c>
      <c r="F6693" s="13"/>
      <c r="G6693" s="13">
        <v>2545</v>
      </c>
    </row>
    <row r="6694" spans="1:7" hidden="1" x14ac:dyDescent="0.75">
      <c r="A6694" s="51">
        <v>44943</v>
      </c>
      <c r="B6694" s="52">
        <v>408</v>
      </c>
      <c r="C6694" s="8" t="s">
        <v>2687</v>
      </c>
      <c r="D6694" s="8" t="s">
        <v>760</v>
      </c>
      <c r="E6694" s="52">
        <v>883</v>
      </c>
      <c r="F6694" s="13"/>
      <c r="G6694" s="13">
        <v>4438</v>
      </c>
    </row>
    <row r="6695" spans="1:7" hidden="1" x14ac:dyDescent="0.75">
      <c r="A6695" s="51">
        <v>44943</v>
      </c>
      <c r="B6695" s="52">
        <v>408</v>
      </c>
      <c r="C6695" s="8" t="s">
        <v>2688</v>
      </c>
      <c r="D6695" s="8" t="s">
        <v>760</v>
      </c>
      <c r="E6695" s="52">
        <v>883</v>
      </c>
      <c r="F6695" s="13"/>
      <c r="G6695" s="13">
        <v>766.25</v>
      </c>
    </row>
    <row r="6696" spans="1:7" hidden="1" x14ac:dyDescent="0.75">
      <c r="A6696" s="51">
        <v>44943</v>
      </c>
      <c r="B6696" s="52">
        <v>408</v>
      </c>
      <c r="C6696" s="8" t="s">
        <v>2712</v>
      </c>
      <c r="D6696" s="8" t="s">
        <v>760</v>
      </c>
      <c r="E6696" s="52">
        <v>885</v>
      </c>
      <c r="F6696" s="13"/>
      <c r="G6696" s="13">
        <v>1267.3</v>
      </c>
    </row>
    <row r="6697" spans="1:7" hidden="1" x14ac:dyDescent="0.75">
      <c r="A6697" s="51">
        <v>44943</v>
      </c>
      <c r="B6697" s="52">
        <v>408</v>
      </c>
      <c r="C6697" s="8" t="s">
        <v>2730</v>
      </c>
      <c r="D6697" s="8" t="s">
        <v>760</v>
      </c>
      <c r="E6697" s="52">
        <v>882</v>
      </c>
      <c r="F6697" s="13"/>
      <c r="G6697" s="13">
        <v>195</v>
      </c>
    </row>
    <row r="6698" spans="1:7" hidden="1" x14ac:dyDescent="0.75">
      <c r="A6698" s="51">
        <v>44943</v>
      </c>
      <c r="B6698" s="52">
        <v>408</v>
      </c>
      <c r="C6698" s="8" t="s">
        <v>2758</v>
      </c>
      <c r="D6698" s="8" t="s">
        <v>760</v>
      </c>
      <c r="E6698" s="52">
        <v>884</v>
      </c>
      <c r="F6698" s="13"/>
      <c r="G6698" s="13">
        <v>3251.3</v>
      </c>
    </row>
    <row r="6699" spans="1:7" hidden="1" x14ac:dyDescent="0.75">
      <c r="A6699" s="51">
        <v>44943</v>
      </c>
      <c r="B6699" s="52">
        <v>408</v>
      </c>
      <c r="C6699" s="8" t="s">
        <v>2759</v>
      </c>
      <c r="D6699" s="8" t="s">
        <v>760</v>
      </c>
      <c r="E6699" s="52">
        <v>884</v>
      </c>
      <c r="F6699" s="13"/>
      <c r="G6699" s="13">
        <v>1359.5</v>
      </c>
    </row>
    <row r="6700" spans="1:7" hidden="1" x14ac:dyDescent="0.75">
      <c r="A6700" s="51">
        <v>44943</v>
      </c>
      <c r="B6700" s="52">
        <v>408</v>
      </c>
      <c r="C6700" s="8" t="s">
        <v>2804</v>
      </c>
      <c r="D6700" s="8" t="s">
        <v>760</v>
      </c>
      <c r="E6700" s="52">
        <v>1025</v>
      </c>
      <c r="F6700" s="13"/>
      <c r="G6700" s="13">
        <v>2010.7</v>
      </c>
    </row>
    <row r="6701" spans="1:7" hidden="1" x14ac:dyDescent="0.75">
      <c r="A6701" s="51">
        <v>44943</v>
      </c>
      <c r="B6701" s="52">
        <v>408</v>
      </c>
      <c r="C6701" s="8" t="s">
        <v>2805</v>
      </c>
      <c r="D6701" s="8" t="s">
        <v>760</v>
      </c>
      <c r="E6701" s="52">
        <v>1025</v>
      </c>
      <c r="F6701" s="13"/>
      <c r="G6701" s="13">
        <v>479.5</v>
      </c>
    </row>
    <row r="6702" spans="1:7" hidden="1" x14ac:dyDescent="0.75">
      <c r="A6702" s="51">
        <v>44943</v>
      </c>
      <c r="B6702" s="52">
        <v>408</v>
      </c>
      <c r="C6702" s="8" t="s">
        <v>2590</v>
      </c>
      <c r="D6702" s="8" t="s">
        <v>760</v>
      </c>
      <c r="E6702" s="52">
        <v>1024</v>
      </c>
      <c r="F6702" s="13"/>
      <c r="G6702" s="13">
        <v>595</v>
      </c>
    </row>
    <row r="6703" spans="1:7" hidden="1" x14ac:dyDescent="0.75">
      <c r="A6703" s="51">
        <v>44943</v>
      </c>
      <c r="B6703" s="52">
        <v>408</v>
      </c>
      <c r="C6703" s="8" t="s">
        <v>2591</v>
      </c>
      <c r="D6703" s="8" t="s">
        <v>760</v>
      </c>
      <c r="E6703" s="52">
        <v>1024</v>
      </c>
      <c r="F6703" s="13"/>
      <c r="G6703" s="13">
        <v>2422</v>
      </c>
    </row>
    <row r="6704" spans="1:7" hidden="1" x14ac:dyDescent="0.75">
      <c r="A6704" s="51">
        <v>44943</v>
      </c>
      <c r="B6704" s="52">
        <v>408</v>
      </c>
      <c r="C6704" s="8" t="s">
        <v>3116</v>
      </c>
      <c r="D6704" s="8" t="s">
        <v>760</v>
      </c>
      <c r="E6704" s="52">
        <v>1789</v>
      </c>
      <c r="F6704" s="13"/>
      <c r="G6704" s="13">
        <v>325</v>
      </c>
    </row>
    <row r="6705" spans="1:7" hidden="1" x14ac:dyDescent="0.75">
      <c r="A6705" s="51">
        <v>44943</v>
      </c>
      <c r="B6705" s="52">
        <v>408</v>
      </c>
      <c r="C6705" s="8" t="s">
        <v>2858</v>
      </c>
      <c r="D6705" s="8" t="s">
        <v>760</v>
      </c>
      <c r="E6705" s="52">
        <v>1788</v>
      </c>
      <c r="F6705" s="13"/>
      <c r="G6705" s="13">
        <v>325</v>
      </c>
    </row>
    <row r="6706" spans="1:7" hidden="1" x14ac:dyDescent="0.75">
      <c r="A6706" s="51">
        <v>44943</v>
      </c>
      <c r="B6706" s="52">
        <v>408</v>
      </c>
      <c r="C6706" s="8" t="s">
        <v>2592</v>
      </c>
      <c r="D6706" s="8" t="s">
        <v>760</v>
      </c>
      <c r="E6706" s="52">
        <v>1024</v>
      </c>
      <c r="F6706" s="13"/>
      <c r="G6706" s="13">
        <v>427.5</v>
      </c>
    </row>
    <row r="6707" spans="1:7" hidden="1" x14ac:dyDescent="0.75">
      <c r="A6707" s="51">
        <v>44943</v>
      </c>
      <c r="B6707" s="52">
        <v>408</v>
      </c>
      <c r="C6707" s="8" t="s">
        <v>2593</v>
      </c>
      <c r="D6707" s="8" t="s">
        <v>760</v>
      </c>
      <c r="E6707" s="52">
        <v>1024</v>
      </c>
      <c r="F6707" s="13"/>
      <c r="G6707" s="13">
        <v>1331.5</v>
      </c>
    </row>
    <row r="6708" spans="1:7" hidden="1" x14ac:dyDescent="0.75">
      <c r="A6708" s="51">
        <v>44943</v>
      </c>
      <c r="B6708" s="52">
        <v>408</v>
      </c>
      <c r="C6708" s="8" t="s">
        <v>1997</v>
      </c>
      <c r="D6708" s="8" t="s">
        <v>760</v>
      </c>
      <c r="E6708" s="52">
        <v>724</v>
      </c>
      <c r="F6708" s="13"/>
      <c r="G6708" s="13">
        <v>1206.5899999999999</v>
      </c>
    </row>
    <row r="6709" spans="1:7" hidden="1" x14ac:dyDescent="0.75">
      <c r="A6709" s="51">
        <v>44943</v>
      </c>
      <c r="B6709" s="52">
        <v>408</v>
      </c>
      <c r="C6709" s="8" t="s">
        <v>2107</v>
      </c>
      <c r="D6709" s="8" t="s">
        <v>760</v>
      </c>
      <c r="E6709" s="52">
        <v>720</v>
      </c>
      <c r="F6709" s="13"/>
      <c r="G6709" s="13">
        <v>1796.76</v>
      </c>
    </row>
    <row r="6710" spans="1:7" hidden="1" x14ac:dyDescent="0.75">
      <c r="A6710" s="51">
        <v>44943</v>
      </c>
      <c r="B6710" s="52">
        <v>408</v>
      </c>
      <c r="C6710" s="8" t="s">
        <v>2835</v>
      </c>
      <c r="D6710" s="8" t="s">
        <v>760</v>
      </c>
      <c r="E6710" s="52">
        <v>707</v>
      </c>
      <c r="F6710" s="13"/>
      <c r="G6710" s="13">
        <v>1476.25</v>
      </c>
    </row>
    <row r="6711" spans="1:7" hidden="1" x14ac:dyDescent="0.75">
      <c r="A6711" s="51">
        <v>44943</v>
      </c>
      <c r="B6711" s="52">
        <v>408</v>
      </c>
      <c r="C6711" s="8" t="s">
        <v>3095</v>
      </c>
      <c r="D6711" s="8" t="s">
        <v>760</v>
      </c>
      <c r="E6711" s="52">
        <v>1747</v>
      </c>
      <c r="F6711" s="13"/>
      <c r="G6711" s="13">
        <v>843.6</v>
      </c>
    </row>
    <row r="6712" spans="1:7" hidden="1" x14ac:dyDescent="0.75">
      <c r="A6712" s="51">
        <v>44943</v>
      </c>
      <c r="B6712" s="52">
        <v>408</v>
      </c>
      <c r="C6712" s="8" t="s">
        <v>3016</v>
      </c>
      <c r="D6712" s="8" t="s">
        <v>760</v>
      </c>
      <c r="E6712" s="52">
        <v>1748</v>
      </c>
      <c r="F6712" s="13"/>
      <c r="G6712" s="13">
        <v>323.10000000000002</v>
      </c>
    </row>
    <row r="6713" spans="1:7" hidden="1" x14ac:dyDescent="0.75">
      <c r="A6713" s="51">
        <v>44943</v>
      </c>
      <c r="B6713" s="52">
        <v>408</v>
      </c>
      <c r="C6713" s="8" t="s">
        <v>3067</v>
      </c>
      <c r="D6713" s="8" t="s">
        <v>760</v>
      </c>
      <c r="E6713" s="52">
        <v>1696</v>
      </c>
      <c r="F6713" s="13"/>
      <c r="G6713" s="13">
        <v>646.20000000000005</v>
      </c>
    </row>
    <row r="6714" spans="1:7" hidden="1" x14ac:dyDescent="0.75">
      <c r="A6714" s="51">
        <v>44943</v>
      </c>
      <c r="B6714" s="52">
        <v>408</v>
      </c>
      <c r="C6714" s="8" t="s">
        <v>2989</v>
      </c>
      <c r="D6714" s="8" t="s">
        <v>760</v>
      </c>
      <c r="E6714" s="52">
        <v>1751</v>
      </c>
      <c r="F6714" s="13"/>
      <c r="G6714" s="13">
        <v>356.1</v>
      </c>
    </row>
    <row r="6715" spans="1:7" hidden="1" x14ac:dyDescent="0.75">
      <c r="A6715" s="51">
        <v>44943</v>
      </c>
      <c r="B6715" s="52">
        <v>408</v>
      </c>
      <c r="C6715" s="8" t="s">
        <v>3041</v>
      </c>
      <c r="D6715" s="8" t="s">
        <v>760</v>
      </c>
      <c r="E6715" s="52">
        <v>1752</v>
      </c>
      <c r="F6715" s="13"/>
      <c r="G6715" s="13">
        <v>208.5</v>
      </c>
    </row>
    <row r="6716" spans="1:7" hidden="1" x14ac:dyDescent="0.75">
      <c r="A6716" s="51">
        <v>44943</v>
      </c>
      <c r="B6716" s="52">
        <v>408</v>
      </c>
      <c r="C6716" s="8" t="s">
        <v>3096</v>
      </c>
      <c r="D6716" s="8" t="s">
        <v>760</v>
      </c>
      <c r="E6716" s="52">
        <v>1747</v>
      </c>
      <c r="F6716" s="13"/>
      <c r="G6716" s="13">
        <v>803.95</v>
      </c>
    </row>
    <row r="6717" spans="1:7" hidden="1" x14ac:dyDescent="0.75">
      <c r="A6717" s="51">
        <v>44943</v>
      </c>
      <c r="B6717" s="52">
        <v>408</v>
      </c>
      <c r="C6717" s="8" t="s">
        <v>2990</v>
      </c>
      <c r="D6717" s="8" t="s">
        <v>760</v>
      </c>
      <c r="E6717" s="52">
        <v>1751</v>
      </c>
      <c r="F6717" s="13"/>
      <c r="G6717" s="13">
        <v>514</v>
      </c>
    </row>
    <row r="6718" spans="1:7" hidden="1" x14ac:dyDescent="0.75">
      <c r="A6718" s="51">
        <v>44943</v>
      </c>
      <c r="B6718" s="52">
        <v>408</v>
      </c>
      <c r="C6718" s="8" t="s">
        <v>3068</v>
      </c>
      <c r="D6718" s="8" t="s">
        <v>760</v>
      </c>
      <c r="E6718" s="52">
        <v>1696</v>
      </c>
      <c r="F6718" s="13"/>
      <c r="G6718" s="13">
        <v>396.15</v>
      </c>
    </row>
    <row r="6719" spans="1:7" hidden="1" x14ac:dyDescent="0.75">
      <c r="A6719" s="51">
        <v>44943</v>
      </c>
      <c r="B6719" s="52">
        <v>408</v>
      </c>
      <c r="C6719" s="8" t="s">
        <v>3017</v>
      </c>
      <c r="D6719" s="8" t="s">
        <v>760</v>
      </c>
      <c r="E6719" s="52">
        <v>1748</v>
      </c>
      <c r="F6719" s="13"/>
      <c r="G6719" s="13">
        <v>277.39999999999998</v>
      </c>
    </row>
    <row r="6720" spans="1:7" hidden="1" x14ac:dyDescent="0.75">
      <c r="A6720" s="51">
        <v>44943</v>
      </c>
      <c r="B6720" s="52">
        <v>408</v>
      </c>
      <c r="C6720" s="8" t="s">
        <v>2836</v>
      </c>
      <c r="D6720" s="8" t="s">
        <v>760</v>
      </c>
      <c r="E6720" s="52">
        <v>707</v>
      </c>
      <c r="F6720" s="13"/>
      <c r="G6720" s="13">
        <v>2180</v>
      </c>
    </row>
    <row r="6721" spans="1:7" hidden="1" x14ac:dyDescent="0.75">
      <c r="A6721" s="51">
        <v>44943</v>
      </c>
      <c r="B6721" s="52">
        <v>408</v>
      </c>
      <c r="C6721" s="8" t="s">
        <v>2163</v>
      </c>
      <c r="D6721" s="8" t="s">
        <v>760</v>
      </c>
      <c r="E6721" s="52">
        <v>716</v>
      </c>
      <c r="F6721" s="13"/>
      <c r="G6721" s="13">
        <v>1142.8499999999999</v>
      </c>
    </row>
    <row r="6722" spans="1:7" hidden="1" x14ac:dyDescent="0.75">
      <c r="A6722" s="51">
        <v>44943</v>
      </c>
      <c r="B6722" s="52">
        <v>408</v>
      </c>
      <c r="C6722" s="8" t="s">
        <v>2372</v>
      </c>
      <c r="D6722" s="8" t="s">
        <v>760</v>
      </c>
      <c r="E6722" s="52">
        <v>1818</v>
      </c>
      <c r="F6722" s="13"/>
      <c r="G6722" s="13">
        <v>2414.9</v>
      </c>
    </row>
    <row r="6723" spans="1:7" hidden="1" x14ac:dyDescent="0.75">
      <c r="A6723" s="51">
        <v>44943</v>
      </c>
      <c r="B6723" s="52">
        <v>408</v>
      </c>
      <c r="C6723" s="8" t="s">
        <v>2320</v>
      </c>
      <c r="D6723" s="8" t="s">
        <v>760</v>
      </c>
      <c r="E6723" s="52">
        <v>717</v>
      </c>
      <c r="F6723" s="13"/>
      <c r="G6723" s="13">
        <v>1128</v>
      </c>
    </row>
    <row r="6724" spans="1:7" hidden="1" x14ac:dyDescent="0.75">
      <c r="A6724" s="51">
        <v>44943</v>
      </c>
      <c r="B6724" s="52">
        <v>408</v>
      </c>
      <c r="C6724" s="8" t="s">
        <v>2429</v>
      </c>
      <c r="D6724" s="8" t="s">
        <v>760</v>
      </c>
      <c r="E6724" s="52">
        <v>1821</v>
      </c>
      <c r="F6724" s="13"/>
      <c r="G6724" s="13">
        <v>240.2</v>
      </c>
    </row>
    <row r="6725" spans="1:7" hidden="1" x14ac:dyDescent="0.75">
      <c r="A6725" s="51">
        <v>44943</v>
      </c>
      <c r="B6725" s="52">
        <v>408</v>
      </c>
      <c r="C6725" s="8" t="s">
        <v>2468</v>
      </c>
      <c r="D6725" s="8" t="s">
        <v>760</v>
      </c>
      <c r="E6725" s="52">
        <v>714</v>
      </c>
      <c r="F6725" s="13"/>
      <c r="G6725" s="13">
        <v>1212</v>
      </c>
    </row>
    <row r="6726" spans="1:7" hidden="1" x14ac:dyDescent="0.75">
      <c r="A6726" s="51">
        <v>44943</v>
      </c>
      <c r="B6726" s="52">
        <v>408</v>
      </c>
      <c r="C6726" s="8" t="s">
        <v>2135</v>
      </c>
      <c r="D6726" s="8" t="s">
        <v>760</v>
      </c>
      <c r="E6726" s="52">
        <v>712</v>
      </c>
      <c r="F6726" s="13"/>
      <c r="G6726" s="13">
        <v>4715.01</v>
      </c>
    </row>
    <row r="6727" spans="1:7" hidden="1" x14ac:dyDescent="0.75">
      <c r="A6727" s="51">
        <v>44943</v>
      </c>
      <c r="B6727" s="52">
        <v>408</v>
      </c>
      <c r="C6727" s="8" t="s">
        <v>2049</v>
      </c>
      <c r="D6727" s="8" t="s">
        <v>760</v>
      </c>
      <c r="E6727" s="52">
        <v>711</v>
      </c>
      <c r="F6727" s="13"/>
      <c r="G6727" s="13">
        <v>2626.76</v>
      </c>
    </row>
    <row r="6728" spans="1:7" hidden="1" x14ac:dyDescent="0.75">
      <c r="A6728" s="51">
        <v>44943</v>
      </c>
      <c r="B6728" s="52">
        <v>408</v>
      </c>
      <c r="C6728" s="8" t="s">
        <v>2017</v>
      </c>
      <c r="D6728" s="8" t="s">
        <v>760</v>
      </c>
      <c r="E6728" s="52">
        <v>713</v>
      </c>
      <c r="F6728" s="13"/>
      <c r="G6728" s="13">
        <v>1080.8900000000001</v>
      </c>
    </row>
    <row r="6729" spans="1:7" hidden="1" x14ac:dyDescent="0.75">
      <c r="A6729" s="51">
        <v>44943</v>
      </c>
      <c r="B6729" s="52">
        <v>408</v>
      </c>
      <c r="C6729" s="8" t="s">
        <v>1979</v>
      </c>
      <c r="D6729" s="8" t="s">
        <v>760</v>
      </c>
      <c r="E6729" s="52">
        <v>1124</v>
      </c>
      <c r="F6729" s="13"/>
      <c r="G6729" s="13">
        <v>1449.8</v>
      </c>
    </row>
    <row r="6730" spans="1:7" hidden="1" x14ac:dyDescent="0.75">
      <c r="A6730" s="51">
        <v>44943</v>
      </c>
      <c r="B6730" s="52">
        <v>408</v>
      </c>
      <c r="C6730" s="8" t="s">
        <v>2050</v>
      </c>
      <c r="D6730" s="8" t="s">
        <v>760</v>
      </c>
      <c r="E6730" s="52">
        <v>711</v>
      </c>
      <c r="F6730" s="13"/>
      <c r="G6730" s="13">
        <v>74</v>
      </c>
    </row>
    <row r="6731" spans="1:7" hidden="1" x14ac:dyDescent="0.75">
      <c r="A6731" s="51">
        <v>44944</v>
      </c>
      <c r="B6731" s="52">
        <v>408</v>
      </c>
      <c r="C6731" s="8" t="s">
        <v>2594</v>
      </c>
      <c r="D6731" s="8" t="s">
        <v>760</v>
      </c>
      <c r="E6731" s="52">
        <v>1024</v>
      </c>
      <c r="F6731" s="13"/>
      <c r="G6731" s="13">
        <v>1357</v>
      </c>
    </row>
    <row r="6732" spans="1:7" hidden="1" x14ac:dyDescent="0.75">
      <c r="A6732" s="51">
        <v>44944</v>
      </c>
      <c r="B6732" s="52">
        <v>408</v>
      </c>
      <c r="C6732" s="8" t="s">
        <v>2595</v>
      </c>
      <c r="D6732" s="8" t="s">
        <v>760</v>
      </c>
      <c r="E6732" s="52">
        <v>1024</v>
      </c>
      <c r="F6732" s="13"/>
      <c r="G6732" s="13">
        <v>3980</v>
      </c>
    </row>
    <row r="6733" spans="1:7" hidden="1" x14ac:dyDescent="0.75">
      <c r="A6733" s="51">
        <v>44944</v>
      </c>
      <c r="B6733" s="52">
        <v>408</v>
      </c>
      <c r="C6733" s="8" t="s">
        <v>2912</v>
      </c>
      <c r="D6733" s="8" t="s">
        <v>760</v>
      </c>
      <c r="E6733" s="52">
        <v>1508</v>
      </c>
      <c r="F6733" s="13"/>
      <c r="G6733" s="13">
        <v>1419.2</v>
      </c>
    </row>
    <row r="6734" spans="1:7" hidden="1" x14ac:dyDescent="0.75">
      <c r="A6734" s="51">
        <v>44944</v>
      </c>
      <c r="B6734" s="52">
        <v>408</v>
      </c>
      <c r="C6734" s="8" t="s">
        <v>2913</v>
      </c>
      <c r="D6734" s="8" t="s">
        <v>760</v>
      </c>
      <c r="E6734" s="52">
        <v>1508</v>
      </c>
      <c r="F6734" s="13"/>
      <c r="G6734" s="13">
        <v>4672.2</v>
      </c>
    </row>
    <row r="6735" spans="1:7" hidden="1" x14ac:dyDescent="0.75">
      <c r="A6735" s="51">
        <v>44944</v>
      </c>
      <c r="B6735" s="52">
        <v>408</v>
      </c>
      <c r="C6735" s="8" t="s">
        <v>2596</v>
      </c>
      <c r="D6735" s="8" t="s">
        <v>760</v>
      </c>
      <c r="E6735" s="52">
        <v>1024</v>
      </c>
      <c r="F6735" s="13"/>
      <c r="G6735" s="13">
        <v>522</v>
      </c>
    </row>
    <row r="6736" spans="1:7" hidden="1" x14ac:dyDescent="0.75">
      <c r="A6736" s="51">
        <v>44944</v>
      </c>
      <c r="B6736" s="52">
        <v>408</v>
      </c>
      <c r="C6736" s="8" t="s">
        <v>2597</v>
      </c>
      <c r="D6736" s="8" t="s">
        <v>760</v>
      </c>
      <c r="E6736" s="52">
        <v>1024</v>
      </c>
      <c r="F6736" s="13"/>
      <c r="G6736" s="13">
        <v>2189.6</v>
      </c>
    </row>
    <row r="6737" spans="1:7" hidden="1" x14ac:dyDescent="0.75">
      <c r="A6737" s="51">
        <v>44944</v>
      </c>
      <c r="B6737" s="52">
        <v>408</v>
      </c>
      <c r="C6737" s="8" t="s">
        <v>2276</v>
      </c>
      <c r="D6737" s="8" t="s">
        <v>760</v>
      </c>
      <c r="E6737" s="52">
        <v>806</v>
      </c>
      <c r="F6737" s="13"/>
      <c r="G6737" s="13">
        <v>990</v>
      </c>
    </row>
    <row r="6738" spans="1:7" hidden="1" x14ac:dyDescent="0.75">
      <c r="A6738" s="51">
        <v>44944</v>
      </c>
      <c r="B6738" s="52">
        <v>408</v>
      </c>
      <c r="C6738" s="8" t="s">
        <v>2277</v>
      </c>
      <c r="D6738" s="8" t="s">
        <v>760</v>
      </c>
      <c r="E6738" s="52">
        <v>806</v>
      </c>
      <c r="F6738" s="13"/>
      <c r="G6738" s="13">
        <v>2008</v>
      </c>
    </row>
    <row r="6739" spans="1:7" hidden="1" x14ac:dyDescent="0.75">
      <c r="A6739" s="51">
        <v>44944</v>
      </c>
      <c r="B6739" s="52">
        <v>408</v>
      </c>
      <c r="C6739" s="8" t="s">
        <v>2242</v>
      </c>
      <c r="D6739" s="8" t="s">
        <v>760</v>
      </c>
      <c r="E6739" s="52">
        <v>804</v>
      </c>
      <c r="F6739" s="13"/>
      <c r="G6739" s="13">
        <v>990</v>
      </c>
    </row>
    <row r="6740" spans="1:7" hidden="1" x14ac:dyDescent="0.75">
      <c r="A6740" s="51">
        <v>44944</v>
      </c>
      <c r="B6740" s="52">
        <v>408</v>
      </c>
      <c r="C6740" s="8" t="s">
        <v>2243</v>
      </c>
      <c r="D6740" s="8" t="s">
        <v>760</v>
      </c>
      <c r="E6740" s="52">
        <v>804</v>
      </c>
      <c r="F6740" s="13"/>
      <c r="G6740" s="13">
        <v>862.25</v>
      </c>
    </row>
    <row r="6741" spans="1:7" hidden="1" x14ac:dyDescent="0.75">
      <c r="A6741" s="51">
        <v>44944</v>
      </c>
      <c r="B6741" s="52">
        <v>408</v>
      </c>
      <c r="C6741" s="8" t="s">
        <v>2837</v>
      </c>
      <c r="D6741" s="8" t="s">
        <v>760</v>
      </c>
      <c r="E6741" s="52">
        <v>707</v>
      </c>
      <c r="F6741" s="13"/>
      <c r="G6741" s="13">
        <v>1050.0999999999999</v>
      </c>
    </row>
    <row r="6742" spans="1:7" hidden="1" x14ac:dyDescent="0.75">
      <c r="A6742" s="51">
        <v>44944</v>
      </c>
      <c r="B6742" s="52">
        <v>408</v>
      </c>
      <c r="C6742" s="8" t="s">
        <v>1957</v>
      </c>
      <c r="D6742" s="8" t="s">
        <v>760</v>
      </c>
      <c r="E6742" s="52">
        <v>709</v>
      </c>
      <c r="F6742" s="13"/>
      <c r="G6742" s="13">
        <v>2690.66</v>
      </c>
    </row>
    <row r="6743" spans="1:7" hidden="1" x14ac:dyDescent="0.75">
      <c r="A6743" s="51">
        <v>44944</v>
      </c>
      <c r="B6743" s="52">
        <v>408</v>
      </c>
      <c r="C6743" s="8" t="s">
        <v>2068</v>
      </c>
      <c r="D6743" s="8" t="s">
        <v>760</v>
      </c>
      <c r="E6743" s="52">
        <v>1729</v>
      </c>
      <c r="F6743" s="13"/>
      <c r="G6743" s="13">
        <v>872.2</v>
      </c>
    </row>
    <row r="6744" spans="1:7" hidden="1" x14ac:dyDescent="0.75">
      <c r="A6744" s="51">
        <v>44944</v>
      </c>
      <c r="B6744" s="52">
        <v>408</v>
      </c>
      <c r="C6744" s="8" t="s">
        <v>2373</v>
      </c>
      <c r="D6744" s="8" t="s">
        <v>760</v>
      </c>
      <c r="E6744" s="52">
        <v>1818</v>
      </c>
      <c r="F6744" s="13"/>
      <c r="G6744" s="13">
        <v>1562.05</v>
      </c>
    </row>
    <row r="6745" spans="1:7" hidden="1" x14ac:dyDescent="0.75">
      <c r="A6745" s="51">
        <v>44944</v>
      </c>
      <c r="B6745" s="52">
        <v>408</v>
      </c>
      <c r="C6745" s="8" t="s">
        <v>2086</v>
      </c>
      <c r="D6745" s="8" t="s">
        <v>760</v>
      </c>
      <c r="E6745" s="52">
        <v>710</v>
      </c>
      <c r="F6745" s="13"/>
      <c r="G6745" s="13">
        <v>1432.64</v>
      </c>
    </row>
    <row r="6746" spans="1:7" hidden="1" x14ac:dyDescent="0.75">
      <c r="A6746" s="51">
        <v>44944</v>
      </c>
      <c r="B6746" s="52">
        <v>408</v>
      </c>
      <c r="C6746" s="8" t="s">
        <v>2164</v>
      </c>
      <c r="D6746" s="8" t="s">
        <v>760</v>
      </c>
      <c r="E6746" s="52">
        <v>716</v>
      </c>
      <c r="F6746" s="13"/>
      <c r="G6746" s="13">
        <v>440.87</v>
      </c>
    </row>
    <row r="6747" spans="1:7" hidden="1" x14ac:dyDescent="0.75">
      <c r="A6747" s="51">
        <v>44944</v>
      </c>
      <c r="B6747" s="52">
        <v>408</v>
      </c>
      <c r="C6747" s="8" t="s">
        <v>2321</v>
      </c>
      <c r="D6747" s="8" t="s">
        <v>760</v>
      </c>
      <c r="E6747" s="52">
        <v>717</v>
      </c>
      <c r="F6747" s="13"/>
      <c r="G6747" s="13">
        <v>1120</v>
      </c>
    </row>
    <row r="6748" spans="1:7" hidden="1" x14ac:dyDescent="0.75">
      <c r="A6748" s="51">
        <v>44944</v>
      </c>
      <c r="B6748" s="52">
        <v>408</v>
      </c>
      <c r="C6748" s="8" t="s">
        <v>2469</v>
      </c>
      <c r="D6748" s="8" t="s">
        <v>760</v>
      </c>
      <c r="E6748" s="52">
        <v>714</v>
      </c>
      <c r="F6748" s="13"/>
      <c r="G6748" s="13">
        <v>1146.3699999999999</v>
      </c>
    </row>
    <row r="6749" spans="1:7" hidden="1" x14ac:dyDescent="0.75">
      <c r="A6749" s="51">
        <v>44944</v>
      </c>
      <c r="B6749" s="52">
        <v>408</v>
      </c>
      <c r="C6749" s="8" t="s">
        <v>2404</v>
      </c>
      <c r="D6749" s="8" t="s">
        <v>760</v>
      </c>
      <c r="E6749" s="52">
        <v>719</v>
      </c>
      <c r="F6749" s="13"/>
      <c r="G6749" s="13">
        <v>381.25</v>
      </c>
    </row>
    <row r="6750" spans="1:7" hidden="1" x14ac:dyDescent="0.75">
      <c r="A6750" s="51">
        <v>44944</v>
      </c>
      <c r="B6750" s="52">
        <v>408</v>
      </c>
      <c r="C6750" s="8" t="s">
        <v>1980</v>
      </c>
      <c r="D6750" s="8" t="s">
        <v>760</v>
      </c>
      <c r="E6750" s="52">
        <v>1124</v>
      </c>
      <c r="F6750" s="13"/>
      <c r="G6750" s="13">
        <v>2065.34</v>
      </c>
    </row>
    <row r="6751" spans="1:7" hidden="1" x14ac:dyDescent="0.75">
      <c r="A6751" s="51">
        <v>44944</v>
      </c>
      <c r="B6751" s="52">
        <v>408</v>
      </c>
      <c r="C6751" s="8" t="s">
        <v>2051</v>
      </c>
      <c r="D6751" s="8" t="s">
        <v>760</v>
      </c>
      <c r="E6751" s="52">
        <v>711</v>
      </c>
      <c r="F6751" s="13"/>
      <c r="G6751" s="13">
        <v>2923.31</v>
      </c>
    </row>
    <row r="6752" spans="1:7" hidden="1" x14ac:dyDescent="0.75">
      <c r="A6752" s="51">
        <v>44944</v>
      </c>
      <c r="B6752" s="52">
        <v>408</v>
      </c>
      <c r="C6752" s="8" t="s">
        <v>2018</v>
      </c>
      <c r="D6752" s="8" t="s">
        <v>760</v>
      </c>
      <c r="E6752" s="52">
        <v>713</v>
      </c>
      <c r="F6752" s="13"/>
      <c r="G6752" s="13">
        <v>785.89</v>
      </c>
    </row>
    <row r="6753" spans="1:7" hidden="1" x14ac:dyDescent="0.75">
      <c r="A6753" s="51">
        <v>44944</v>
      </c>
      <c r="B6753" s="52">
        <v>408</v>
      </c>
      <c r="C6753" s="8" t="s">
        <v>2136</v>
      </c>
      <c r="D6753" s="8" t="s">
        <v>760</v>
      </c>
      <c r="E6753" s="52">
        <v>712</v>
      </c>
      <c r="F6753" s="13"/>
      <c r="G6753" s="13">
        <v>2266.16</v>
      </c>
    </row>
    <row r="6754" spans="1:7" hidden="1" x14ac:dyDescent="0.75">
      <c r="A6754" s="51">
        <v>44945</v>
      </c>
      <c r="B6754" s="52">
        <v>408</v>
      </c>
      <c r="C6754" s="8" t="s">
        <v>2971</v>
      </c>
      <c r="D6754" s="8" t="s">
        <v>760</v>
      </c>
      <c r="E6754" s="52">
        <v>1765</v>
      </c>
      <c r="F6754" s="13"/>
      <c r="G6754" s="13">
        <v>2825.6</v>
      </c>
    </row>
    <row r="6755" spans="1:7" hidden="1" x14ac:dyDescent="0.75">
      <c r="A6755" s="51">
        <v>44945</v>
      </c>
      <c r="B6755" s="52">
        <v>408</v>
      </c>
      <c r="C6755" s="8" t="s">
        <v>2213</v>
      </c>
      <c r="D6755" s="8" t="s">
        <v>760</v>
      </c>
      <c r="E6755" s="52">
        <v>1736</v>
      </c>
      <c r="F6755" s="13"/>
      <c r="G6755" s="13">
        <v>1127.4000000000001</v>
      </c>
    </row>
    <row r="6756" spans="1:7" hidden="1" x14ac:dyDescent="0.75">
      <c r="A6756" s="51">
        <v>44945</v>
      </c>
      <c r="B6756" s="52">
        <v>408</v>
      </c>
      <c r="C6756" s="8" t="s">
        <v>2214</v>
      </c>
      <c r="D6756" s="8" t="s">
        <v>760</v>
      </c>
      <c r="E6756" s="52">
        <v>1736</v>
      </c>
      <c r="F6756" s="13"/>
      <c r="G6756" s="13">
        <v>719.05</v>
      </c>
    </row>
    <row r="6757" spans="1:7" hidden="1" x14ac:dyDescent="0.75">
      <c r="A6757" s="51">
        <v>44945</v>
      </c>
      <c r="B6757" s="52">
        <v>408</v>
      </c>
      <c r="C6757" s="8" t="s">
        <v>2598</v>
      </c>
      <c r="D6757" s="8" t="s">
        <v>760</v>
      </c>
      <c r="E6757" s="52">
        <v>1024</v>
      </c>
      <c r="F6757" s="13"/>
      <c r="G6757" s="13">
        <v>5700</v>
      </c>
    </row>
    <row r="6758" spans="1:7" hidden="1" x14ac:dyDescent="0.75">
      <c r="A6758" s="51">
        <v>44945</v>
      </c>
      <c r="B6758" s="52">
        <v>408</v>
      </c>
      <c r="C6758" s="8" t="s">
        <v>2689</v>
      </c>
      <c r="D6758" s="8" t="s">
        <v>760</v>
      </c>
      <c r="E6758" s="52">
        <v>883</v>
      </c>
      <c r="F6758" s="13"/>
      <c r="G6758" s="13">
        <v>4976</v>
      </c>
    </row>
    <row r="6759" spans="1:7" hidden="1" x14ac:dyDescent="0.75">
      <c r="A6759" s="51">
        <v>44945</v>
      </c>
      <c r="B6759" s="52">
        <v>408</v>
      </c>
      <c r="C6759" s="8" t="s">
        <v>2690</v>
      </c>
      <c r="D6759" s="8" t="s">
        <v>760</v>
      </c>
      <c r="E6759" s="52">
        <v>883</v>
      </c>
      <c r="F6759" s="13"/>
      <c r="G6759" s="13">
        <v>982.5</v>
      </c>
    </row>
    <row r="6760" spans="1:7" hidden="1" x14ac:dyDescent="0.75">
      <c r="A6760" s="51">
        <v>44945</v>
      </c>
      <c r="B6760" s="52">
        <v>408</v>
      </c>
      <c r="C6760" s="8" t="s">
        <v>2713</v>
      </c>
      <c r="D6760" s="8" t="s">
        <v>760</v>
      </c>
      <c r="E6760" s="52">
        <v>885</v>
      </c>
      <c r="F6760" s="13"/>
      <c r="G6760" s="13">
        <v>1355.3</v>
      </c>
    </row>
    <row r="6761" spans="1:7" hidden="1" x14ac:dyDescent="0.75">
      <c r="A6761" s="51">
        <v>44945</v>
      </c>
      <c r="B6761" s="52">
        <v>408</v>
      </c>
      <c r="C6761" s="8" t="s">
        <v>2731</v>
      </c>
      <c r="D6761" s="8" t="s">
        <v>760</v>
      </c>
      <c r="E6761" s="52">
        <v>882</v>
      </c>
      <c r="F6761" s="13"/>
      <c r="G6761" s="13">
        <v>362.8</v>
      </c>
    </row>
    <row r="6762" spans="1:7" hidden="1" x14ac:dyDescent="0.75">
      <c r="A6762" s="51">
        <v>44945</v>
      </c>
      <c r="B6762" s="52">
        <v>408</v>
      </c>
      <c r="C6762" s="8" t="s">
        <v>2760</v>
      </c>
      <c r="D6762" s="8" t="s">
        <v>760</v>
      </c>
      <c r="E6762" s="52">
        <v>884</v>
      </c>
      <c r="F6762" s="13"/>
      <c r="G6762" s="13">
        <v>3669.5</v>
      </c>
    </row>
    <row r="6763" spans="1:7" hidden="1" x14ac:dyDescent="0.75">
      <c r="A6763" s="51">
        <v>44945</v>
      </c>
      <c r="B6763" s="52">
        <v>408</v>
      </c>
      <c r="C6763" s="8" t="s">
        <v>2761</v>
      </c>
      <c r="D6763" s="8" t="s">
        <v>760</v>
      </c>
      <c r="E6763" s="52">
        <v>884</v>
      </c>
      <c r="F6763" s="13"/>
      <c r="G6763" s="13">
        <v>1532.5</v>
      </c>
    </row>
    <row r="6764" spans="1:7" hidden="1" x14ac:dyDescent="0.75">
      <c r="A6764" s="51">
        <v>44945</v>
      </c>
      <c r="B6764" s="52">
        <v>408</v>
      </c>
      <c r="C6764" s="8" t="s">
        <v>2778</v>
      </c>
      <c r="D6764" s="8" t="s">
        <v>760</v>
      </c>
      <c r="E6764" s="52">
        <v>881</v>
      </c>
      <c r="F6764" s="13"/>
      <c r="G6764" s="13">
        <v>657</v>
      </c>
    </row>
    <row r="6765" spans="1:7" hidden="1" x14ac:dyDescent="0.75">
      <c r="A6765" s="51">
        <v>44945</v>
      </c>
      <c r="B6765" s="52">
        <v>408</v>
      </c>
      <c r="C6765" s="8" t="s">
        <v>2806</v>
      </c>
      <c r="D6765" s="8" t="s">
        <v>760</v>
      </c>
      <c r="E6765" s="52">
        <v>1025</v>
      </c>
      <c r="F6765" s="13"/>
      <c r="G6765" s="13">
        <v>2259.5</v>
      </c>
    </row>
    <row r="6766" spans="1:7" hidden="1" x14ac:dyDescent="0.75">
      <c r="A6766" s="51">
        <v>44945</v>
      </c>
      <c r="B6766" s="52">
        <v>408</v>
      </c>
      <c r="C6766" s="8" t="s">
        <v>2807</v>
      </c>
      <c r="D6766" s="8" t="s">
        <v>760</v>
      </c>
      <c r="E6766" s="52">
        <v>1025</v>
      </c>
      <c r="F6766" s="13"/>
      <c r="G6766" s="13">
        <v>424.5</v>
      </c>
    </row>
    <row r="6767" spans="1:7" hidden="1" x14ac:dyDescent="0.75">
      <c r="A6767" s="51">
        <v>44945</v>
      </c>
      <c r="B6767" s="52">
        <v>408</v>
      </c>
      <c r="C6767" s="8" t="s">
        <v>2599</v>
      </c>
      <c r="D6767" s="8" t="s">
        <v>760</v>
      </c>
      <c r="E6767" s="52">
        <v>1024</v>
      </c>
      <c r="F6767" s="13"/>
      <c r="G6767" s="13">
        <v>2802</v>
      </c>
    </row>
    <row r="6768" spans="1:7" hidden="1" x14ac:dyDescent="0.75">
      <c r="A6768" s="51">
        <v>44945</v>
      </c>
      <c r="B6768" s="52">
        <v>408</v>
      </c>
      <c r="C6768" s="8" t="s">
        <v>2600</v>
      </c>
      <c r="D6768" s="8" t="s">
        <v>760</v>
      </c>
      <c r="E6768" s="52">
        <v>1024</v>
      </c>
      <c r="F6768" s="13"/>
      <c r="G6768" s="13">
        <v>2780</v>
      </c>
    </row>
    <row r="6769" spans="1:7" hidden="1" x14ac:dyDescent="0.75">
      <c r="A6769" s="51">
        <v>44945</v>
      </c>
      <c r="B6769" s="52">
        <v>408</v>
      </c>
      <c r="C6769" s="8" t="s">
        <v>2601</v>
      </c>
      <c r="D6769" s="8" t="s">
        <v>760</v>
      </c>
      <c r="E6769" s="52">
        <v>1024</v>
      </c>
      <c r="F6769" s="13"/>
      <c r="G6769" s="13">
        <v>1152</v>
      </c>
    </row>
    <row r="6770" spans="1:7" hidden="1" x14ac:dyDescent="0.75">
      <c r="A6770" s="51">
        <v>44945</v>
      </c>
      <c r="B6770" s="52">
        <v>408</v>
      </c>
      <c r="C6770" s="8" t="s">
        <v>2602</v>
      </c>
      <c r="D6770" s="8" t="s">
        <v>760</v>
      </c>
      <c r="E6770" s="52">
        <v>1024</v>
      </c>
      <c r="F6770" s="13"/>
      <c r="G6770" s="13">
        <v>953.5</v>
      </c>
    </row>
    <row r="6771" spans="1:7" hidden="1" x14ac:dyDescent="0.75">
      <c r="A6771" s="51">
        <v>44945</v>
      </c>
      <c r="B6771" s="52">
        <v>408</v>
      </c>
      <c r="C6771" s="8" t="s">
        <v>2603</v>
      </c>
      <c r="D6771" s="8" t="s">
        <v>760</v>
      </c>
      <c r="E6771" s="52">
        <v>1024</v>
      </c>
      <c r="F6771" s="13"/>
      <c r="G6771" s="13">
        <v>79</v>
      </c>
    </row>
    <row r="6772" spans="1:7" hidden="1" x14ac:dyDescent="0.75">
      <c r="A6772" s="51">
        <v>44945</v>
      </c>
      <c r="B6772" s="52">
        <v>408</v>
      </c>
      <c r="C6772" s="8" t="s">
        <v>3117</v>
      </c>
      <c r="D6772" s="8" t="s">
        <v>760</v>
      </c>
      <c r="E6772" s="52">
        <v>1789</v>
      </c>
      <c r="F6772" s="13"/>
      <c r="G6772" s="13">
        <v>325</v>
      </c>
    </row>
    <row r="6773" spans="1:7" hidden="1" x14ac:dyDescent="0.75">
      <c r="A6773" s="51">
        <v>44945</v>
      </c>
      <c r="B6773" s="52">
        <v>408</v>
      </c>
      <c r="C6773" s="8" t="s">
        <v>2859</v>
      </c>
      <c r="D6773" s="8" t="s">
        <v>760</v>
      </c>
      <c r="E6773" s="52">
        <v>1788</v>
      </c>
      <c r="F6773" s="13"/>
      <c r="G6773" s="13">
        <v>325</v>
      </c>
    </row>
    <row r="6774" spans="1:7" hidden="1" x14ac:dyDescent="0.75">
      <c r="A6774" s="51">
        <v>44945</v>
      </c>
      <c r="B6774" s="52">
        <v>408</v>
      </c>
      <c r="C6774" s="8" t="s">
        <v>2604</v>
      </c>
      <c r="D6774" s="8" t="s">
        <v>760</v>
      </c>
      <c r="E6774" s="52">
        <v>1024</v>
      </c>
      <c r="F6774" s="13"/>
      <c r="G6774" s="13">
        <v>1114.5999999999999</v>
      </c>
    </row>
    <row r="6775" spans="1:7" hidden="1" x14ac:dyDescent="0.75">
      <c r="A6775" s="51">
        <v>44945</v>
      </c>
      <c r="B6775" s="52">
        <v>408</v>
      </c>
      <c r="C6775" s="8" t="s">
        <v>2605</v>
      </c>
      <c r="D6775" s="8" t="s">
        <v>760</v>
      </c>
      <c r="E6775" s="52">
        <v>1024</v>
      </c>
      <c r="F6775" s="13"/>
      <c r="G6775" s="13">
        <v>338</v>
      </c>
    </row>
    <row r="6776" spans="1:7" hidden="1" x14ac:dyDescent="0.75">
      <c r="A6776" s="51">
        <v>44945</v>
      </c>
      <c r="B6776" s="52">
        <v>408</v>
      </c>
      <c r="C6776" s="8" t="s">
        <v>2215</v>
      </c>
      <c r="D6776" s="8" t="s">
        <v>760</v>
      </c>
      <c r="E6776" s="52">
        <v>1736</v>
      </c>
      <c r="F6776" s="13"/>
      <c r="G6776" s="13">
        <v>884.48</v>
      </c>
    </row>
    <row r="6777" spans="1:7" hidden="1" x14ac:dyDescent="0.75">
      <c r="A6777" s="51">
        <v>44945</v>
      </c>
      <c r="B6777" s="52">
        <v>408</v>
      </c>
      <c r="C6777" s="8" t="s">
        <v>2108</v>
      </c>
      <c r="D6777" s="8" t="s">
        <v>760</v>
      </c>
      <c r="E6777" s="52">
        <v>720</v>
      </c>
      <c r="F6777" s="13"/>
      <c r="G6777" s="13">
        <v>1866.16</v>
      </c>
    </row>
    <row r="6778" spans="1:7" hidden="1" x14ac:dyDescent="0.75">
      <c r="A6778" s="51">
        <v>44945</v>
      </c>
      <c r="B6778" s="52">
        <v>408</v>
      </c>
      <c r="C6778" s="8" t="s">
        <v>2991</v>
      </c>
      <c r="D6778" s="8" t="s">
        <v>760</v>
      </c>
      <c r="E6778" s="52">
        <v>1751</v>
      </c>
      <c r="F6778" s="13"/>
      <c r="G6778" s="13">
        <v>1538.5</v>
      </c>
    </row>
    <row r="6779" spans="1:7" hidden="1" x14ac:dyDescent="0.75">
      <c r="A6779" s="51">
        <v>44945</v>
      </c>
      <c r="B6779" s="52">
        <v>408</v>
      </c>
      <c r="C6779" s="8" t="s">
        <v>3018</v>
      </c>
      <c r="D6779" s="8" t="s">
        <v>760</v>
      </c>
      <c r="E6779" s="52">
        <v>1748</v>
      </c>
      <c r="F6779" s="13"/>
      <c r="G6779" s="13">
        <v>614.35</v>
      </c>
    </row>
    <row r="6780" spans="1:7" hidden="1" x14ac:dyDescent="0.75">
      <c r="A6780" s="51">
        <v>44945</v>
      </c>
      <c r="B6780" s="52">
        <v>408</v>
      </c>
      <c r="C6780" s="8" t="s">
        <v>3097</v>
      </c>
      <c r="D6780" s="8" t="s">
        <v>760</v>
      </c>
      <c r="E6780" s="52">
        <v>1747</v>
      </c>
      <c r="F6780" s="13"/>
      <c r="G6780" s="13">
        <v>1970.5</v>
      </c>
    </row>
    <row r="6781" spans="1:7" hidden="1" x14ac:dyDescent="0.75">
      <c r="A6781" s="51">
        <v>44945</v>
      </c>
      <c r="B6781" s="52">
        <v>408</v>
      </c>
      <c r="C6781" s="8" t="s">
        <v>3069</v>
      </c>
      <c r="D6781" s="8" t="s">
        <v>760</v>
      </c>
      <c r="E6781" s="52">
        <v>1696</v>
      </c>
      <c r="F6781" s="13"/>
      <c r="G6781" s="13">
        <v>581.20000000000005</v>
      </c>
    </row>
    <row r="6782" spans="1:7" hidden="1" x14ac:dyDescent="0.75">
      <c r="A6782" s="51">
        <v>44945</v>
      </c>
      <c r="B6782" s="52">
        <v>408</v>
      </c>
      <c r="C6782" s="8" t="s">
        <v>3042</v>
      </c>
      <c r="D6782" s="8" t="s">
        <v>760</v>
      </c>
      <c r="E6782" s="52">
        <v>1752</v>
      </c>
      <c r="F6782" s="13"/>
      <c r="G6782" s="13">
        <v>644.6</v>
      </c>
    </row>
    <row r="6783" spans="1:7" hidden="1" x14ac:dyDescent="0.75">
      <c r="A6783" s="51">
        <v>44945</v>
      </c>
      <c r="B6783" s="52">
        <v>408</v>
      </c>
      <c r="C6783" s="8" t="s">
        <v>3098</v>
      </c>
      <c r="D6783" s="8" t="s">
        <v>760</v>
      </c>
      <c r="E6783" s="52">
        <v>1747</v>
      </c>
      <c r="F6783" s="13"/>
      <c r="G6783" s="13">
        <v>993</v>
      </c>
    </row>
    <row r="6784" spans="1:7" hidden="1" x14ac:dyDescent="0.75">
      <c r="A6784" s="51">
        <v>44945</v>
      </c>
      <c r="B6784" s="52">
        <v>408</v>
      </c>
      <c r="C6784" s="8" t="s">
        <v>3043</v>
      </c>
      <c r="D6784" s="8" t="s">
        <v>760</v>
      </c>
      <c r="E6784" s="52">
        <v>1752</v>
      </c>
      <c r="F6784" s="13"/>
      <c r="G6784" s="13">
        <v>323.10000000000002</v>
      </c>
    </row>
    <row r="6785" spans="1:7" hidden="1" x14ac:dyDescent="0.75">
      <c r="A6785" s="51">
        <v>44945</v>
      </c>
      <c r="B6785" s="52">
        <v>408</v>
      </c>
      <c r="C6785" s="8" t="s">
        <v>2992</v>
      </c>
      <c r="D6785" s="8" t="s">
        <v>760</v>
      </c>
      <c r="E6785" s="52">
        <v>1751</v>
      </c>
      <c r="F6785" s="13"/>
      <c r="G6785" s="13">
        <v>1199.4000000000001</v>
      </c>
    </row>
    <row r="6786" spans="1:7" hidden="1" x14ac:dyDescent="0.75">
      <c r="A6786" s="51">
        <v>44945</v>
      </c>
      <c r="B6786" s="52">
        <v>408</v>
      </c>
      <c r="C6786" s="8" t="s">
        <v>3019</v>
      </c>
      <c r="D6786" s="8" t="s">
        <v>760</v>
      </c>
      <c r="E6786" s="52">
        <v>1748</v>
      </c>
      <c r="F6786" s="13"/>
      <c r="G6786" s="13">
        <v>1142.7</v>
      </c>
    </row>
    <row r="6787" spans="1:7" hidden="1" x14ac:dyDescent="0.75">
      <c r="A6787" s="51">
        <v>44945</v>
      </c>
      <c r="B6787" s="52">
        <v>408</v>
      </c>
      <c r="C6787" s="8" t="s">
        <v>3070</v>
      </c>
      <c r="D6787" s="8" t="s">
        <v>760</v>
      </c>
      <c r="E6787" s="52">
        <v>1696</v>
      </c>
      <c r="F6787" s="13"/>
      <c r="G6787" s="13">
        <v>496.5</v>
      </c>
    </row>
    <row r="6788" spans="1:7" hidden="1" x14ac:dyDescent="0.75">
      <c r="A6788" s="51">
        <v>44945</v>
      </c>
      <c r="B6788" s="52">
        <v>408</v>
      </c>
      <c r="C6788" s="8" t="s">
        <v>2867</v>
      </c>
      <c r="D6788" s="8" t="s">
        <v>760</v>
      </c>
      <c r="E6788" s="52">
        <v>1543</v>
      </c>
      <c r="F6788" s="13"/>
      <c r="G6788" s="13">
        <v>713.63</v>
      </c>
    </row>
    <row r="6789" spans="1:7" hidden="1" x14ac:dyDescent="0.75">
      <c r="A6789" s="51">
        <v>44945</v>
      </c>
      <c r="B6789" s="52">
        <v>408</v>
      </c>
      <c r="C6789" s="8" t="s">
        <v>3099</v>
      </c>
      <c r="D6789" s="8" t="s">
        <v>760</v>
      </c>
      <c r="E6789" s="52">
        <v>1747</v>
      </c>
      <c r="F6789" s="13"/>
      <c r="G6789" s="13">
        <v>87.6</v>
      </c>
    </row>
    <row r="6790" spans="1:7" hidden="1" x14ac:dyDescent="0.75">
      <c r="A6790" s="51">
        <v>44945</v>
      </c>
      <c r="B6790" s="52">
        <v>408</v>
      </c>
      <c r="C6790" s="8" t="s">
        <v>2993</v>
      </c>
      <c r="D6790" s="8" t="s">
        <v>760</v>
      </c>
      <c r="E6790" s="52">
        <v>1751</v>
      </c>
      <c r="F6790" s="13"/>
      <c r="G6790" s="13">
        <v>48.75</v>
      </c>
    </row>
    <row r="6791" spans="1:7" hidden="1" x14ac:dyDescent="0.75">
      <c r="A6791" s="51">
        <v>44945</v>
      </c>
      <c r="B6791" s="52">
        <v>408</v>
      </c>
      <c r="C6791" s="8" t="s">
        <v>2087</v>
      </c>
      <c r="D6791" s="8" t="s">
        <v>760</v>
      </c>
      <c r="E6791" s="52">
        <v>710</v>
      </c>
      <c r="F6791" s="13"/>
      <c r="G6791" s="13">
        <v>1123.52</v>
      </c>
    </row>
    <row r="6792" spans="1:7" hidden="1" x14ac:dyDescent="0.75">
      <c r="A6792" s="51">
        <v>44945</v>
      </c>
      <c r="B6792" s="52">
        <v>408</v>
      </c>
      <c r="C6792" s="8" t="s">
        <v>2165</v>
      </c>
      <c r="D6792" s="8" t="s">
        <v>760</v>
      </c>
      <c r="E6792" s="52">
        <v>716</v>
      </c>
      <c r="F6792" s="13"/>
      <c r="G6792" s="13">
        <v>359.26</v>
      </c>
    </row>
    <row r="6793" spans="1:7" hidden="1" x14ac:dyDescent="0.75">
      <c r="A6793" s="51">
        <v>44945</v>
      </c>
      <c r="B6793" s="52">
        <v>408</v>
      </c>
      <c r="C6793" s="8" t="s">
        <v>2374</v>
      </c>
      <c r="D6793" s="8" t="s">
        <v>760</v>
      </c>
      <c r="E6793" s="52">
        <v>1818</v>
      </c>
      <c r="F6793" s="13"/>
      <c r="G6793" s="13">
        <v>1272.75</v>
      </c>
    </row>
    <row r="6794" spans="1:7" hidden="1" x14ac:dyDescent="0.75">
      <c r="A6794" s="51">
        <v>44945</v>
      </c>
      <c r="B6794" s="52">
        <v>408</v>
      </c>
      <c r="C6794" s="8" t="s">
        <v>2322</v>
      </c>
      <c r="D6794" s="8" t="s">
        <v>760</v>
      </c>
      <c r="E6794" s="52">
        <v>717</v>
      </c>
      <c r="F6794" s="13"/>
      <c r="G6794" s="13">
        <v>1754.45</v>
      </c>
    </row>
    <row r="6795" spans="1:7" hidden="1" x14ac:dyDescent="0.75">
      <c r="A6795" s="51">
        <v>44945</v>
      </c>
      <c r="B6795" s="52">
        <v>408</v>
      </c>
      <c r="C6795" s="8" t="s">
        <v>2470</v>
      </c>
      <c r="D6795" s="8" t="s">
        <v>760</v>
      </c>
      <c r="E6795" s="52">
        <v>714</v>
      </c>
      <c r="F6795" s="13"/>
      <c r="G6795" s="13">
        <v>1360.25</v>
      </c>
    </row>
    <row r="6796" spans="1:7" hidden="1" x14ac:dyDescent="0.75">
      <c r="A6796" s="51">
        <v>44945</v>
      </c>
      <c r="B6796" s="52">
        <v>408</v>
      </c>
      <c r="C6796" s="8" t="s">
        <v>1981</v>
      </c>
      <c r="D6796" s="8" t="s">
        <v>760</v>
      </c>
      <c r="E6796" s="52">
        <v>1124</v>
      </c>
      <c r="F6796" s="13"/>
      <c r="G6796" s="13">
        <v>4786.88</v>
      </c>
    </row>
    <row r="6797" spans="1:7" hidden="1" x14ac:dyDescent="0.75">
      <c r="A6797" s="51">
        <v>44945</v>
      </c>
      <c r="B6797" s="52">
        <v>408</v>
      </c>
      <c r="C6797" s="8" t="s">
        <v>2019</v>
      </c>
      <c r="D6797" s="8" t="s">
        <v>760</v>
      </c>
      <c r="E6797" s="52">
        <v>713</v>
      </c>
      <c r="F6797" s="13"/>
      <c r="G6797" s="13">
        <v>791.85</v>
      </c>
    </row>
    <row r="6798" spans="1:7" hidden="1" x14ac:dyDescent="0.75">
      <c r="A6798" s="51">
        <v>44945</v>
      </c>
      <c r="B6798" s="52">
        <v>408</v>
      </c>
      <c r="C6798" s="8" t="s">
        <v>2052</v>
      </c>
      <c r="D6798" s="8" t="s">
        <v>760</v>
      </c>
      <c r="E6798" s="52">
        <v>711</v>
      </c>
      <c r="F6798" s="13"/>
      <c r="G6798" s="13">
        <v>1928.08</v>
      </c>
    </row>
    <row r="6799" spans="1:7" hidden="1" x14ac:dyDescent="0.75">
      <c r="A6799" s="51">
        <v>44945</v>
      </c>
      <c r="B6799" s="52">
        <v>408</v>
      </c>
      <c r="C6799" s="8" t="s">
        <v>2137</v>
      </c>
      <c r="D6799" s="8" t="s">
        <v>760</v>
      </c>
      <c r="E6799" s="52">
        <v>712</v>
      </c>
      <c r="F6799" s="13"/>
      <c r="G6799" s="13">
        <v>1470.68</v>
      </c>
    </row>
    <row r="6800" spans="1:7" hidden="1" x14ac:dyDescent="0.75">
      <c r="A6800" s="51">
        <v>44946</v>
      </c>
      <c r="B6800" s="52">
        <v>408</v>
      </c>
      <c r="C6800" s="8" t="s">
        <v>2606</v>
      </c>
      <c r="D6800" s="8" t="s">
        <v>760</v>
      </c>
      <c r="E6800" s="52">
        <v>1024</v>
      </c>
      <c r="F6800" s="13"/>
      <c r="G6800" s="13">
        <v>4650</v>
      </c>
    </row>
    <row r="6801" spans="1:7" hidden="1" x14ac:dyDescent="0.75">
      <c r="A6801" s="51">
        <v>44946</v>
      </c>
      <c r="B6801" s="52">
        <v>408</v>
      </c>
      <c r="C6801" s="8" t="s">
        <v>2607</v>
      </c>
      <c r="D6801" s="8" t="s">
        <v>760</v>
      </c>
      <c r="E6801" s="52">
        <v>1024</v>
      </c>
      <c r="F6801" s="13"/>
      <c r="G6801" s="13">
        <v>3816</v>
      </c>
    </row>
    <row r="6802" spans="1:7" hidden="1" x14ac:dyDescent="0.75">
      <c r="A6802" s="51">
        <v>44946</v>
      </c>
      <c r="B6802" s="52">
        <v>408</v>
      </c>
      <c r="C6802" s="8" t="s">
        <v>2608</v>
      </c>
      <c r="D6802" s="8" t="s">
        <v>760</v>
      </c>
      <c r="E6802" s="52">
        <v>1024</v>
      </c>
      <c r="F6802" s="13"/>
      <c r="G6802" s="13">
        <v>3520</v>
      </c>
    </row>
    <row r="6803" spans="1:7" hidden="1" x14ac:dyDescent="0.75">
      <c r="A6803" s="51">
        <v>44946</v>
      </c>
      <c r="B6803" s="52">
        <v>408</v>
      </c>
      <c r="C6803" s="8" t="s">
        <v>2609</v>
      </c>
      <c r="D6803" s="8" t="s">
        <v>760</v>
      </c>
      <c r="E6803" s="52">
        <v>1024</v>
      </c>
      <c r="F6803" s="13"/>
      <c r="G6803" s="13">
        <v>546.5</v>
      </c>
    </row>
    <row r="6804" spans="1:7" hidden="1" x14ac:dyDescent="0.75">
      <c r="A6804" s="51">
        <v>44946</v>
      </c>
      <c r="B6804" s="52">
        <v>408</v>
      </c>
      <c r="C6804" s="8" t="s">
        <v>2610</v>
      </c>
      <c r="D6804" s="8" t="s">
        <v>760</v>
      </c>
      <c r="E6804" s="52">
        <v>1024</v>
      </c>
      <c r="F6804" s="13"/>
      <c r="G6804" s="13">
        <v>549</v>
      </c>
    </row>
    <row r="6805" spans="1:7" hidden="1" x14ac:dyDescent="0.75">
      <c r="A6805" s="51">
        <v>44946</v>
      </c>
      <c r="B6805" s="52">
        <v>408</v>
      </c>
      <c r="C6805" s="8" t="s">
        <v>2611</v>
      </c>
      <c r="D6805" s="8" t="s">
        <v>760</v>
      </c>
      <c r="E6805" s="52">
        <v>1024</v>
      </c>
      <c r="F6805" s="13"/>
      <c r="G6805" s="13">
        <v>255</v>
      </c>
    </row>
    <row r="6806" spans="1:7" hidden="1" x14ac:dyDescent="0.75">
      <c r="A6806" s="51">
        <v>44946</v>
      </c>
      <c r="B6806" s="52">
        <v>408</v>
      </c>
      <c r="C6806" s="8" t="s">
        <v>2612</v>
      </c>
      <c r="D6806" s="8" t="s">
        <v>760</v>
      </c>
      <c r="E6806" s="52">
        <v>1024</v>
      </c>
      <c r="F6806" s="13"/>
      <c r="G6806" s="13">
        <v>136</v>
      </c>
    </row>
    <row r="6807" spans="1:7" hidden="1" x14ac:dyDescent="0.75">
      <c r="A6807" s="51">
        <v>44946</v>
      </c>
      <c r="B6807" s="52">
        <v>408</v>
      </c>
      <c r="C6807" s="8" t="s">
        <v>2921</v>
      </c>
      <c r="D6807" s="8" t="s">
        <v>760</v>
      </c>
      <c r="E6807" s="52">
        <v>1508</v>
      </c>
      <c r="F6807" s="13"/>
      <c r="G6807" s="13">
        <v>2015.7</v>
      </c>
    </row>
    <row r="6808" spans="1:7" hidden="1" x14ac:dyDescent="0.75">
      <c r="A6808" s="51">
        <v>44946</v>
      </c>
      <c r="B6808" s="52">
        <v>408</v>
      </c>
      <c r="C6808" s="8" t="s">
        <v>2922</v>
      </c>
      <c r="D6808" s="8" t="s">
        <v>760</v>
      </c>
      <c r="E6808" s="52">
        <v>1508</v>
      </c>
      <c r="F6808" s="13"/>
      <c r="G6808" s="13">
        <v>5305.7</v>
      </c>
    </row>
    <row r="6809" spans="1:7" hidden="1" x14ac:dyDescent="0.75">
      <c r="A6809" s="51">
        <v>44946</v>
      </c>
      <c r="B6809" s="52">
        <v>408</v>
      </c>
      <c r="C6809" s="8" t="s">
        <v>2613</v>
      </c>
      <c r="D6809" s="8" t="s">
        <v>760</v>
      </c>
      <c r="E6809" s="52">
        <v>1024</v>
      </c>
      <c r="F6809" s="13"/>
      <c r="G6809" s="13">
        <v>762.6</v>
      </c>
    </row>
    <row r="6810" spans="1:7" hidden="1" x14ac:dyDescent="0.75">
      <c r="A6810" s="51">
        <v>44946</v>
      </c>
      <c r="B6810" s="52">
        <v>408</v>
      </c>
      <c r="C6810" s="8" t="s">
        <v>2614</v>
      </c>
      <c r="D6810" s="8" t="s">
        <v>760</v>
      </c>
      <c r="E6810" s="52">
        <v>1024</v>
      </c>
      <c r="F6810" s="13"/>
      <c r="G6810" s="13">
        <v>427.5</v>
      </c>
    </row>
    <row r="6811" spans="1:7" hidden="1" x14ac:dyDescent="0.75">
      <c r="A6811" s="51">
        <v>44946</v>
      </c>
      <c r="B6811" s="52">
        <v>408</v>
      </c>
      <c r="C6811" s="8" t="s">
        <v>2244</v>
      </c>
      <c r="D6811" s="8" t="s">
        <v>760</v>
      </c>
      <c r="E6811" s="52">
        <v>804</v>
      </c>
      <c r="F6811" s="13"/>
      <c r="G6811" s="13">
        <v>780.75</v>
      </c>
    </row>
    <row r="6812" spans="1:7" hidden="1" x14ac:dyDescent="0.75">
      <c r="A6812" s="51">
        <v>44946</v>
      </c>
      <c r="B6812" s="52">
        <v>408</v>
      </c>
      <c r="C6812" s="8" t="s">
        <v>2245</v>
      </c>
      <c r="D6812" s="8" t="s">
        <v>760</v>
      </c>
      <c r="E6812" s="52">
        <v>804</v>
      </c>
      <c r="F6812" s="13"/>
      <c r="G6812" s="13">
        <v>396</v>
      </c>
    </row>
    <row r="6813" spans="1:7" hidden="1" x14ac:dyDescent="0.75">
      <c r="A6813" s="51">
        <v>44946</v>
      </c>
      <c r="B6813" s="52">
        <v>408</v>
      </c>
      <c r="C6813" s="8" t="s">
        <v>2278</v>
      </c>
      <c r="D6813" s="8" t="s">
        <v>760</v>
      </c>
      <c r="E6813" s="52">
        <v>806</v>
      </c>
      <c r="F6813" s="13"/>
      <c r="G6813" s="13">
        <v>594</v>
      </c>
    </row>
    <row r="6814" spans="1:7" hidden="1" x14ac:dyDescent="0.75">
      <c r="A6814" s="51">
        <v>44946</v>
      </c>
      <c r="B6814" s="52">
        <v>408</v>
      </c>
      <c r="C6814" s="8" t="s">
        <v>2279</v>
      </c>
      <c r="D6814" s="8" t="s">
        <v>760</v>
      </c>
      <c r="E6814" s="52">
        <v>806</v>
      </c>
      <c r="F6814" s="13"/>
      <c r="G6814" s="13">
        <v>3282.5</v>
      </c>
    </row>
    <row r="6815" spans="1:7" hidden="1" x14ac:dyDescent="0.75">
      <c r="A6815" s="51">
        <v>44946</v>
      </c>
      <c r="B6815" s="52">
        <v>408</v>
      </c>
      <c r="C6815" s="8" t="s">
        <v>2838</v>
      </c>
      <c r="D6815" s="8" t="s">
        <v>760</v>
      </c>
      <c r="E6815" s="52">
        <v>707</v>
      </c>
      <c r="F6815" s="13"/>
      <c r="G6815" s="13">
        <v>1968.25</v>
      </c>
    </row>
    <row r="6816" spans="1:7" hidden="1" x14ac:dyDescent="0.75">
      <c r="A6816" s="51">
        <v>44946</v>
      </c>
      <c r="B6816" s="52">
        <v>408</v>
      </c>
      <c r="C6816" s="8" t="s">
        <v>2839</v>
      </c>
      <c r="D6816" s="8" t="s">
        <v>760</v>
      </c>
      <c r="E6816" s="52">
        <v>707</v>
      </c>
      <c r="F6816" s="13"/>
      <c r="G6816" s="13">
        <v>3270</v>
      </c>
    </row>
    <row r="6817" spans="1:7" hidden="1" x14ac:dyDescent="0.75">
      <c r="A6817" s="51">
        <v>44946</v>
      </c>
      <c r="B6817" s="52">
        <v>408</v>
      </c>
      <c r="C6817" s="8" t="s">
        <v>2471</v>
      </c>
      <c r="D6817" s="8" t="s">
        <v>760</v>
      </c>
      <c r="E6817" s="52">
        <v>714</v>
      </c>
      <c r="F6817" s="13"/>
      <c r="G6817" s="13">
        <v>1108.2</v>
      </c>
    </row>
    <row r="6818" spans="1:7" hidden="1" x14ac:dyDescent="0.75">
      <c r="A6818" s="51">
        <v>44946</v>
      </c>
      <c r="B6818" s="52">
        <v>408</v>
      </c>
      <c r="C6818" s="8" t="s">
        <v>2138</v>
      </c>
      <c r="D6818" s="8" t="s">
        <v>760</v>
      </c>
      <c r="E6818" s="52">
        <v>712</v>
      </c>
      <c r="F6818" s="13"/>
      <c r="G6818" s="13">
        <v>1802.12</v>
      </c>
    </row>
    <row r="6819" spans="1:7" hidden="1" x14ac:dyDescent="0.75">
      <c r="A6819" s="51">
        <v>44946</v>
      </c>
      <c r="B6819" s="52">
        <v>408</v>
      </c>
      <c r="C6819" s="8" t="s">
        <v>1982</v>
      </c>
      <c r="D6819" s="8" t="s">
        <v>760</v>
      </c>
      <c r="E6819" s="52">
        <v>1124</v>
      </c>
      <c r="F6819" s="13"/>
      <c r="G6819" s="13">
        <v>389.91</v>
      </c>
    </row>
    <row r="6820" spans="1:7" hidden="1" x14ac:dyDescent="0.75">
      <c r="A6820" s="51">
        <v>44946</v>
      </c>
      <c r="B6820" s="52">
        <v>408</v>
      </c>
      <c r="C6820" s="8" t="s">
        <v>2053</v>
      </c>
      <c r="D6820" s="8" t="s">
        <v>760</v>
      </c>
      <c r="E6820" s="52">
        <v>711</v>
      </c>
      <c r="F6820" s="13"/>
      <c r="G6820" s="13">
        <v>2001.25</v>
      </c>
    </row>
    <row r="6821" spans="1:7" hidden="1" x14ac:dyDescent="0.75">
      <c r="A6821" s="51">
        <v>44946</v>
      </c>
      <c r="B6821" s="52">
        <v>408</v>
      </c>
      <c r="C6821" s="8" t="s">
        <v>2405</v>
      </c>
      <c r="D6821" s="8" t="s">
        <v>760</v>
      </c>
      <c r="E6821" s="52">
        <v>719</v>
      </c>
      <c r="F6821" s="13"/>
      <c r="G6821" s="13">
        <v>423.3</v>
      </c>
    </row>
    <row r="6822" spans="1:7" hidden="1" x14ac:dyDescent="0.75">
      <c r="A6822" s="51">
        <v>44946</v>
      </c>
      <c r="B6822" s="52">
        <v>408</v>
      </c>
      <c r="C6822" s="8" t="s">
        <v>2020</v>
      </c>
      <c r="D6822" s="8" t="s">
        <v>760</v>
      </c>
      <c r="E6822" s="52">
        <v>713</v>
      </c>
      <c r="F6822" s="13"/>
      <c r="G6822" s="13">
        <v>624.24</v>
      </c>
    </row>
    <row r="6823" spans="1:7" hidden="1" x14ac:dyDescent="0.75">
      <c r="A6823" s="51">
        <v>44946</v>
      </c>
      <c r="B6823" s="52">
        <v>408</v>
      </c>
      <c r="C6823" s="8" t="s">
        <v>2323</v>
      </c>
      <c r="D6823" s="8" t="s">
        <v>760</v>
      </c>
      <c r="E6823" s="52">
        <v>717</v>
      </c>
      <c r="F6823" s="13"/>
      <c r="G6823" s="13">
        <v>1133.5</v>
      </c>
    </row>
    <row r="6824" spans="1:7" hidden="1" x14ac:dyDescent="0.75">
      <c r="A6824" s="51">
        <v>44946</v>
      </c>
      <c r="B6824" s="52">
        <v>408</v>
      </c>
      <c r="C6824" s="8" t="s">
        <v>2375</v>
      </c>
      <c r="D6824" s="8" t="s">
        <v>760</v>
      </c>
      <c r="E6824" s="52">
        <v>1818</v>
      </c>
      <c r="F6824" s="13"/>
      <c r="G6824" s="13">
        <v>1967.1</v>
      </c>
    </row>
    <row r="6825" spans="1:7" hidden="1" x14ac:dyDescent="0.75">
      <c r="A6825" s="51">
        <v>44946</v>
      </c>
      <c r="B6825" s="52">
        <v>408</v>
      </c>
      <c r="C6825" s="8" t="s">
        <v>2430</v>
      </c>
      <c r="D6825" s="8" t="s">
        <v>760</v>
      </c>
      <c r="E6825" s="52">
        <v>1821</v>
      </c>
      <c r="F6825" s="13"/>
      <c r="G6825" s="13">
        <v>460.3</v>
      </c>
    </row>
    <row r="6826" spans="1:7" hidden="1" x14ac:dyDescent="0.75">
      <c r="A6826" s="51">
        <v>44946</v>
      </c>
      <c r="B6826" s="52">
        <v>408</v>
      </c>
      <c r="C6826" s="8" t="s">
        <v>2166</v>
      </c>
      <c r="D6826" s="8" t="s">
        <v>760</v>
      </c>
      <c r="E6826" s="52">
        <v>716</v>
      </c>
      <c r="F6826" s="13"/>
      <c r="G6826" s="13">
        <v>788.35</v>
      </c>
    </row>
    <row r="6827" spans="1:7" hidden="1" x14ac:dyDescent="0.75">
      <c r="A6827" s="51">
        <v>44946</v>
      </c>
      <c r="B6827" s="52">
        <v>408</v>
      </c>
      <c r="C6827" s="8" t="s">
        <v>2088</v>
      </c>
      <c r="D6827" s="8" t="s">
        <v>760</v>
      </c>
      <c r="E6827" s="52">
        <v>710</v>
      </c>
      <c r="F6827" s="13"/>
      <c r="G6827" s="13">
        <v>1600.52</v>
      </c>
    </row>
    <row r="6828" spans="1:7" hidden="1" x14ac:dyDescent="0.75">
      <c r="A6828" s="51">
        <v>44947</v>
      </c>
      <c r="B6828" s="52">
        <v>408</v>
      </c>
      <c r="C6828" s="8" t="s">
        <v>2216</v>
      </c>
      <c r="D6828" s="8" t="s">
        <v>760</v>
      </c>
      <c r="E6828" s="52">
        <v>1736</v>
      </c>
      <c r="F6828" s="13"/>
      <c r="G6828" s="13">
        <v>752.65</v>
      </c>
    </row>
    <row r="6829" spans="1:7" hidden="1" x14ac:dyDescent="0.75">
      <c r="A6829" s="51">
        <v>44947</v>
      </c>
      <c r="B6829" s="52">
        <v>408</v>
      </c>
      <c r="C6829" s="8" t="s">
        <v>2217</v>
      </c>
      <c r="D6829" s="8" t="s">
        <v>760</v>
      </c>
      <c r="E6829" s="52">
        <v>1736</v>
      </c>
      <c r="F6829" s="13"/>
      <c r="G6829" s="13">
        <v>1354.87</v>
      </c>
    </row>
    <row r="6830" spans="1:7" hidden="1" x14ac:dyDescent="0.75">
      <c r="A6830" s="51">
        <v>44947</v>
      </c>
      <c r="B6830" s="52">
        <v>408</v>
      </c>
      <c r="C6830" s="8" t="s">
        <v>2218</v>
      </c>
      <c r="D6830" s="8" t="s">
        <v>760</v>
      </c>
      <c r="E6830" s="52">
        <v>1736</v>
      </c>
      <c r="F6830" s="13"/>
      <c r="G6830" s="13">
        <v>831.69</v>
      </c>
    </row>
    <row r="6831" spans="1:7" hidden="1" x14ac:dyDescent="0.75">
      <c r="A6831" s="51">
        <v>44947</v>
      </c>
      <c r="B6831" s="52">
        <v>408</v>
      </c>
      <c r="C6831" s="8" t="s">
        <v>2691</v>
      </c>
      <c r="D6831" s="8" t="s">
        <v>760</v>
      </c>
      <c r="E6831" s="52">
        <v>883</v>
      </c>
      <c r="F6831" s="13"/>
      <c r="G6831" s="13">
        <v>4412.8</v>
      </c>
    </row>
    <row r="6832" spans="1:7" hidden="1" x14ac:dyDescent="0.75">
      <c r="A6832" s="51">
        <v>44947</v>
      </c>
      <c r="B6832" s="52">
        <v>408</v>
      </c>
      <c r="C6832" s="8" t="s">
        <v>2692</v>
      </c>
      <c r="D6832" s="8" t="s">
        <v>760</v>
      </c>
      <c r="E6832" s="52">
        <v>883</v>
      </c>
      <c r="F6832" s="13"/>
      <c r="G6832" s="13">
        <v>1006</v>
      </c>
    </row>
    <row r="6833" spans="1:7" hidden="1" x14ac:dyDescent="0.75">
      <c r="A6833" s="51">
        <v>44947</v>
      </c>
      <c r="B6833" s="52">
        <v>408</v>
      </c>
      <c r="C6833" s="8" t="s">
        <v>2714</v>
      </c>
      <c r="D6833" s="8" t="s">
        <v>760</v>
      </c>
      <c r="E6833" s="52">
        <v>885</v>
      </c>
      <c r="F6833" s="13"/>
      <c r="G6833" s="13">
        <v>1007.5</v>
      </c>
    </row>
    <row r="6834" spans="1:7" hidden="1" x14ac:dyDescent="0.75">
      <c r="A6834" s="51">
        <v>44947</v>
      </c>
      <c r="B6834" s="52">
        <v>408</v>
      </c>
      <c r="C6834" s="8" t="s">
        <v>2732</v>
      </c>
      <c r="D6834" s="8" t="s">
        <v>760</v>
      </c>
      <c r="E6834" s="52">
        <v>882</v>
      </c>
      <c r="F6834" s="13"/>
      <c r="G6834" s="13">
        <v>334.7</v>
      </c>
    </row>
    <row r="6835" spans="1:7" hidden="1" x14ac:dyDescent="0.75">
      <c r="A6835" s="51">
        <v>44947</v>
      </c>
      <c r="B6835" s="52">
        <v>408</v>
      </c>
      <c r="C6835" s="8" t="s">
        <v>2762</v>
      </c>
      <c r="D6835" s="8" t="s">
        <v>760</v>
      </c>
      <c r="E6835" s="52">
        <v>884</v>
      </c>
      <c r="F6835" s="13"/>
      <c r="G6835" s="13">
        <v>3983.2</v>
      </c>
    </row>
    <row r="6836" spans="1:7" hidden="1" x14ac:dyDescent="0.75">
      <c r="A6836" s="51">
        <v>44947</v>
      </c>
      <c r="B6836" s="52">
        <v>408</v>
      </c>
      <c r="C6836" s="8" t="s">
        <v>2763</v>
      </c>
      <c r="D6836" s="8" t="s">
        <v>760</v>
      </c>
      <c r="E6836" s="52">
        <v>884</v>
      </c>
      <c r="F6836" s="13"/>
      <c r="G6836" s="13">
        <v>1532.5</v>
      </c>
    </row>
    <row r="6837" spans="1:7" hidden="1" x14ac:dyDescent="0.75">
      <c r="A6837" s="51">
        <v>44947</v>
      </c>
      <c r="B6837" s="52">
        <v>408</v>
      </c>
      <c r="C6837" s="8" t="s">
        <v>2808</v>
      </c>
      <c r="D6837" s="8" t="s">
        <v>760</v>
      </c>
      <c r="E6837" s="52">
        <v>1025</v>
      </c>
      <c r="F6837" s="13"/>
      <c r="G6837" s="13">
        <v>1858.9</v>
      </c>
    </row>
    <row r="6838" spans="1:7" hidden="1" x14ac:dyDescent="0.75">
      <c r="A6838" s="51">
        <v>44947</v>
      </c>
      <c r="B6838" s="52">
        <v>408</v>
      </c>
      <c r="C6838" s="8" t="s">
        <v>2779</v>
      </c>
      <c r="D6838" s="8" t="s">
        <v>760</v>
      </c>
      <c r="E6838" s="52">
        <v>881</v>
      </c>
      <c r="F6838" s="13"/>
      <c r="G6838" s="13">
        <v>757</v>
      </c>
    </row>
    <row r="6839" spans="1:7" hidden="1" x14ac:dyDescent="0.75">
      <c r="A6839" s="51">
        <v>44947</v>
      </c>
      <c r="B6839" s="52">
        <v>408</v>
      </c>
      <c r="C6839" s="8" t="s">
        <v>2972</v>
      </c>
      <c r="D6839" s="8" t="s">
        <v>760</v>
      </c>
      <c r="E6839" s="52">
        <v>1765</v>
      </c>
      <c r="F6839" s="13"/>
      <c r="G6839" s="13">
        <v>2601.35</v>
      </c>
    </row>
    <row r="6840" spans="1:7" hidden="1" x14ac:dyDescent="0.75">
      <c r="A6840" s="51">
        <v>44947</v>
      </c>
      <c r="B6840" s="52">
        <v>408</v>
      </c>
      <c r="C6840" s="8" t="s">
        <v>3118</v>
      </c>
      <c r="D6840" s="8" t="s">
        <v>760</v>
      </c>
      <c r="E6840" s="52">
        <v>1789</v>
      </c>
      <c r="F6840" s="13"/>
      <c r="G6840" s="13">
        <v>384.5</v>
      </c>
    </row>
    <row r="6841" spans="1:7" hidden="1" x14ac:dyDescent="0.75">
      <c r="A6841" s="51">
        <v>44947</v>
      </c>
      <c r="B6841" s="52">
        <v>408</v>
      </c>
      <c r="C6841" s="8" t="s">
        <v>2860</v>
      </c>
      <c r="D6841" s="8" t="s">
        <v>760</v>
      </c>
      <c r="E6841" s="52">
        <v>1788</v>
      </c>
      <c r="F6841" s="13"/>
      <c r="G6841" s="13">
        <v>384.5</v>
      </c>
    </row>
    <row r="6842" spans="1:7" hidden="1" x14ac:dyDescent="0.75">
      <c r="A6842" s="51">
        <v>44947</v>
      </c>
      <c r="B6842" s="52">
        <v>408</v>
      </c>
      <c r="C6842" s="8" t="s">
        <v>2925</v>
      </c>
      <c r="D6842" s="8" t="s">
        <v>760</v>
      </c>
      <c r="E6842" s="52">
        <v>1508</v>
      </c>
      <c r="F6842" s="13"/>
      <c r="G6842" s="13">
        <v>1518.8</v>
      </c>
    </row>
    <row r="6843" spans="1:7" hidden="1" x14ac:dyDescent="0.75">
      <c r="A6843" s="51">
        <v>44947</v>
      </c>
      <c r="B6843" s="52">
        <v>408</v>
      </c>
      <c r="C6843" s="8" t="s">
        <v>2926</v>
      </c>
      <c r="D6843" s="8" t="s">
        <v>760</v>
      </c>
      <c r="E6843" s="52">
        <v>1508</v>
      </c>
      <c r="F6843" s="13"/>
      <c r="G6843" s="13">
        <v>3840.9</v>
      </c>
    </row>
    <row r="6844" spans="1:7" hidden="1" x14ac:dyDescent="0.75">
      <c r="A6844" s="51">
        <v>44947</v>
      </c>
      <c r="B6844" s="52">
        <v>408</v>
      </c>
      <c r="C6844" s="8" t="s">
        <v>2616</v>
      </c>
      <c r="D6844" s="8" t="s">
        <v>760</v>
      </c>
      <c r="E6844" s="52">
        <v>1024</v>
      </c>
      <c r="F6844" s="13"/>
      <c r="G6844" s="13">
        <v>2964</v>
      </c>
    </row>
    <row r="6845" spans="1:7" hidden="1" x14ac:dyDescent="0.75">
      <c r="A6845" s="51">
        <v>44947</v>
      </c>
      <c r="B6845" s="52">
        <v>408</v>
      </c>
      <c r="C6845" s="8" t="s">
        <v>2617</v>
      </c>
      <c r="D6845" s="8" t="s">
        <v>760</v>
      </c>
      <c r="E6845" s="52">
        <v>1024</v>
      </c>
      <c r="F6845" s="13"/>
      <c r="G6845" s="13">
        <v>2350</v>
      </c>
    </row>
    <row r="6846" spans="1:7" hidden="1" x14ac:dyDescent="0.75">
      <c r="A6846" s="51">
        <v>44947</v>
      </c>
      <c r="B6846" s="52">
        <v>408</v>
      </c>
      <c r="C6846" s="8" t="s">
        <v>2618</v>
      </c>
      <c r="D6846" s="8" t="s">
        <v>760</v>
      </c>
      <c r="E6846" s="52">
        <v>1024</v>
      </c>
      <c r="F6846" s="13"/>
      <c r="G6846" s="13">
        <v>89.5</v>
      </c>
    </row>
    <row r="6847" spans="1:7" hidden="1" x14ac:dyDescent="0.75">
      <c r="A6847" s="51">
        <v>44947</v>
      </c>
      <c r="B6847" s="52">
        <v>408</v>
      </c>
      <c r="C6847" s="8" t="s">
        <v>2619</v>
      </c>
      <c r="D6847" s="8" t="s">
        <v>760</v>
      </c>
      <c r="E6847" s="52">
        <v>1024</v>
      </c>
      <c r="F6847" s="13"/>
      <c r="G6847" s="13">
        <v>88</v>
      </c>
    </row>
    <row r="6848" spans="1:7" hidden="1" x14ac:dyDescent="0.75">
      <c r="A6848" s="51">
        <v>44947</v>
      </c>
      <c r="B6848" s="52">
        <v>408</v>
      </c>
      <c r="C6848" s="8" t="s">
        <v>2840</v>
      </c>
      <c r="D6848" s="8" t="s">
        <v>760</v>
      </c>
      <c r="E6848" s="52">
        <v>707</v>
      </c>
      <c r="F6848" s="13"/>
      <c r="G6848" s="13">
        <v>1800.6</v>
      </c>
    </row>
    <row r="6849" spans="1:7" hidden="1" x14ac:dyDescent="0.75">
      <c r="A6849" s="51">
        <v>44947</v>
      </c>
      <c r="B6849" s="52">
        <v>408</v>
      </c>
      <c r="C6849" s="8" t="s">
        <v>2219</v>
      </c>
      <c r="D6849" s="8" t="s">
        <v>760</v>
      </c>
      <c r="E6849" s="52">
        <v>1736</v>
      </c>
      <c r="F6849" s="13"/>
      <c r="G6849" s="13">
        <v>598.62</v>
      </c>
    </row>
    <row r="6850" spans="1:7" hidden="1" x14ac:dyDescent="0.75">
      <c r="A6850" s="51">
        <v>44947</v>
      </c>
      <c r="B6850" s="52">
        <v>408</v>
      </c>
      <c r="C6850" s="8" t="s">
        <v>1998</v>
      </c>
      <c r="D6850" s="8" t="s">
        <v>760</v>
      </c>
      <c r="E6850" s="52">
        <v>724</v>
      </c>
      <c r="F6850" s="13"/>
      <c r="G6850" s="13">
        <v>741.46</v>
      </c>
    </row>
    <row r="6851" spans="1:7" hidden="1" x14ac:dyDescent="0.75">
      <c r="A6851" s="51">
        <v>44947</v>
      </c>
      <c r="B6851" s="52">
        <v>408</v>
      </c>
      <c r="C6851" s="8" t="s">
        <v>3020</v>
      </c>
      <c r="D6851" s="8" t="s">
        <v>760</v>
      </c>
      <c r="E6851" s="52">
        <v>1748</v>
      </c>
      <c r="F6851" s="13"/>
      <c r="G6851" s="13">
        <v>709.55</v>
      </c>
    </row>
    <row r="6852" spans="1:7" hidden="1" x14ac:dyDescent="0.75">
      <c r="A6852" s="51">
        <v>44947</v>
      </c>
      <c r="B6852" s="52">
        <v>408</v>
      </c>
      <c r="C6852" s="8" t="s">
        <v>3071</v>
      </c>
      <c r="D6852" s="8" t="s">
        <v>760</v>
      </c>
      <c r="E6852" s="52">
        <v>1696</v>
      </c>
      <c r="F6852" s="13"/>
      <c r="G6852" s="13">
        <v>562.85</v>
      </c>
    </row>
    <row r="6853" spans="1:7" hidden="1" x14ac:dyDescent="0.75">
      <c r="A6853" s="51">
        <v>44947</v>
      </c>
      <c r="B6853" s="52">
        <v>408</v>
      </c>
      <c r="C6853" s="8" t="s">
        <v>2994</v>
      </c>
      <c r="D6853" s="8" t="s">
        <v>760</v>
      </c>
      <c r="E6853" s="52">
        <v>1751</v>
      </c>
      <c r="F6853" s="13"/>
      <c r="G6853" s="13">
        <v>1099.5</v>
      </c>
    </row>
    <row r="6854" spans="1:7" hidden="1" x14ac:dyDescent="0.75">
      <c r="A6854" s="51">
        <v>44947</v>
      </c>
      <c r="B6854" s="52">
        <v>408</v>
      </c>
      <c r="C6854" s="8" t="s">
        <v>3044</v>
      </c>
      <c r="D6854" s="8" t="s">
        <v>760</v>
      </c>
      <c r="E6854" s="52">
        <v>1752</v>
      </c>
      <c r="F6854" s="13"/>
      <c r="G6854" s="13">
        <v>605.65</v>
      </c>
    </row>
    <row r="6855" spans="1:7" hidden="1" x14ac:dyDescent="0.75">
      <c r="A6855" s="51">
        <v>44947</v>
      </c>
      <c r="B6855" s="52">
        <v>408</v>
      </c>
      <c r="C6855" s="8" t="s">
        <v>3100</v>
      </c>
      <c r="D6855" s="8" t="s">
        <v>760</v>
      </c>
      <c r="E6855" s="52">
        <v>1747</v>
      </c>
      <c r="F6855" s="13"/>
      <c r="G6855" s="13">
        <v>1473.45</v>
      </c>
    </row>
    <row r="6856" spans="1:7" hidden="1" x14ac:dyDescent="0.75">
      <c r="A6856" s="51">
        <v>44947</v>
      </c>
      <c r="B6856" s="52">
        <v>408</v>
      </c>
      <c r="C6856" s="8" t="s">
        <v>2434</v>
      </c>
      <c r="D6856" s="8" t="s">
        <v>760</v>
      </c>
      <c r="E6856" s="52">
        <v>1821</v>
      </c>
      <c r="F6856" s="13"/>
      <c r="G6856" s="13">
        <v>264.7</v>
      </c>
    </row>
    <row r="6857" spans="1:7" hidden="1" x14ac:dyDescent="0.75">
      <c r="A6857" s="51">
        <v>44947</v>
      </c>
      <c r="B6857" s="52">
        <v>408</v>
      </c>
      <c r="C6857" s="8" t="s">
        <v>2326</v>
      </c>
      <c r="D6857" s="8" t="s">
        <v>760</v>
      </c>
      <c r="E6857" s="52">
        <v>717</v>
      </c>
      <c r="F6857" s="13"/>
      <c r="G6857" s="13">
        <v>1576.5</v>
      </c>
    </row>
    <row r="6858" spans="1:7" hidden="1" x14ac:dyDescent="0.75">
      <c r="A6858" s="51">
        <v>44947</v>
      </c>
      <c r="B6858" s="52">
        <v>408</v>
      </c>
      <c r="C6858" s="8" t="s">
        <v>2379</v>
      </c>
      <c r="D6858" s="8" t="s">
        <v>760</v>
      </c>
      <c r="E6858" s="52">
        <v>1818</v>
      </c>
      <c r="F6858" s="13"/>
      <c r="G6858" s="13">
        <v>1665.5</v>
      </c>
    </row>
    <row r="6859" spans="1:7" hidden="1" x14ac:dyDescent="0.75">
      <c r="A6859" s="51">
        <v>44947</v>
      </c>
      <c r="B6859" s="52">
        <v>408</v>
      </c>
      <c r="C6859" s="8" t="s">
        <v>2167</v>
      </c>
      <c r="D6859" s="8" t="s">
        <v>760</v>
      </c>
      <c r="E6859" s="52">
        <v>716</v>
      </c>
      <c r="F6859" s="13"/>
      <c r="G6859" s="13">
        <v>1533.14</v>
      </c>
    </row>
    <row r="6860" spans="1:7" hidden="1" x14ac:dyDescent="0.75">
      <c r="A6860" s="51">
        <v>44947</v>
      </c>
      <c r="B6860" s="52">
        <v>408</v>
      </c>
      <c r="C6860" s="8" t="s">
        <v>2089</v>
      </c>
      <c r="D6860" s="8" t="s">
        <v>760</v>
      </c>
      <c r="E6860" s="52">
        <v>710</v>
      </c>
      <c r="F6860" s="13"/>
      <c r="G6860" s="13">
        <v>1456.16</v>
      </c>
    </row>
    <row r="6861" spans="1:7" hidden="1" x14ac:dyDescent="0.75">
      <c r="A6861" s="51">
        <v>44947</v>
      </c>
      <c r="B6861" s="52">
        <v>408</v>
      </c>
      <c r="C6861" s="8" t="s">
        <v>2474</v>
      </c>
      <c r="D6861" s="8" t="s">
        <v>760</v>
      </c>
      <c r="E6861" s="52">
        <v>714</v>
      </c>
      <c r="F6861" s="13"/>
      <c r="G6861" s="13">
        <v>670.2</v>
      </c>
    </row>
    <row r="6862" spans="1:7" hidden="1" x14ac:dyDescent="0.75">
      <c r="A6862" s="51">
        <v>44947</v>
      </c>
      <c r="B6862" s="52">
        <v>408</v>
      </c>
      <c r="C6862" s="8" t="s">
        <v>2021</v>
      </c>
      <c r="D6862" s="8" t="s">
        <v>760</v>
      </c>
      <c r="E6862" s="52">
        <v>713</v>
      </c>
      <c r="F6862" s="13"/>
      <c r="G6862" s="13">
        <v>1196.83</v>
      </c>
    </row>
    <row r="6863" spans="1:7" hidden="1" x14ac:dyDescent="0.75">
      <c r="A6863" s="51">
        <v>44947</v>
      </c>
      <c r="B6863" s="52">
        <v>408</v>
      </c>
      <c r="C6863" s="8" t="s">
        <v>2054</v>
      </c>
      <c r="D6863" s="8" t="s">
        <v>760</v>
      </c>
      <c r="E6863" s="52">
        <v>711</v>
      </c>
      <c r="F6863" s="13"/>
      <c r="G6863" s="13">
        <v>1429.39</v>
      </c>
    </row>
    <row r="6864" spans="1:7" hidden="1" x14ac:dyDescent="0.75">
      <c r="A6864" s="51">
        <v>44947</v>
      </c>
      <c r="B6864" s="52">
        <v>408</v>
      </c>
      <c r="C6864" s="8" t="s">
        <v>1983</v>
      </c>
      <c r="D6864" s="8" t="s">
        <v>760</v>
      </c>
      <c r="E6864" s="52">
        <v>1124</v>
      </c>
      <c r="F6864" s="13"/>
      <c r="G6864" s="13">
        <v>328.88</v>
      </c>
    </row>
    <row r="6865" spans="1:7" hidden="1" x14ac:dyDescent="0.75">
      <c r="A6865" s="51">
        <v>44947</v>
      </c>
      <c r="B6865" s="52">
        <v>408</v>
      </c>
      <c r="C6865" s="8" t="s">
        <v>2139</v>
      </c>
      <c r="D6865" s="8" t="s">
        <v>760</v>
      </c>
      <c r="E6865" s="52">
        <v>712</v>
      </c>
      <c r="F6865" s="13"/>
      <c r="G6865" s="13">
        <v>3461.72</v>
      </c>
    </row>
    <row r="6866" spans="1:7" hidden="1" x14ac:dyDescent="0.75">
      <c r="A6866" s="51">
        <v>44949</v>
      </c>
      <c r="B6866" s="52">
        <v>408</v>
      </c>
      <c r="C6866" s="8" t="s">
        <v>3129</v>
      </c>
      <c r="D6866" s="8" t="s">
        <v>760</v>
      </c>
      <c r="E6866" s="52">
        <v>1363</v>
      </c>
      <c r="F6866" s="13"/>
      <c r="G6866" s="13">
        <v>1221.25</v>
      </c>
    </row>
    <row r="6867" spans="1:7" hidden="1" x14ac:dyDescent="0.75">
      <c r="A6867" s="51">
        <v>44949</v>
      </c>
      <c r="B6867" s="52">
        <v>408</v>
      </c>
      <c r="C6867" s="8" t="s">
        <v>2620</v>
      </c>
      <c r="D6867" s="8" t="s">
        <v>760</v>
      </c>
      <c r="E6867" s="52">
        <v>1024</v>
      </c>
      <c r="F6867" s="13"/>
      <c r="G6867" s="13">
        <v>5640</v>
      </c>
    </row>
    <row r="6868" spans="1:7" hidden="1" x14ac:dyDescent="0.75">
      <c r="A6868" s="51">
        <v>44949</v>
      </c>
      <c r="B6868" s="52">
        <v>408</v>
      </c>
      <c r="C6868" s="8" t="s">
        <v>2621</v>
      </c>
      <c r="D6868" s="8" t="s">
        <v>760</v>
      </c>
      <c r="E6868" s="52">
        <v>1024</v>
      </c>
      <c r="F6868" s="13"/>
      <c r="G6868" s="13">
        <v>2510</v>
      </c>
    </row>
    <row r="6869" spans="1:7" hidden="1" x14ac:dyDescent="0.75">
      <c r="A6869" s="51">
        <v>44949</v>
      </c>
      <c r="B6869" s="52">
        <v>408</v>
      </c>
      <c r="C6869" s="8" t="s">
        <v>2927</v>
      </c>
      <c r="D6869" s="8" t="s">
        <v>760</v>
      </c>
      <c r="E6869" s="52">
        <v>1508</v>
      </c>
      <c r="F6869" s="13"/>
      <c r="G6869" s="13">
        <v>1608.8</v>
      </c>
    </row>
    <row r="6870" spans="1:7" hidden="1" x14ac:dyDescent="0.75">
      <c r="A6870" s="51">
        <v>44949</v>
      </c>
      <c r="B6870" s="52">
        <v>408</v>
      </c>
      <c r="C6870" s="8" t="s">
        <v>2928</v>
      </c>
      <c r="D6870" s="8" t="s">
        <v>760</v>
      </c>
      <c r="E6870" s="52">
        <v>1508</v>
      </c>
      <c r="F6870" s="13"/>
      <c r="G6870" s="13">
        <v>4032.1</v>
      </c>
    </row>
    <row r="6871" spans="1:7" hidden="1" x14ac:dyDescent="0.75">
      <c r="A6871" s="51">
        <v>44949</v>
      </c>
      <c r="B6871" s="52">
        <v>408</v>
      </c>
      <c r="C6871" s="8" t="s">
        <v>2280</v>
      </c>
      <c r="D6871" s="8" t="s">
        <v>760</v>
      </c>
      <c r="E6871" s="52">
        <v>806</v>
      </c>
      <c r="F6871" s="13"/>
      <c r="G6871" s="13">
        <v>1926</v>
      </c>
    </row>
    <row r="6872" spans="1:7" hidden="1" x14ac:dyDescent="0.75">
      <c r="A6872" s="51">
        <v>44949</v>
      </c>
      <c r="B6872" s="52">
        <v>408</v>
      </c>
      <c r="C6872" s="8" t="s">
        <v>2246</v>
      </c>
      <c r="D6872" s="8" t="s">
        <v>760</v>
      </c>
      <c r="E6872" s="52">
        <v>804</v>
      </c>
      <c r="F6872" s="13"/>
      <c r="G6872" s="13">
        <v>777.5</v>
      </c>
    </row>
    <row r="6873" spans="1:7" hidden="1" x14ac:dyDescent="0.75">
      <c r="A6873" s="51">
        <v>44949</v>
      </c>
      <c r="B6873" s="52">
        <v>408</v>
      </c>
      <c r="C6873" s="8" t="s">
        <v>2247</v>
      </c>
      <c r="D6873" s="8" t="s">
        <v>760</v>
      </c>
      <c r="E6873" s="52">
        <v>804</v>
      </c>
      <c r="F6873" s="13"/>
      <c r="G6873" s="13">
        <v>396</v>
      </c>
    </row>
    <row r="6874" spans="1:7" hidden="1" x14ac:dyDescent="0.75">
      <c r="A6874" s="51">
        <v>44949</v>
      </c>
      <c r="B6874" s="52">
        <v>408</v>
      </c>
      <c r="C6874" s="8" t="s">
        <v>3021</v>
      </c>
      <c r="D6874" s="8" t="s">
        <v>760</v>
      </c>
      <c r="E6874" s="52">
        <v>1748</v>
      </c>
      <c r="F6874" s="13"/>
      <c r="G6874" s="13">
        <v>666.65</v>
      </c>
    </row>
    <row r="6875" spans="1:7" hidden="1" x14ac:dyDescent="0.75">
      <c r="A6875" s="51">
        <v>44949</v>
      </c>
      <c r="B6875" s="52">
        <v>408</v>
      </c>
      <c r="C6875" s="8" t="s">
        <v>2841</v>
      </c>
      <c r="D6875" s="8" t="s">
        <v>760</v>
      </c>
      <c r="E6875" s="52">
        <v>707</v>
      </c>
      <c r="F6875" s="13"/>
      <c r="G6875" s="13">
        <v>2053.9499999999998</v>
      </c>
    </row>
    <row r="6876" spans="1:7" hidden="1" x14ac:dyDescent="0.75">
      <c r="A6876" s="51">
        <v>44949</v>
      </c>
      <c r="B6876" s="52">
        <v>408</v>
      </c>
      <c r="C6876" s="8" t="s">
        <v>2995</v>
      </c>
      <c r="D6876" s="8" t="s">
        <v>760</v>
      </c>
      <c r="E6876" s="52">
        <v>1751</v>
      </c>
      <c r="F6876" s="13"/>
      <c r="G6876" s="13">
        <v>932.45</v>
      </c>
    </row>
    <row r="6877" spans="1:7" hidden="1" x14ac:dyDescent="0.75">
      <c r="A6877" s="51">
        <v>44949</v>
      </c>
      <c r="B6877" s="52">
        <v>408</v>
      </c>
      <c r="C6877" s="8" t="s">
        <v>3072</v>
      </c>
      <c r="D6877" s="8" t="s">
        <v>760</v>
      </c>
      <c r="E6877" s="52">
        <v>1696</v>
      </c>
      <c r="F6877" s="13"/>
      <c r="G6877" s="13">
        <v>531.79999999999995</v>
      </c>
    </row>
    <row r="6878" spans="1:7" hidden="1" x14ac:dyDescent="0.75">
      <c r="A6878" s="51">
        <v>44949</v>
      </c>
      <c r="B6878" s="52">
        <v>408</v>
      </c>
      <c r="C6878" s="8" t="s">
        <v>3045</v>
      </c>
      <c r="D6878" s="8" t="s">
        <v>760</v>
      </c>
      <c r="E6878" s="52">
        <v>1752</v>
      </c>
      <c r="F6878" s="13"/>
      <c r="G6878" s="13">
        <v>587.95000000000005</v>
      </c>
    </row>
    <row r="6879" spans="1:7" hidden="1" x14ac:dyDescent="0.75">
      <c r="A6879" s="51">
        <v>44949</v>
      </c>
      <c r="B6879" s="52">
        <v>408</v>
      </c>
      <c r="C6879" s="8" t="s">
        <v>3101</v>
      </c>
      <c r="D6879" s="8" t="s">
        <v>760</v>
      </c>
      <c r="E6879" s="52">
        <v>1747</v>
      </c>
      <c r="F6879" s="13"/>
      <c r="G6879" s="13">
        <v>1349.6</v>
      </c>
    </row>
    <row r="6880" spans="1:7" hidden="1" x14ac:dyDescent="0.75">
      <c r="A6880" s="51">
        <v>44949</v>
      </c>
      <c r="B6880" s="52">
        <v>408</v>
      </c>
      <c r="C6880" s="8" t="s">
        <v>2090</v>
      </c>
      <c r="D6880" s="8" t="s">
        <v>760</v>
      </c>
      <c r="E6880" s="52">
        <v>710</v>
      </c>
      <c r="F6880" s="13"/>
      <c r="G6880" s="13">
        <v>104.5</v>
      </c>
    </row>
    <row r="6881" spans="1:7" hidden="1" x14ac:dyDescent="0.75">
      <c r="A6881" s="51">
        <v>44949</v>
      </c>
      <c r="B6881" s="52">
        <v>408</v>
      </c>
      <c r="C6881" s="8" t="s">
        <v>2022</v>
      </c>
      <c r="D6881" s="8" t="s">
        <v>760</v>
      </c>
      <c r="E6881" s="52">
        <v>713</v>
      </c>
      <c r="F6881" s="13"/>
      <c r="G6881" s="13">
        <v>152</v>
      </c>
    </row>
    <row r="6882" spans="1:7" hidden="1" x14ac:dyDescent="0.75">
      <c r="A6882" s="51">
        <v>44949</v>
      </c>
      <c r="B6882" s="52">
        <v>408</v>
      </c>
      <c r="C6882" s="8" t="s">
        <v>2140</v>
      </c>
      <c r="D6882" s="8" t="s">
        <v>760</v>
      </c>
      <c r="E6882" s="52">
        <v>712</v>
      </c>
      <c r="F6882" s="13"/>
      <c r="G6882" s="13">
        <v>855</v>
      </c>
    </row>
    <row r="6883" spans="1:7" hidden="1" x14ac:dyDescent="0.75">
      <c r="A6883" s="51">
        <v>44949</v>
      </c>
      <c r="B6883" s="52">
        <v>408</v>
      </c>
      <c r="C6883" s="8" t="s">
        <v>2055</v>
      </c>
      <c r="D6883" s="8" t="s">
        <v>760</v>
      </c>
      <c r="E6883" s="52">
        <v>711</v>
      </c>
      <c r="F6883" s="13"/>
      <c r="G6883" s="13">
        <v>152</v>
      </c>
    </row>
    <row r="6884" spans="1:7" hidden="1" x14ac:dyDescent="0.75">
      <c r="A6884" s="51">
        <v>44949</v>
      </c>
      <c r="B6884" s="52">
        <v>408</v>
      </c>
      <c r="C6884" s="8" t="s">
        <v>1984</v>
      </c>
      <c r="D6884" s="8" t="s">
        <v>760</v>
      </c>
      <c r="E6884" s="52">
        <v>1124</v>
      </c>
      <c r="F6884" s="13"/>
      <c r="G6884" s="13">
        <v>427.5</v>
      </c>
    </row>
    <row r="6885" spans="1:7" hidden="1" x14ac:dyDescent="0.75">
      <c r="A6885" s="51">
        <v>44949</v>
      </c>
      <c r="B6885" s="52">
        <v>408</v>
      </c>
      <c r="C6885" s="8" t="s">
        <v>2327</v>
      </c>
      <c r="D6885" s="8" t="s">
        <v>760</v>
      </c>
      <c r="E6885" s="52">
        <v>717</v>
      </c>
      <c r="F6885" s="13"/>
      <c r="G6885" s="13">
        <v>2201.4499999999998</v>
      </c>
    </row>
    <row r="6886" spans="1:7" hidden="1" x14ac:dyDescent="0.75">
      <c r="A6886" s="51">
        <v>44949</v>
      </c>
      <c r="B6886" s="52">
        <v>408</v>
      </c>
      <c r="C6886" s="8" t="s">
        <v>2091</v>
      </c>
      <c r="D6886" s="8" t="s">
        <v>760</v>
      </c>
      <c r="E6886" s="52">
        <v>710</v>
      </c>
      <c r="F6886" s="13"/>
      <c r="G6886" s="13">
        <v>870.06</v>
      </c>
    </row>
    <row r="6887" spans="1:7" hidden="1" x14ac:dyDescent="0.75">
      <c r="A6887" s="51">
        <v>44949</v>
      </c>
      <c r="B6887" s="52">
        <v>408</v>
      </c>
      <c r="C6887" s="8" t="s">
        <v>2168</v>
      </c>
      <c r="D6887" s="8" t="s">
        <v>760</v>
      </c>
      <c r="E6887" s="52">
        <v>716</v>
      </c>
      <c r="F6887" s="13"/>
      <c r="G6887" s="13">
        <v>1015.88</v>
      </c>
    </row>
    <row r="6888" spans="1:7" hidden="1" x14ac:dyDescent="0.75">
      <c r="A6888" s="51">
        <v>44949</v>
      </c>
      <c r="B6888" s="52">
        <v>408</v>
      </c>
      <c r="C6888" s="8" t="s">
        <v>2380</v>
      </c>
      <c r="D6888" s="8" t="s">
        <v>760</v>
      </c>
      <c r="E6888" s="52">
        <v>1818</v>
      </c>
      <c r="F6888" s="13"/>
      <c r="G6888" s="13">
        <v>1535</v>
      </c>
    </row>
    <row r="6889" spans="1:7" hidden="1" x14ac:dyDescent="0.75">
      <c r="A6889" s="51">
        <v>44949</v>
      </c>
      <c r="B6889" s="52">
        <v>408</v>
      </c>
      <c r="C6889" s="8" t="s">
        <v>2056</v>
      </c>
      <c r="D6889" s="8" t="s">
        <v>760</v>
      </c>
      <c r="E6889" s="52">
        <v>711</v>
      </c>
      <c r="F6889" s="13"/>
      <c r="G6889" s="13">
        <v>1852.37</v>
      </c>
    </row>
    <row r="6890" spans="1:7" hidden="1" x14ac:dyDescent="0.75">
      <c r="A6890" s="51">
        <v>44949</v>
      </c>
      <c r="B6890" s="52">
        <v>408</v>
      </c>
      <c r="C6890" s="8" t="s">
        <v>2023</v>
      </c>
      <c r="D6890" s="8" t="s">
        <v>760</v>
      </c>
      <c r="E6890" s="52">
        <v>713</v>
      </c>
      <c r="F6890" s="13"/>
      <c r="G6890" s="13">
        <v>1318.12</v>
      </c>
    </row>
    <row r="6891" spans="1:7" hidden="1" x14ac:dyDescent="0.75">
      <c r="A6891" s="51">
        <v>44949</v>
      </c>
      <c r="B6891" s="52">
        <v>408</v>
      </c>
      <c r="C6891" s="8" t="s">
        <v>1985</v>
      </c>
      <c r="D6891" s="8" t="s">
        <v>760</v>
      </c>
      <c r="E6891" s="52">
        <v>1124</v>
      </c>
      <c r="F6891" s="13"/>
      <c r="G6891" s="13">
        <v>1256.8399999999999</v>
      </c>
    </row>
    <row r="6892" spans="1:7" hidden="1" x14ac:dyDescent="0.75">
      <c r="A6892" s="51">
        <v>44949</v>
      </c>
      <c r="B6892" s="52">
        <v>408</v>
      </c>
      <c r="C6892" s="8" t="s">
        <v>2408</v>
      </c>
      <c r="D6892" s="8" t="s">
        <v>760</v>
      </c>
      <c r="E6892" s="52">
        <v>719</v>
      </c>
      <c r="F6892" s="13"/>
      <c r="G6892" s="13">
        <v>348.8</v>
      </c>
    </row>
    <row r="6893" spans="1:7" hidden="1" x14ac:dyDescent="0.75">
      <c r="A6893" s="51">
        <v>44949</v>
      </c>
      <c r="B6893" s="52">
        <v>408</v>
      </c>
      <c r="C6893" s="8" t="s">
        <v>2141</v>
      </c>
      <c r="D6893" s="8" t="s">
        <v>760</v>
      </c>
      <c r="E6893" s="52">
        <v>712</v>
      </c>
      <c r="F6893" s="13"/>
      <c r="G6893" s="13">
        <v>4608.5600000000004</v>
      </c>
    </row>
    <row r="6894" spans="1:7" hidden="1" x14ac:dyDescent="0.75">
      <c r="A6894" s="51">
        <v>44949</v>
      </c>
      <c r="B6894" s="52">
        <v>408</v>
      </c>
      <c r="C6894" s="8" t="s">
        <v>2475</v>
      </c>
      <c r="D6894" s="8" t="s">
        <v>760</v>
      </c>
      <c r="E6894" s="52">
        <v>714</v>
      </c>
      <c r="F6894" s="13"/>
      <c r="G6894" s="13">
        <v>1685.55</v>
      </c>
    </row>
    <row r="6895" spans="1:7" hidden="1" x14ac:dyDescent="0.75">
      <c r="A6895" s="51">
        <v>44949</v>
      </c>
      <c r="B6895" s="52">
        <v>408</v>
      </c>
      <c r="C6895" s="8" t="s">
        <v>3130</v>
      </c>
      <c r="D6895" s="8" t="s">
        <v>760</v>
      </c>
      <c r="E6895" s="52">
        <v>1363</v>
      </c>
      <c r="F6895" s="13"/>
      <c r="G6895" s="13">
        <v>1174.6500000000001</v>
      </c>
    </row>
    <row r="6896" spans="1:7" hidden="1" x14ac:dyDescent="0.75">
      <c r="A6896" s="51">
        <v>44950</v>
      </c>
      <c r="B6896" s="52">
        <v>408</v>
      </c>
      <c r="C6896" s="8" t="s">
        <v>2973</v>
      </c>
      <c r="D6896" s="8" t="s">
        <v>760</v>
      </c>
      <c r="E6896" s="52">
        <v>1765</v>
      </c>
      <c r="F6896" s="13"/>
      <c r="G6896" s="13">
        <v>1785.6</v>
      </c>
    </row>
    <row r="6897" spans="1:7" hidden="1" x14ac:dyDescent="0.75">
      <c r="A6897" s="51">
        <v>44950</v>
      </c>
      <c r="B6897" s="52">
        <v>408</v>
      </c>
      <c r="C6897" s="8" t="s">
        <v>2693</v>
      </c>
      <c r="D6897" s="8" t="s">
        <v>760</v>
      </c>
      <c r="E6897" s="52">
        <v>883</v>
      </c>
      <c r="F6897" s="13"/>
      <c r="G6897" s="13">
        <v>4416.8999999999996</v>
      </c>
    </row>
    <row r="6898" spans="1:7" hidden="1" x14ac:dyDescent="0.75">
      <c r="A6898" s="51">
        <v>44950</v>
      </c>
      <c r="B6898" s="52">
        <v>408</v>
      </c>
      <c r="C6898" s="8" t="s">
        <v>2715</v>
      </c>
      <c r="D6898" s="8" t="s">
        <v>760</v>
      </c>
      <c r="E6898" s="52">
        <v>885</v>
      </c>
      <c r="F6898" s="13"/>
      <c r="G6898" s="13">
        <v>1116.4000000000001</v>
      </c>
    </row>
    <row r="6899" spans="1:7" hidden="1" x14ac:dyDescent="0.75">
      <c r="A6899" s="51">
        <v>44950</v>
      </c>
      <c r="B6899" s="52">
        <v>408</v>
      </c>
      <c r="C6899" s="8" t="s">
        <v>2733</v>
      </c>
      <c r="D6899" s="8" t="s">
        <v>760</v>
      </c>
      <c r="E6899" s="52">
        <v>882</v>
      </c>
      <c r="F6899" s="13"/>
      <c r="G6899" s="13">
        <v>352.2</v>
      </c>
    </row>
    <row r="6900" spans="1:7" hidden="1" x14ac:dyDescent="0.75">
      <c r="A6900" s="51">
        <v>44950</v>
      </c>
      <c r="B6900" s="52">
        <v>408</v>
      </c>
      <c r="C6900" s="8" t="s">
        <v>2764</v>
      </c>
      <c r="D6900" s="8" t="s">
        <v>760</v>
      </c>
      <c r="E6900" s="52">
        <v>884</v>
      </c>
      <c r="F6900" s="13"/>
      <c r="G6900" s="13">
        <v>3571.5</v>
      </c>
    </row>
    <row r="6901" spans="1:7" hidden="1" x14ac:dyDescent="0.75">
      <c r="A6901" s="51">
        <v>44950</v>
      </c>
      <c r="B6901" s="52">
        <v>408</v>
      </c>
      <c r="C6901" s="8" t="s">
        <v>2765</v>
      </c>
      <c r="D6901" s="8" t="s">
        <v>760</v>
      </c>
      <c r="E6901" s="52">
        <v>884</v>
      </c>
      <c r="F6901" s="13"/>
      <c r="G6901" s="13">
        <v>550</v>
      </c>
    </row>
    <row r="6902" spans="1:7" hidden="1" x14ac:dyDescent="0.75">
      <c r="A6902" s="51">
        <v>44950</v>
      </c>
      <c r="B6902" s="52">
        <v>408</v>
      </c>
      <c r="C6902" s="8" t="s">
        <v>2780</v>
      </c>
      <c r="D6902" s="8" t="s">
        <v>760</v>
      </c>
      <c r="E6902" s="52">
        <v>881</v>
      </c>
      <c r="F6902" s="13"/>
      <c r="G6902" s="13">
        <v>1017</v>
      </c>
    </row>
    <row r="6903" spans="1:7" hidden="1" x14ac:dyDescent="0.75">
      <c r="A6903" s="51">
        <v>44950</v>
      </c>
      <c r="B6903" s="52">
        <v>408</v>
      </c>
      <c r="C6903" s="8" t="s">
        <v>2809</v>
      </c>
      <c r="D6903" s="8" t="s">
        <v>760</v>
      </c>
      <c r="E6903" s="52">
        <v>1025</v>
      </c>
      <c r="F6903" s="13"/>
      <c r="G6903" s="13">
        <v>1890.7</v>
      </c>
    </row>
    <row r="6904" spans="1:7" hidden="1" x14ac:dyDescent="0.75">
      <c r="A6904" s="51">
        <v>44950</v>
      </c>
      <c r="B6904" s="52">
        <v>408</v>
      </c>
      <c r="C6904" s="8" t="s">
        <v>2810</v>
      </c>
      <c r="D6904" s="8" t="s">
        <v>760</v>
      </c>
      <c r="E6904" s="52">
        <v>1025</v>
      </c>
      <c r="F6904" s="13"/>
      <c r="G6904" s="13">
        <v>220</v>
      </c>
    </row>
    <row r="6905" spans="1:7" hidden="1" x14ac:dyDescent="0.75">
      <c r="A6905" s="51">
        <v>44950</v>
      </c>
      <c r="B6905" s="52">
        <v>408</v>
      </c>
      <c r="C6905" s="8" t="s">
        <v>2220</v>
      </c>
      <c r="D6905" s="8" t="s">
        <v>760</v>
      </c>
      <c r="E6905" s="52">
        <v>1736</v>
      </c>
      <c r="F6905" s="13"/>
      <c r="G6905" s="13">
        <v>1646.5</v>
      </c>
    </row>
    <row r="6906" spans="1:7" hidden="1" x14ac:dyDescent="0.75">
      <c r="A6906" s="51">
        <v>44950</v>
      </c>
      <c r="B6906" s="52">
        <v>408</v>
      </c>
      <c r="C6906" s="8" t="s">
        <v>2622</v>
      </c>
      <c r="D6906" s="8" t="s">
        <v>760</v>
      </c>
      <c r="E6906" s="52">
        <v>1024</v>
      </c>
      <c r="F6906" s="13"/>
      <c r="G6906" s="13">
        <v>2628</v>
      </c>
    </row>
    <row r="6907" spans="1:7" hidden="1" x14ac:dyDescent="0.75">
      <c r="A6907" s="51">
        <v>44950</v>
      </c>
      <c r="B6907" s="52">
        <v>408</v>
      </c>
      <c r="C6907" s="8" t="s">
        <v>2623</v>
      </c>
      <c r="D6907" s="8" t="s">
        <v>760</v>
      </c>
      <c r="E6907" s="52">
        <v>1024</v>
      </c>
      <c r="F6907" s="13"/>
      <c r="G6907" s="13">
        <v>595</v>
      </c>
    </row>
    <row r="6908" spans="1:7" hidden="1" x14ac:dyDescent="0.75">
      <c r="A6908" s="51">
        <v>44950</v>
      </c>
      <c r="B6908" s="52">
        <v>408</v>
      </c>
      <c r="C6908" s="8" t="s">
        <v>2624</v>
      </c>
      <c r="D6908" s="8" t="s">
        <v>760</v>
      </c>
      <c r="E6908" s="52">
        <v>1024</v>
      </c>
      <c r="F6908" s="13"/>
      <c r="G6908" s="13">
        <v>2349</v>
      </c>
    </row>
    <row r="6909" spans="1:7" hidden="1" x14ac:dyDescent="0.75">
      <c r="A6909" s="51">
        <v>44950</v>
      </c>
      <c r="B6909" s="52">
        <v>408</v>
      </c>
      <c r="C6909" s="8" t="s">
        <v>2625</v>
      </c>
      <c r="D6909" s="8" t="s">
        <v>760</v>
      </c>
      <c r="E6909" s="52">
        <v>1024</v>
      </c>
      <c r="F6909" s="13"/>
      <c r="G6909" s="13">
        <v>4040</v>
      </c>
    </row>
    <row r="6910" spans="1:7" hidden="1" x14ac:dyDescent="0.75">
      <c r="A6910" s="51">
        <v>44950</v>
      </c>
      <c r="B6910" s="52">
        <v>408</v>
      </c>
      <c r="C6910" s="8" t="s">
        <v>3119</v>
      </c>
      <c r="D6910" s="8" t="s">
        <v>760</v>
      </c>
      <c r="E6910" s="52">
        <v>1789</v>
      </c>
      <c r="F6910" s="13"/>
      <c r="G6910" s="13">
        <v>384.5</v>
      </c>
    </row>
    <row r="6911" spans="1:7" hidden="1" x14ac:dyDescent="0.75">
      <c r="A6911" s="51">
        <v>44950</v>
      </c>
      <c r="B6911" s="52">
        <v>408</v>
      </c>
      <c r="C6911" s="8" t="s">
        <v>2861</v>
      </c>
      <c r="D6911" s="8" t="s">
        <v>760</v>
      </c>
      <c r="E6911" s="52">
        <v>1788</v>
      </c>
      <c r="F6911" s="13"/>
      <c r="G6911" s="13">
        <v>384.5</v>
      </c>
    </row>
    <row r="6912" spans="1:7" hidden="1" x14ac:dyDescent="0.75">
      <c r="A6912" s="51">
        <v>44950</v>
      </c>
      <c r="B6912" s="52">
        <v>408</v>
      </c>
      <c r="C6912" s="8" t="s">
        <v>2626</v>
      </c>
      <c r="D6912" s="8" t="s">
        <v>760</v>
      </c>
      <c r="E6912" s="52">
        <v>1024</v>
      </c>
      <c r="F6912" s="13"/>
      <c r="G6912" s="13">
        <v>442.5</v>
      </c>
    </row>
    <row r="6913" spans="1:7" hidden="1" x14ac:dyDescent="0.75">
      <c r="A6913" s="51">
        <v>44950</v>
      </c>
      <c r="B6913" s="52">
        <v>408</v>
      </c>
      <c r="C6913" s="8" t="s">
        <v>2627</v>
      </c>
      <c r="D6913" s="8" t="s">
        <v>760</v>
      </c>
      <c r="E6913" s="52">
        <v>1024</v>
      </c>
      <c r="F6913" s="13"/>
      <c r="G6913" s="13">
        <v>1963.5</v>
      </c>
    </row>
    <row r="6914" spans="1:7" hidden="1" x14ac:dyDescent="0.75">
      <c r="A6914" s="51">
        <v>44950</v>
      </c>
      <c r="B6914" s="52">
        <v>408</v>
      </c>
      <c r="C6914" s="8" t="s">
        <v>2842</v>
      </c>
      <c r="D6914" s="8" t="s">
        <v>760</v>
      </c>
      <c r="E6914" s="52">
        <v>707</v>
      </c>
      <c r="F6914" s="13"/>
      <c r="G6914" s="13">
        <v>2294.1</v>
      </c>
    </row>
    <row r="6915" spans="1:7" hidden="1" x14ac:dyDescent="0.75">
      <c r="A6915" s="51">
        <v>44950</v>
      </c>
      <c r="B6915" s="52">
        <v>408</v>
      </c>
      <c r="C6915" s="8" t="s">
        <v>3073</v>
      </c>
      <c r="D6915" s="8" t="s">
        <v>760</v>
      </c>
      <c r="E6915" s="52">
        <v>1696</v>
      </c>
      <c r="F6915" s="13"/>
      <c r="G6915" s="13">
        <v>560.29999999999995</v>
      </c>
    </row>
    <row r="6916" spans="1:7" hidden="1" x14ac:dyDescent="0.75">
      <c r="A6916" s="51">
        <v>44950</v>
      </c>
      <c r="B6916" s="52">
        <v>408</v>
      </c>
      <c r="C6916" s="8" t="s">
        <v>2996</v>
      </c>
      <c r="D6916" s="8" t="s">
        <v>760</v>
      </c>
      <c r="E6916" s="52">
        <v>1751</v>
      </c>
      <c r="F6916" s="13"/>
      <c r="G6916" s="13">
        <v>812.1</v>
      </c>
    </row>
    <row r="6917" spans="1:7" hidden="1" x14ac:dyDescent="0.75">
      <c r="A6917" s="51">
        <v>44950</v>
      </c>
      <c r="B6917" s="52">
        <v>408</v>
      </c>
      <c r="C6917" s="8" t="s">
        <v>3022</v>
      </c>
      <c r="D6917" s="8" t="s">
        <v>760</v>
      </c>
      <c r="E6917" s="52">
        <v>1748</v>
      </c>
      <c r="F6917" s="13"/>
      <c r="G6917" s="13">
        <v>592.6</v>
      </c>
    </row>
    <row r="6918" spans="1:7" hidden="1" x14ac:dyDescent="0.75">
      <c r="A6918" s="51">
        <v>44950</v>
      </c>
      <c r="B6918" s="52">
        <v>408</v>
      </c>
      <c r="C6918" s="8" t="s">
        <v>3046</v>
      </c>
      <c r="D6918" s="8" t="s">
        <v>760</v>
      </c>
      <c r="E6918" s="52">
        <v>1752</v>
      </c>
      <c r="F6918" s="13"/>
      <c r="G6918" s="13">
        <v>360.6</v>
      </c>
    </row>
    <row r="6919" spans="1:7" hidden="1" x14ac:dyDescent="0.75">
      <c r="A6919" s="51">
        <v>44950</v>
      </c>
      <c r="B6919" s="52">
        <v>408</v>
      </c>
      <c r="C6919" s="8" t="s">
        <v>3102</v>
      </c>
      <c r="D6919" s="8" t="s">
        <v>760</v>
      </c>
      <c r="E6919" s="52">
        <v>1747</v>
      </c>
      <c r="F6919" s="13"/>
      <c r="G6919" s="13">
        <v>995.4</v>
      </c>
    </row>
    <row r="6920" spans="1:7" hidden="1" x14ac:dyDescent="0.75">
      <c r="A6920" s="51">
        <v>44950</v>
      </c>
      <c r="B6920" s="52">
        <v>408</v>
      </c>
      <c r="C6920" s="8" t="s">
        <v>2997</v>
      </c>
      <c r="D6920" s="8" t="s">
        <v>760</v>
      </c>
      <c r="E6920" s="52">
        <v>1751</v>
      </c>
      <c r="F6920" s="13"/>
      <c r="G6920" s="13">
        <v>33</v>
      </c>
    </row>
    <row r="6921" spans="1:7" hidden="1" x14ac:dyDescent="0.75">
      <c r="A6921" s="51">
        <v>44950</v>
      </c>
      <c r="B6921" s="52">
        <v>408</v>
      </c>
      <c r="C6921" s="8" t="s">
        <v>3074</v>
      </c>
      <c r="D6921" s="8" t="s">
        <v>760</v>
      </c>
      <c r="E6921" s="52">
        <v>1696</v>
      </c>
      <c r="F6921" s="13"/>
      <c r="G6921" s="13">
        <v>496.5</v>
      </c>
    </row>
    <row r="6922" spans="1:7" hidden="1" x14ac:dyDescent="0.75">
      <c r="A6922" s="51">
        <v>44950</v>
      </c>
      <c r="B6922" s="52">
        <v>408</v>
      </c>
      <c r="C6922" s="8" t="s">
        <v>3103</v>
      </c>
      <c r="D6922" s="8" t="s">
        <v>760</v>
      </c>
      <c r="E6922" s="52">
        <v>1747</v>
      </c>
      <c r="F6922" s="13"/>
      <c r="G6922" s="13">
        <v>1124.7</v>
      </c>
    </row>
    <row r="6923" spans="1:7" hidden="1" x14ac:dyDescent="0.75">
      <c r="A6923" s="51">
        <v>44950</v>
      </c>
      <c r="B6923" s="52">
        <v>408</v>
      </c>
      <c r="C6923" s="8" t="s">
        <v>3047</v>
      </c>
      <c r="D6923" s="8" t="s">
        <v>760</v>
      </c>
      <c r="E6923" s="52">
        <v>1752</v>
      </c>
      <c r="F6923" s="13"/>
      <c r="G6923" s="13">
        <v>173.4</v>
      </c>
    </row>
    <row r="6924" spans="1:7" hidden="1" x14ac:dyDescent="0.75">
      <c r="A6924" s="51">
        <v>44950</v>
      </c>
      <c r="B6924" s="52">
        <v>408</v>
      </c>
      <c r="C6924" s="8" t="s">
        <v>2069</v>
      </c>
      <c r="D6924" s="8" t="s">
        <v>760</v>
      </c>
      <c r="E6924" s="52">
        <v>1729</v>
      </c>
      <c r="F6924" s="13"/>
      <c r="G6924" s="13">
        <v>1029.46</v>
      </c>
    </row>
    <row r="6925" spans="1:7" hidden="1" x14ac:dyDescent="0.75">
      <c r="A6925" s="51">
        <v>44950</v>
      </c>
      <c r="B6925" s="52">
        <v>408</v>
      </c>
      <c r="C6925" s="8" t="s">
        <v>1958</v>
      </c>
      <c r="D6925" s="8" t="s">
        <v>760</v>
      </c>
      <c r="E6925" s="52">
        <v>709</v>
      </c>
      <c r="F6925" s="13"/>
      <c r="G6925" s="13">
        <v>2081.44</v>
      </c>
    </row>
    <row r="6926" spans="1:7" hidden="1" x14ac:dyDescent="0.75">
      <c r="A6926" s="51">
        <v>44950</v>
      </c>
      <c r="B6926" s="52">
        <v>408</v>
      </c>
      <c r="C6926" s="8" t="s">
        <v>1959</v>
      </c>
      <c r="D6926" s="8" t="s">
        <v>760</v>
      </c>
      <c r="E6926" s="52">
        <v>709</v>
      </c>
      <c r="F6926" s="13"/>
      <c r="G6926" s="13">
        <v>1900.76</v>
      </c>
    </row>
    <row r="6927" spans="1:7" hidden="1" x14ac:dyDescent="0.75">
      <c r="A6927" s="51">
        <v>44950</v>
      </c>
      <c r="B6927" s="52">
        <v>408</v>
      </c>
      <c r="C6927" s="8" t="s">
        <v>2843</v>
      </c>
      <c r="D6927" s="8" t="s">
        <v>760</v>
      </c>
      <c r="E6927" s="52">
        <v>707</v>
      </c>
      <c r="F6927" s="13"/>
      <c r="G6927" s="13">
        <v>2180</v>
      </c>
    </row>
    <row r="6928" spans="1:7" hidden="1" x14ac:dyDescent="0.75">
      <c r="A6928" s="51">
        <v>44950</v>
      </c>
      <c r="B6928" s="52">
        <v>408</v>
      </c>
      <c r="C6928" s="8" t="s">
        <v>2328</v>
      </c>
      <c r="D6928" s="8" t="s">
        <v>760</v>
      </c>
      <c r="E6928" s="52">
        <v>717</v>
      </c>
      <c r="F6928" s="13"/>
      <c r="G6928" s="13">
        <v>1304.5</v>
      </c>
    </row>
    <row r="6929" spans="1:7" hidden="1" x14ac:dyDescent="0.75">
      <c r="A6929" s="51">
        <v>44950</v>
      </c>
      <c r="B6929" s="52">
        <v>408</v>
      </c>
      <c r="C6929" s="8" t="s">
        <v>2381</v>
      </c>
      <c r="D6929" s="8" t="s">
        <v>760</v>
      </c>
      <c r="E6929" s="52">
        <v>1818</v>
      </c>
      <c r="F6929" s="13"/>
      <c r="G6929" s="13">
        <v>2914.9</v>
      </c>
    </row>
    <row r="6930" spans="1:7" hidden="1" x14ac:dyDescent="0.75">
      <c r="A6930" s="51">
        <v>44950</v>
      </c>
      <c r="B6930" s="52">
        <v>408</v>
      </c>
      <c r="C6930" s="8" t="s">
        <v>2435</v>
      </c>
      <c r="D6930" s="8" t="s">
        <v>760</v>
      </c>
      <c r="E6930" s="52">
        <v>1821</v>
      </c>
      <c r="F6930" s="13"/>
      <c r="G6930" s="13">
        <v>234.5</v>
      </c>
    </row>
    <row r="6931" spans="1:7" hidden="1" x14ac:dyDescent="0.75">
      <c r="A6931" s="51">
        <v>44950</v>
      </c>
      <c r="B6931" s="52">
        <v>408</v>
      </c>
      <c r="C6931" s="8" t="s">
        <v>2092</v>
      </c>
      <c r="D6931" s="8" t="s">
        <v>760</v>
      </c>
      <c r="E6931" s="52">
        <v>710</v>
      </c>
      <c r="F6931" s="13"/>
      <c r="G6931" s="13">
        <v>973.8</v>
      </c>
    </row>
    <row r="6932" spans="1:7" hidden="1" x14ac:dyDescent="0.75">
      <c r="A6932" s="51">
        <v>44950</v>
      </c>
      <c r="B6932" s="52">
        <v>408</v>
      </c>
      <c r="C6932" s="8" t="s">
        <v>1986</v>
      </c>
      <c r="D6932" s="8" t="s">
        <v>760</v>
      </c>
      <c r="E6932" s="52">
        <v>1124</v>
      </c>
      <c r="F6932" s="13"/>
      <c r="G6932" s="13">
        <v>2030.31</v>
      </c>
    </row>
    <row r="6933" spans="1:7" hidden="1" x14ac:dyDescent="0.75">
      <c r="A6933" s="51">
        <v>44950</v>
      </c>
      <c r="B6933" s="52">
        <v>408</v>
      </c>
      <c r="C6933" s="8" t="s">
        <v>2057</v>
      </c>
      <c r="D6933" s="8" t="s">
        <v>760</v>
      </c>
      <c r="E6933" s="52">
        <v>711</v>
      </c>
      <c r="F6933" s="13"/>
      <c r="G6933" s="13">
        <v>2770.65</v>
      </c>
    </row>
    <row r="6934" spans="1:7" hidden="1" x14ac:dyDescent="0.75">
      <c r="A6934" s="51">
        <v>44950</v>
      </c>
      <c r="B6934" s="52">
        <v>408</v>
      </c>
      <c r="C6934" s="8" t="s">
        <v>2476</v>
      </c>
      <c r="D6934" s="8" t="s">
        <v>760</v>
      </c>
      <c r="E6934" s="52">
        <v>714</v>
      </c>
      <c r="F6934" s="13"/>
      <c r="G6934" s="13">
        <v>785.5</v>
      </c>
    </row>
    <row r="6935" spans="1:7" hidden="1" x14ac:dyDescent="0.75">
      <c r="A6935" s="51">
        <v>44950</v>
      </c>
      <c r="B6935" s="52">
        <v>408</v>
      </c>
      <c r="C6935" s="8" t="s">
        <v>2142</v>
      </c>
      <c r="D6935" s="8" t="s">
        <v>760</v>
      </c>
      <c r="E6935" s="52">
        <v>712</v>
      </c>
      <c r="F6935" s="13"/>
      <c r="G6935" s="13">
        <v>1788.28</v>
      </c>
    </row>
    <row r="6936" spans="1:7" hidden="1" x14ac:dyDescent="0.75">
      <c r="A6936" s="51">
        <v>44950</v>
      </c>
      <c r="B6936" s="52">
        <v>408</v>
      </c>
      <c r="C6936" s="8" t="s">
        <v>2024</v>
      </c>
      <c r="D6936" s="8" t="s">
        <v>760</v>
      </c>
      <c r="E6936" s="52">
        <v>713</v>
      </c>
      <c r="F6936" s="13"/>
      <c r="G6936" s="13">
        <v>495.42</v>
      </c>
    </row>
    <row r="6937" spans="1:7" hidden="1" x14ac:dyDescent="0.75">
      <c r="A6937" s="51">
        <v>44951</v>
      </c>
      <c r="B6937" s="52">
        <v>408</v>
      </c>
      <c r="C6937" s="8" t="s">
        <v>2628</v>
      </c>
      <c r="D6937" s="8" t="s">
        <v>760</v>
      </c>
      <c r="E6937" s="52">
        <v>1024</v>
      </c>
      <c r="F6937" s="13"/>
      <c r="G6937" s="13">
        <v>98.75</v>
      </c>
    </row>
    <row r="6938" spans="1:7" hidden="1" x14ac:dyDescent="0.75">
      <c r="A6938" s="51">
        <v>44951</v>
      </c>
      <c r="B6938" s="52">
        <v>408</v>
      </c>
      <c r="C6938" s="8" t="s">
        <v>2629</v>
      </c>
      <c r="D6938" s="8" t="s">
        <v>760</v>
      </c>
      <c r="E6938" s="52">
        <v>1024</v>
      </c>
      <c r="F6938" s="13"/>
      <c r="G6938" s="13">
        <v>1227.25</v>
      </c>
    </row>
    <row r="6939" spans="1:7" hidden="1" x14ac:dyDescent="0.75">
      <c r="A6939" s="51">
        <v>44951</v>
      </c>
      <c r="B6939" s="52">
        <v>408</v>
      </c>
      <c r="C6939" s="8" t="s">
        <v>2939</v>
      </c>
      <c r="D6939" s="8" t="s">
        <v>760</v>
      </c>
      <c r="E6939" s="52">
        <v>1508</v>
      </c>
      <c r="F6939" s="13"/>
      <c r="G6939" s="13">
        <v>1422.5</v>
      </c>
    </row>
    <row r="6940" spans="1:7" hidden="1" x14ac:dyDescent="0.75">
      <c r="A6940" s="51">
        <v>44951</v>
      </c>
      <c r="B6940" s="52">
        <v>408</v>
      </c>
      <c r="C6940" s="8" t="s">
        <v>2940</v>
      </c>
      <c r="D6940" s="8" t="s">
        <v>760</v>
      </c>
      <c r="E6940" s="52">
        <v>1508</v>
      </c>
      <c r="F6940" s="13"/>
      <c r="G6940" s="13">
        <v>1471.5</v>
      </c>
    </row>
    <row r="6941" spans="1:7" hidden="1" x14ac:dyDescent="0.75">
      <c r="A6941" s="51">
        <v>44951</v>
      </c>
      <c r="B6941" s="52">
        <v>408</v>
      </c>
      <c r="C6941" s="8" t="s">
        <v>2630</v>
      </c>
      <c r="D6941" s="8" t="s">
        <v>760</v>
      </c>
      <c r="E6941" s="52">
        <v>1024</v>
      </c>
      <c r="F6941" s="13"/>
      <c r="G6941" s="13">
        <v>3233</v>
      </c>
    </row>
    <row r="6942" spans="1:7" hidden="1" x14ac:dyDescent="0.75">
      <c r="A6942" s="51">
        <v>44951</v>
      </c>
      <c r="B6942" s="52">
        <v>408</v>
      </c>
      <c r="C6942" s="8" t="s">
        <v>2631</v>
      </c>
      <c r="D6942" s="8" t="s">
        <v>760</v>
      </c>
      <c r="E6942" s="52">
        <v>1024</v>
      </c>
      <c r="F6942" s="13"/>
      <c r="G6942" s="13">
        <v>4980</v>
      </c>
    </row>
    <row r="6943" spans="1:7" hidden="1" x14ac:dyDescent="0.75">
      <c r="A6943" s="51">
        <v>44951</v>
      </c>
      <c r="B6943" s="52">
        <v>408</v>
      </c>
      <c r="C6943" s="8" t="s">
        <v>2632</v>
      </c>
      <c r="D6943" s="8" t="s">
        <v>760</v>
      </c>
      <c r="E6943" s="52">
        <v>1024</v>
      </c>
      <c r="F6943" s="13"/>
      <c r="G6943" s="13">
        <v>179</v>
      </c>
    </row>
    <row r="6944" spans="1:7" hidden="1" x14ac:dyDescent="0.75">
      <c r="A6944" s="51">
        <v>44951</v>
      </c>
      <c r="B6944" s="52">
        <v>408</v>
      </c>
      <c r="C6944" s="8" t="s">
        <v>2633</v>
      </c>
      <c r="D6944" s="8" t="s">
        <v>760</v>
      </c>
      <c r="E6944" s="52">
        <v>1024</v>
      </c>
      <c r="F6944" s="13"/>
      <c r="G6944" s="13">
        <v>1715</v>
      </c>
    </row>
    <row r="6945" spans="1:7" hidden="1" x14ac:dyDescent="0.75">
      <c r="A6945" s="51">
        <v>44951</v>
      </c>
      <c r="B6945" s="52">
        <v>408</v>
      </c>
      <c r="C6945" s="8" t="s">
        <v>2281</v>
      </c>
      <c r="D6945" s="8" t="s">
        <v>760</v>
      </c>
      <c r="E6945" s="52">
        <v>806</v>
      </c>
      <c r="F6945" s="13"/>
      <c r="G6945" s="13">
        <v>990</v>
      </c>
    </row>
    <row r="6946" spans="1:7" hidden="1" x14ac:dyDescent="0.75">
      <c r="A6946" s="51">
        <v>44951</v>
      </c>
      <c r="B6946" s="52">
        <v>408</v>
      </c>
      <c r="C6946" s="8" t="s">
        <v>2282</v>
      </c>
      <c r="D6946" s="8" t="s">
        <v>760</v>
      </c>
      <c r="E6946" s="52">
        <v>806</v>
      </c>
      <c r="F6946" s="13"/>
      <c r="G6946" s="13">
        <v>2802</v>
      </c>
    </row>
    <row r="6947" spans="1:7" hidden="1" x14ac:dyDescent="0.75">
      <c r="A6947" s="51">
        <v>44951</v>
      </c>
      <c r="B6947" s="52">
        <v>408</v>
      </c>
      <c r="C6947" s="8" t="s">
        <v>2248</v>
      </c>
      <c r="D6947" s="8" t="s">
        <v>760</v>
      </c>
      <c r="E6947" s="52">
        <v>804</v>
      </c>
      <c r="F6947" s="13"/>
      <c r="G6947" s="13">
        <v>777.5</v>
      </c>
    </row>
    <row r="6948" spans="1:7" hidden="1" x14ac:dyDescent="0.75">
      <c r="A6948" s="51">
        <v>44951</v>
      </c>
      <c r="B6948" s="52">
        <v>408</v>
      </c>
      <c r="C6948" s="8" t="s">
        <v>2844</v>
      </c>
      <c r="D6948" s="8" t="s">
        <v>760</v>
      </c>
      <c r="E6948" s="52">
        <v>707</v>
      </c>
      <c r="F6948" s="13"/>
      <c r="G6948" s="13">
        <v>2472.9</v>
      </c>
    </row>
    <row r="6949" spans="1:7" hidden="1" x14ac:dyDescent="0.75">
      <c r="A6949" s="51">
        <v>44951</v>
      </c>
      <c r="B6949" s="52">
        <v>408</v>
      </c>
      <c r="C6949" s="8" t="s">
        <v>2382</v>
      </c>
      <c r="D6949" s="8" t="s">
        <v>760</v>
      </c>
      <c r="E6949" s="52">
        <v>1818</v>
      </c>
      <c r="F6949" s="13"/>
      <c r="G6949" s="13">
        <v>3703.5</v>
      </c>
    </row>
    <row r="6950" spans="1:7" hidden="1" x14ac:dyDescent="0.75">
      <c r="A6950" s="51">
        <v>44951</v>
      </c>
      <c r="B6950" s="52">
        <v>408</v>
      </c>
      <c r="C6950" s="8" t="s">
        <v>2329</v>
      </c>
      <c r="D6950" s="8" t="s">
        <v>760</v>
      </c>
      <c r="E6950" s="52">
        <v>717</v>
      </c>
      <c r="F6950" s="13"/>
      <c r="G6950" s="13">
        <v>1469.5</v>
      </c>
    </row>
    <row r="6951" spans="1:7" hidden="1" x14ac:dyDescent="0.75">
      <c r="A6951" s="51">
        <v>44951</v>
      </c>
      <c r="B6951" s="52">
        <v>408</v>
      </c>
      <c r="C6951" s="8" t="s">
        <v>2169</v>
      </c>
      <c r="D6951" s="8" t="s">
        <v>760</v>
      </c>
      <c r="E6951" s="52">
        <v>716</v>
      </c>
      <c r="F6951" s="13"/>
      <c r="G6951" s="13">
        <v>1994.34</v>
      </c>
    </row>
    <row r="6952" spans="1:7" hidden="1" x14ac:dyDescent="0.75">
      <c r="A6952" s="51">
        <v>44951</v>
      </c>
      <c r="B6952" s="52">
        <v>408</v>
      </c>
      <c r="C6952" s="8" t="s">
        <v>2093</v>
      </c>
      <c r="D6952" s="8" t="s">
        <v>760</v>
      </c>
      <c r="E6952" s="52">
        <v>710</v>
      </c>
      <c r="F6952" s="13"/>
      <c r="G6952" s="13">
        <v>1535.3</v>
      </c>
    </row>
    <row r="6953" spans="1:7" hidden="1" x14ac:dyDescent="0.75">
      <c r="A6953" s="51">
        <v>44951</v>
      </c>
      <c r="B6953" s="52">
        <v>408</v>
      </c>
      <c r="C6953" s="8" t="s">
        <v>2477</v>
      </c>
      <c r="D6953" s="8" t="s">
        <v>760</v>
      </c>
      <c r="E6953" s="52">
        <v>714</v>
      </c>
      <c r="F6953" s="13"/>
      <c r="G6953" s="13">
        <v>906.16</v>
      </c>
    </row>
    <row r="6954" spans="1:7" hidden="1" x14ac:dyDescent="0.75">
      <c r="A6954" s="51">
        <v>44951</v>
      </c>
      <c r="B6954" s="52">
        <v>408</v>
      </c>
      <c r="C6954" s="8" t="s">
        <v>1987</v>
      </c>
      <c r="D6954" s="8" t="s">
        <v>760</v>
      </c>
      <c r="E6954" s="52">
        <v>1124</v>
      </c>
      <c r="F6954" s="13"/>
      <c r="G6954" s="13">
        <v>3070.93</v>
      </c>
    </row>
    <row r="6955" spans="1:7" hidden="1" x14ac:dyDescent="0.75">
      <c r="A6955" s="51">
        <v>44951</v>
      </c>
      <c r="B6955" s="52">
        <v>408</v>
      </c>
      <c r="C6955" s="8" t="s">
        <v>2025</v>
      </c>
      <c r="D6955" s="8" t="s">
        <v>760</v>
      </c>
      <c r="E6955" s="52">
        <v>713</v>
      </c>
      <c r="F6955" s="13"/>
      <c r="G6955" s="13">
        <v>808.75</v>
      </c>
    </row>
    <row r="6956" spans="1:7" hidden="1" x14ac:dyDescent="0.75">
      <c r="A6956" s="51">
        <v>44951</v>
      </c>
      <c r="B6956" s="52">
        <v>408</v>
      </c>
      <c r="C6956" s="8" t="s">
        <v>2409</v>
      </c>
      <c r="D6956" s="8" t="s">
        <v>760</v>
      </c>
      <c r="E6956" s="52">
        <v>719</v>
      </c>
      <c r="F6956" s="13"/>
      <c r="G6956" s="13">
        <v>800.97</v>
      </c>
    </row>
    <row r="6957" spans="1:7" hidden="1" x14ac:dyDescent="0.75">
      <c r="A6957" s="51">
        <v>44951</v>
      </c>
      <c r="B6957" s="52">
        <v>408</v>
      </c>
      <c r="C6957" s="8" t="s">
        <v>2058</v>
      </c>
      <c r="D6957" s="8" t="s">
        <v>760</v>
      </c>
      <c r="E6957" s="52">
        <v>711</v>
      </c>
      <c r="F6957" s="13"/>
      <c r="G6957" s="13">
        <v>2361.33</v>
      </c>
    </row>
    <row r="6958" spans="1:7" hidden="1" x14ac:dyDescent="0.75">
      <c r="A6958" s="51">
        <v>44951</v>
      </c>
      <c r="B6958" s="52">
        <v>408</v>
      </c>
      <c r="C6958" s="8" t="s">
        <v>2143</v>
      </c>
      <c r="D6958" s="8" t="s">
        <v>760</v>
      </c>
      <c r="E6958" s="52">
        <v>712</v>
      </c>
      <c r="F6958" s="13"/>
      <c r="G6958" s="13">
        <v>5548.71</v>
      </c>
    </row>
    <row r="6959" spans="1:7" hidden="1" x14ac:dyDescent="0.75">
      <c r="A6959" s="51">
        <v>44951</v>
      </c>
      <c r="B6959" s="52">
        <v>408</v>
      </c>
      <c r="C6959" s="8" t="s">
        <v>2694</v>
      </c>
      <c r="D6959" s="8" t="s">
        <v>760</v>
      </c>
      <c r="E6959" s="52">
        <v>883</v>
      </c>
      <c r="F6959" s="13"/>
      <c r="G6959" s="13">
        <v>4321.8999999999996</v>
      </c>
    </row>
    <row r="6960" spans="1:7" hidden="1" x14ac:dyDescent="0.75">
      <c r="A6960" s="51">
        <v>44951</v>
      </c>
      <c r="B6960" s="52">
        <v>408</v>
      </c>
      <c r="C6960" s="8" t="s">
        <v>3131</v>
      </c>
      <c r="D6960" s="8" t="s">
        <v>760</v>
      </c>
      <c r="E6960" s="52">
        <v>1363</v>
      </c>
      <c r="F6960" s="13"/>
      <c r="G6960" s="13">
        <v>201</v>
      </c>
    </row>
    <row r="6961" spans="1:7" hidden="1" x14ac:dyDescent="0.75">
      <c r="A6961" s="51">
        <v>44952</v>
      </c>
      <c r="B6961" s="52">
        <v>408</v>
      </c>
      <c r="C6961" s="8" t="s">
        <v>2634</v>
      </c>
      <c r="D6961" s="8" t="s">
        <v>760</v>
      </c>
      <c r="E6961" s="52">
        <v>1024</v>
      </c>
      <c r="F6961" s="13"/>
      <c r="G6961" s="13">
        <v>5700</v>
      </c>
    </row>
    <row r="6962" spans="1:7" hidden="1" x14ac:dyDescent="0.75">
      <c r="A6962" s="51">
        <v>44952</v>
      </c>
      <c r="B6962" s="52">
        <v>408</v>
      </c>
      <c r="C6962" s="8" t="s">
        <v>2695</v>
      </c>
      <c r="D6962" s="8" t="s">
        <v>760</v>
      </c>
      <c r="E6962" s="52">
        <v>883</v>
      </c>
      <c r="F6962" s="13"/>
      <c r="G6962" s="13">
        <v>4499.8999999999996</v>
      </c>
    </row>
    <row r="6963" spans="1:7" hidden="1" x14ac:dyDescent="0.75">
      <c r="A6963" s="51">
        <v>44952</v>
      </c>
      <c r="B6963" s="52">
        <v>408</v>
      </c>
      <c r="C6963" s="8" t="s">
        <v>2696</v>
      </c>
      <c r="D6963" s="8" t="s">
        <v>760</v>
      </c>
      <c r="E6963" s="52">
        <v>883</v>
      </c>
      <c r="F6963" s="13"/>
      <c r="G6963" s="13">
        <v>660</v>
      </c>
    </row>
    <row r="6964" spans="1:7" hidden="1" x14ac:dyDescent="0.75">
      <c r="A6964" s="51">
        <v>44952</v>
      </c>
      <c r="B6964" s="52">
        <v>408</v>
      </c>
      <c r="C6964" s="8" t="s">
        <v>2716</v>
      </c>
      <c r="D6964" s="8" t="s">
        <v>760</v>
      </c>
      <c r="E6964" s="52">
        <v>885</v>
      </c>
      <c r="F6964" s="13"/>
      <c r="G6964" s="13">
        <v>928.1</v>
      </c>
    </row>
    <row r="6965" spans="1:7" hidden="1" x14ac:dyDescent="0.75">
      <c r="A6965" s="51">
        <v>44952</v>
      </c>
      <c r="B6965" s="52">
        <v>408</v>
      </c>
      <c r="C6965" s="8" t="s">
        <v>2734</v>
      </c>
      <c r="D6965" s="8" t="s">
        <v>760</v>
      </c>
      <c r="E6965" s="52">
        <v>882</v>
      </c>
      <c r="F6965" s="13"/>
      <c r="G6965" s="13">
        <v>372.2</v>
      </c>
    </row>
    <row r="6966" spans="1:7" hidden="1" x14ac:dyDescent="0.75">
      <c r="A6966" s="51">
        <v>44952</v>
      </c>
      <c r="B6966" s="52">
        <v>408</v>
      </c>
      <c r="C6966" s="8" t="s">
        <v>2766</v>
      </c>
      <c r="D6966" s="8" t="s">
        <v>760</v>
      </c>
      <c r="E6966" s="52">
        <v>884</v>
      </c>
      <c r="F6966" s="13"/>
      <c r="G6966" s="13">
        <v>4205.6000000000004</v>
      </c>
    </row>
    <row r="6967" spans="1:7" hidden="1" x14ac:dyDescent="0.75">
      <c r="A6967" s="51">
        <v>44952</v>
      </c>
      <c r="B6967" s="52">
        <v>408</v>
      </c>
      <c r="C6967" s="8" t="s">
        <v>2767</v>
      </c>
      <c r="D6967" s="8" t="s">
        <v>760</v>
      </c>
      <c r="E6967" s="52">
        <v>884</v>
      </c>
      <c r="F6967" s="13"/>
      <c r="G6967" s="13">
        <v>1100</v>
      </c>
    </row>
    <row r="6968" spans="1:7" hidden="1" x14ac:dyDescent="0.75">
      <c r="A6968" s="51">
        <v>44952</v>
      </c>
      <c r="B6968" s="52">
        <v>408</v>
      </c>
      <c r="C6968" s="8" t="s">
        <v>2781</v>
      </c>
      <c r="D6968" s="8" t="s">
        <v>760</v>
      </c>
      <c r="E6968" s="52">
        <v>881</v>
      </c>
      <c r="F6968" s="13"/>
      <c r="G6968" s="13">
        <v>786</v>
      </c>
    </row>
    <row r="6969" spans="1:7" hidden="1" x14ac:dyDescent="0.75">
      <c r="A6969" s="51">
        <v>44952</v>
      </c>
      <c r="B6969" s="52">
        <v>408</v>
      </c>
      <c r="C6969" s="8" t="s">
        <v>2811</v>
      </c>
      <c r="D6969" s="8" t="s">
        <v>760</v>
      </c>
      <c r="E6969" s="52">
        <v>1025</v>
      </c>
      <c r="F6969" s="13"/>
      <c r="G6969" s="13">
        <v>2091.1</v>
      </c>
    </row>
    <row r="6970" spans="1:7" hidden="1" x14ac:dyDescent="0.75">
      <c r="A6970" s="51">
        <v>44952</v>
      </c>
      <c r="B6970" s="52">
        <v>408</v>
      </c>
      <c r="C6970" s="8" t="s">
        <v>2812</v>
      </c>
      <c r="D6970" s="8" t="s">
        <v>760</v>
      </c>
      <c r="E6970" s="52">
        <v>1025</v>
      </c>
      <c r="F6970" s="13"/>
      <c r="G6970" s="13">
        <v>220</v>
      </c>
    </row>
    <row r="6971" spans="1:7" hidden="1" x14ac:dyDescent="0.75">
      <c r="A6971" s="51">
        <v>44952</v>
      </c>
      <c r="B6971" s="52">
        <v>408</v>
      </c>
      <c r="C6971" s="8" t="s">
        <v>2974</v>
      </c>
      <c r="D6971" s="8" t="s">
        <v>760</v>
      </c>
      <c r="E6971" s="52">
        <v>1765</v>
      </c>
      <c r="F6971" s="13"/>
      <c r="G6971" s="13">
        <v>1933.05</v>
      </c>
    </row>
    <row r="6972" spans="1:7" hidden="1" x14ac:dyDescent="0.75">
      <c r="A6972" s="51">
        <v>44952</v>
      </c>
      <c r="B6972" s="52">
        <v>408</v>
      </c>
      <c r="C6972" s="8" t="s">
        <v>2221</v>
      </c>
      <c r="D6972" s="8" t="s">
        <v>760</v>
      </c>
      <c r="E6972" s="52">
        <v>1736</v>
      </c>
      <c r="F6972" s="13"/>
      <c r="G6972" s="13">
        <v>604.12</v>
      </c>
    </row>
    <row r="6973" spans="1:7" hidden="1" x14ac:dyDescent="0.75">
      <c r="A6973" s="51">
        <v>44952</v>
      </c>
      <c r="B6973" s="52">
        <v>408</v>
      </c>
      <c r="C6973" s="8" t="s">
        <v>2222</v>
      </c>
      <c r="D6973" s="8" t="s">
        <v>760</v>
      </c>
      <c r="E6973" s="52">
        <v>1736</v>
      </c>
      <c r="F6973" s="13"/>
      <c r="G6973" s="13">
        <v>2203.46</v>
      </c>
    </row>
    <row r="6974" spans="1:7" hidden="1" x14ac:dyDescent="0.75">
      <c r="A6974" s="51">
        <v>44952</v>
      </c>
      <c r="B6974" s="52">
        <v>408</v>
      </c>
      <c r="C6974" s="8" t="s">
        <v>3120</v>
      </c>
      <c r="D6974" s="8" t="s">
        <v>760</v>
      </c>
      <c r="E6974" s="52">
        <v>1789</v>
      </c>
      <c r="F6974" s="13"/>
      <c r="G6974" s="13">
        <v>384.5</v>
      </c>
    </row>
    <row r="6975" spans="1:7" hidden="1" x14ac:dyDescent="0.75">
      <c r="A6975" s="51">
        <v>44952</v>
      </c>
      <c r="B6975" s="52">
        <v>408</v>
      </c>
      <c r="C6975" s="8" t="s">
        <v>2862</v>
      </c>
      <c r="D6975" s="8" t="s">
        <v>760</v>
      </c>
      <c r="E6975" s="52">
        <v>1788</v>
      </c>
      <c r="F6975" s="13"/>
      <c r="G6975" s="13">
        <v>384.5</v>
      </c>
    </row>
    <row r="6976" spans="1:7" hidden="1" x14ac:dyDescent="0.75">
      <c r="A6976" s="51">
        <v>44952</v>
      </c>
      <c r="B6976" s="52">
        <v>408</v>
      </c>
      <c r="C6976" s="8" t="s">
        <v>2635</v>
      </c>
      <c r="D6976" s="8" t="s">
        <v>760</v>
      </c>
      <c r="E6976" s="52">
        <v>1024</v>
      </c>
      <c r="F6976" s="13"/>
      <c r="G6976" s="13">
        <v>2120</v>
      </c>
    </row>
    <row r="6977" spans="1:7" hidden="1" x14ac:dyDescent="0.75">
      <c r="A6977" s="51">
        <v>44952</v>
      </c>
      <c r="B6977" s="52">
        <v>408</v>
      </c>
      <c r="C6977" s="8" t="s">
        <v>2636</v>
      </c>
      <c r="D6977" s="8" t="s">
        <v>760</v>
      </c>
      <c r="E6977" s="52">
        <v>1024</v>
      </c>
      <c r="F6977" s="13"/>
      <c r="G6977" s="13">
        <v>3500</v>
      </c>
    </row>
    <row r="6978" spans="1:7" hidden="1" x14ac:dyDescent="0.75">
      <c r="A6978" s="51">
        <v>44952</v>
      </c>
      <c r="B6978" s="52">
        <v>408</v>
      </c>
      <c r="C6978" s="8" t="s">
        <v>2637</v>
      </c>
      <c r="D6978" s="8" t="s">
        <v>760</v>
      </c>
      <c r="E6978" s="52">
        <v>1024</v>
      </c>
      <c r="F6978" s="13"/>
      <c r="G6978" s="13">
        <v>258.5</v>
      </c>
    </row>
    <row r="6979" spans="1:7" hidden="1" x14ac:dyDescent="0.75">
      <c r="A6979" s="51">
        <v>44952</v>
      </c>
      <c r="B6979" s="52">
        <v>408</v>
      </c>
      <c r="C6979" s="8" t="s">
        <v>2638</v>
      </c>
      <c r="D6979" s="8" t="s">
        <v>760</v>
      </c>
      <c r="E6979" s="52">
        <v>1024</v>
      </c>
      <c r="F6979" s="13"/>
      <c r="G6979" s="13">
        <v>871</v>
      </c>
    </row>
    <row r="6980" spans="1:7" hidden="1" x14ac:dyDescent="0.75">
      <c r="A6980" s="51">
        <v>44952</v>
      </c>
      <c r="B6980" s="52">
        <v>408</v>
      </c>
      <c r="C6980" s="8" t="s">
        <v>2845</v>
      </c>
      <c r="D6980" s="8" t="s">
        <v>760</v>
      </c>
      <c r="E6980" s="52">
        <v>707</v>
      </c>
      <c r="F6980" s="13"/>
      <c r="G6980" s="13">
        <v>1254.55</v>
      </c>
    </row>
    <row r="6981" spans="1:7" hidden="1" x14ac:dyDescent="0.75">
      <c r="A6981" s="51">
        <v>44952</v>
      </c>
      <c r="B6981" s="52">
        <v>408</v>
      </c>
      <c r="C6981" s="8" t="s">
        <v>2846</v>
      </c>
      <c r="D6981" s="8" t="s">
        <v>760</v>
      </c>
      <c r="E6981" s="52">
        <v>707</v>
      </c>
      <c r="F6981" s="13"/>
      <c r="G6981" s="13">
        <v>3270</v>
      </c>
    </row>
    <row r="6982" spans="1:7" hidden="1" x14ac:dyDescent="0.75">
      <c r="A6982" s="51">
        <v>44952</v>
      </c>
      <c r="B6982" s="52">
        <v>408</v>
      </c>
      <c r="C6982" s="8" t="s">
        <v>2109</v>
      </c>
      <c r="D6982" s="8" t="s">
        <v>760</v>
      </c>
      <c r="E6982" s="52">
        <v>720</v>
      </c>
      <c r="F6982" s="13"/>
      <c r="G6982" s="13">
        <v>2196.1999999999998</v>
      </c>
    </row>
    <row r="6983" spans="1:7" hidden="1" x14ac:dyDescent="0.75">
      <c r="A6983" s="51">
        <v>44952</v>
      </c>
      <c r="B6983" s="52">
        <v>408</v>
      </c>
      <c r="C6983" s="8" t="s">
        <v>3104</v>
      </c>
      <c r="D6983" s="8" t="s">
        <v>760</v>
      </c>
      <c r="E6983" s="52">
        <v>1747</v>
      </c>
      <c r="F6983" s="13"/>
      <c r="G6983" s="13">
        <v>801.6</v>
      </c>
    </row>
    <row r="6984" spans="1:7" hidden="1" x14ac:dyDescent="0.75">
      <c r="A6984" s="51">
        <v>44952</v>
      </c>
      <c r="B6984" s="52">
        <v>408</v>
      </c>
      <c r="C6984" s="8" t="s">
        <v>3075</v>
      </c>
      <c r="D6984" s="8" t="s">
        <v>760</v>
      </c>
      <c r="E6984" s="52">
        <v>1696</v>
      </c>
      <c r="F6984" s="13"/>
      <c r="G6984" s="13">
        <v>469</v>
      </c>
    </row>
    <row r="6985" spans="1:7" hidden="1" x14ac:dyDescent="0.75">
      <c r="A6985" s="51">
        <v>44952</v>
      </c>
      <c r="B6985" s="52">
        <v>408</v>
      </c>
      <c r="C6985" s="8" t="s">
        <v>3023</v>
      </c>
      <c r="D6985" s="8" t="s">
        <v>760</v>
      </c>
      <c r="E6985" s="52">
        <v>1748</v>
      </c>
      <c r="F6985" s="13"/>
      <c r="G6985" s="13">
        <v>801.6</v>
      </c>
    </row>
    <row r="6986" spans="1:7" hidden="1" x14ac:dyDescent="0.75">
      <c r="A6986" s="51">
        <v>44952</v>
      </c>
      <c r="B6986" s="52">
        <v>408</v>
      </c>
      <c r="C6986" s="8" t="s">
        <v>3048</v>
      </c>
      <c r="D6986" s="8" t="s">
        <v>760</v>
      </c>
      <c r="E6986" s="52">
        <v>1752</v>
      </c>
      <c r="F6986" s="13"/>
      <c r="G6986" s="13">
        <v>622.65</v>
      </c>
    </row>
    <row r="6987" spans="1:7" hidden="1" x14ac:dyDescent="0.75">
      <c r="A6987" s="51">
        <v>44952</v>
      </c>
      <c r="B6987" s="52">
        <v>408</v>
      </c>
      <c r="C6987" s="8" t="s">
        <v>3076</v>
      </c>
      <c r="D6987" s="8" t="s">
        <v>760</v>
      </c>
      <c r="E6987" s="52">
        <v>1696</v>
      </c>
      <c r="F6987" s="13"/>
      <c r="G6987" s="13">
        <v>305.10000000000002</v>
      </c>
    </row>
    <row r="6988" spans="1:7" hidden="1" x14ac:dyDescent="0.75">
      <c r="A6988" s="51">
        <v>44952</v>
      </c>
      <c r="B6988" s="52">
        <v>408</v>
      </c>
      <c r="C6988" s="8" t="s">
        <v>2998</v>
      </c>
      <c r="D6988" s="8" t="s">
        <v>760</v>
      </c>
      <c r="E6988" s="52">
        <v>1751</v>
      </c>
      <c r="F6988" s="13"/>
      <c r="G6988" s="13">
        <v>1462.8</v>
      </c>
    </row>
    <row r="6989" spans="1:7" hidden="1" x14ac:dyDescent="0.75">
      <c r="A6989" s="51">
        <v>44952</v>
      </c>
      <c r="B6989" s="52">
        <v>408</v>
      </c>
      <c r="C6989" s="8" t="s">
        <v>3024</v>
      </c>
      <c r="D6989" s="8" t="s">
        <v>760</v>
      </c>
      <c r="E6989" s="52">
        <v>1748</v>
      </c>
      <c r="F6989" s="13"/>
      <c r="G6989" s="13">
        <v>576.70000000000005</v>
      </c>
    </row>
    <row r="6990" spans="1:7" hidden="1" x14ac:dyDescent="0.75">
      <c r="A6990" s="51">
        <v>44952</v>
      </c>
      <c r="B6990" s="52">
        <v>408</v>
      </c>
      <c r="C6990" s="8" t="s">
        <v>3049</v>
      </c>
      <c r="D6990" s="8" t="s">
        <v>760</v>
      </c>
      <c r="E6990" s="52">
        <v>1752</v>
      </c>
      <c r="F6990" s="13"/>
      <c r="G6990" s="13">
        <v>801.6</v>
      </c>
    </row>
    <row r="6991" spans="1:7" hidden="1" x14ac:dyDescent="0.75">
      <c r="A6991" s="51">
        <v>44952</v>
      </c>
      <c r="B6991" s="52">
        <v>408</v>
      </c>
      <c r="C6991" s="8" t="s">
        <v>3105</v>
      </c>
      <c r="D6991" s="8" t="s">
        <v>760</v>
      </c>
      <c r="E6991" s="52">
        <v>1747</v>
      </c>
      <c r="F6991" s="13"/>
      <c r="G6991" s="13">
        <v>1412.7</v>
      </c>
    </row>
    <row r="6992" spans="1:7" hidden="1" x14ac:dyDescent="0.75">
      <c r="A6992" s="51">
        <v>44952</v>
      </c>
      <c r="B6992" s="52">
        <v>408</v>
      </c>
      <c r="C6992" s="8" t="s">
        <v>2999</v>
      </c>
      <c r="D6992" s="8" t="s">
        <v>760</v>
      </c>
      <c r="E6992" s="52">
        <v>1751</v>
      </c>
      <c r="F6992" s="13"/>
      <c r="G6992" s="13">
        <v>1170.2</v>
      </c>
    </row>
    <row r="6993" spans="1:7" hidden="1" x14ac:dyDescent="0.75">
      <c r="A6993" s="51">
        <v>44952</v>
      </c>
      <c r="B6993" s="52">
        <v>408</v>
      </c>
      <c r="C6993" s="8" t="s">
        <v>2094</v>
      </c>
      <c r="D6993" s="8" t="s">
        <v>760</v>
      </c>
      <c r="E6993" s="52">
        <v>710</v>
      </c>
      <c r="F6993" s="13"/>
      <c r="G6993" s="13">
        <v>1070.68</v>
      </c>
    </row>
    <row r="6994" spans="1:7" hidden="1" x14ac:dyDescent="0.75">
      <c r="A6994" s="51">
        <v>44952</v>
      </c>
      <c r="B6994" s="52">
        <v>408</v>
      </c>
      <c r="C6994" s="8" t="s">
        <v>2170</v>
      </c>
      <c r="D6994" s="8" t="s">
        <v>760</v>
      </c>
      <c r="E6994" s="52">
        <v>716</v>
      </c>
      <c r="F6994" s="13"/>
      <c r="G6994" s="13">
        <v>472.36</v>
      </c>
    </row>
    <row r="6995" spans="1:7" hidden="1" x14ac:dyDescent="0.75">
      <c r="A6995" s="51">
        <v>44952</v>
      </c>
      <c r="B6995" s="52">
        <v>408</v>
      </c>
      <c r="C6995" s="8" t="s">
        <v>2330</v>
      </c>
      <c r="D6995" s="8" t="s">
        <v>760</v>
      </c>
      <c r="E6995" s="52">
        <v>717</v>
      </c>
      <c r="F6995" s="13"/>
      <c r="G6995" s="13">
        <v>1645.55</v>
      </c>
    </row>
    <row r="6996" spans="1:7" hidden="1" x14ac:dyDescent="0.75">
      <c r="A6996" s="51">
        <v>44952</v>
      </c>
      <c r="B6996" s="52">
        <v>408</v>
      </c>
      <c r="C6996" s="8" t="s">
        <v>2478</v>
      </c>
      <c r="D6996" s="8" t="s">
        <v>760</v>
      </c>
      <c r="E6996" s="52">
        <v>714</v>
      </c>
      <c r="F6996" s="13"/>
      <c r="G6996" s="13">
        <v>764</v>
      </c>
    </row>
    <row r="6997" spans="1:7" hidden="1" x14ac:dyDescent="0.75">
      <c r="A6997" s="51">
        <v>44952</v>
      </c>
      <c r="B6997" s="52">
        <v>408</v>
      </c>
      <c r="C6997" s="8" t="s">
        <v>1988</v>
      </c>
      <c r="D6997" s="8" t="s">
        <v>760</v>
      </c>
      <c r="E6997" s="52">
        <v>1124</v>
      </c>
      <c r="F6997" s="13"/>
      <c r="G6997" s="13">
        <v>2811.3</v>
      </c>
    </row>
    <row r="6998" spans="1:7" hidden="1" x14ac:dyDescent="0.75">
      <c r="A6998" s="51">
        <v>44952</v>
      </c>
      <c r="B6998" s="52">
        <v>408</v>
      </c>
      <c r="C6998" s="8" t="s">
        <v>2059</v>
      </c>
      <c r="D6998" s="8" t="s">
        <v>760</v>
      </c>
      <c r="E6998" s="52">
        <v>711</v>
      </c>
      <c r="F6998" s="13"/>
      <c r="G6998" s="13">
        <v>1620.23</v>
      </c>
    </row>
    <row r="6999" spans="1:7" hidden="1" x14ac:dyDescent="0.75">
      <c r="A6999" s="51">
        <v>44952</v>
      </c>
      <c r="B6999" s="52">
        <v>408</v>
      </c>
      <c r="C6999" s="8" t="s">
        <v>2144</v>
      </c>
      <c r="D6999" s="8" t="s">
        <v>760</v>
      </c>
      <c r="E6999" s="52">
        <v>712</v>
      </c>
      <c r="F6999" s="13"/>
      <c r="G6999" s="13">
        <v>1223.78</v>
      </c>
    </row>
    <row r="7000" spans="1:7" hidden="1" x14ac:dyDescent="0.75">
      <c r="A7000" s="51">
        <v>44952</v>
      </c>
      <c r="B7000" s="52">
        <v>408</v>
      </c>
      <c r="C7000" s="8" t="s">
        <v>2383</v>
      </c>
      <c r="D7000" s="8" t="s">
        <v>760</v>
      </c>
      <c r="E7000" s="52">
        <v>1818</v>
      </c>
      <c r="F7000" s="13"/>
      <c r="G7000" s="13">
        <v>1639.4</v>
      </c>
    </row>
    <row r="7001" spans="1:7" hidden="1" x14ac:dyDescent="0.75">
      <c r="A7001" s="51">
        <v>44952</v>
      </c>
      <c r="B7001" s="52">
        <v>408</v>
      </c>
      <c r="C7001" s="8" t="s">
        <v>2026</v>
      </c>
      <c r="D7001" s="8" t="s">
        <v>760</v>
      </c>
      <c r="E7001" s="52">
        <v>713</v>
      </c>
      <c r="F7001" s="13"/>
      <c r="G7001" s="13">
        <v>627.99</v>
      </c>
    </row>
    <row r="7002" spans="1:7" hidden="1" x14ac:dyDescent="0.75">
      <c r="A7002" s="51">
        <v>44952</v>
      </c>
      <c r="B7002" s="52">
        <v>408</v>
      </c>
      <c r="C7002" s="8" t="s">
        <v>2639</v>
      </c>
      <c r="D7002" s="8" t="s">
        <v>760</v>
      </c>
      <c r="E7002" s="52">
        <v>1024</v>
      </c>
      <c r="F7002" s="13"/>
      <c r="G7002" s="13">
        <v>231</v>
      </c>
    </row>
    <row r="7003" spans="1:7" hidden="1" x14ac:dyDescent="0.75">
      <c r="A7003" s="51">
        <v>44952</v>
      </c>
      <c r="B7003" s="52">
        <v>408</v>
      </c>
      <c r="C7003" s="8" t="s">
        <v>2640</v>
      </c>
      <c r="D7003" s="8" t="s">
        <v>760</v>
      </c>
      <c r="E7003" s="52">
        <v>1024</v>
      </c>
      <c r="F7003" s="13"/>
      <c r="G7003" s="13">
        <v>679</v>
      </c>
    </row>
    <row r="7004" spans="1:7" hidden="1" x14ac:dyDescent="0.75">
      <c r="A7004" s="51">
        <v>44952</v>
      </c>
      <c r="B7004" s="52">
        <v>408</v>
      </c>
      <c r="C7004" s="8" t="s">
        <v>2641</v>
      </c>
      <c r="D7004" s="8" t="s">
        <v>760</v>
      </c>
      <c r="E7004" s="52">
        <v>1024</v>
      </c>
      <c r="F7004" s="13"/>
      <c r="G7004" s="13">
        <v>1108.3900000000001</v>
      </c>
    </row>
    <row r="7005" spans="1:7" hidden="1" x14ac:dyDescent="0.75">
      <c r="A7005" s="51">
        <v>44953</v>
      </c>
      <c r="B7005" s="52">
        <v>408</v>
      </c>
      <c r="C7005" s="8" t="s">
        <v>2948</v>
      </c>
      <c r="D7005" s="8" t="s">
        <v>760</v>
      </c>
      <c r="E7005" s="52">
        <v>1508</v>
      </c>
      <c r="F7005" s="13"/>
      <c r="G7005" s="13">
        <v>1758.5</v>
      </c>
    </row>
    <row r="7006" spans="1:7" hidden="1" x14ac:dyDescent="0.75">
      <c r="A7006" s="51">
        <v>44953</v>
      </c>
      <c r="B7006" s="52">
        <v>408</v>
      </c>
      <c r="C7006" s="8" t="s">
        <v>2949</v>
      </c>
      <c r="D7006" s="8" t="s">
        <v>760</v>
      </c>
      <c r="E7006" s="52">
        <v>1508</v>
      </c>
      <c r="F7006" s="13"/>
      <c r="G7006" s="13">
        <v>1675</v>
      </c>
    </row>
    <row r="7007" spans="1:7" hidden="1" x14ac:dyDescent="0.75">
      <c r="A7007" s="51">
        <v>44953</v>
      </c>
      <c r="B7007" s="52">
        <v>408</v>
      </c>
      <c r="C7007" s="8" t="s">
        <v>2642</v>
      </c>
      <c r="D7007" s="8" t="s">
        <v>760</v>
      </c>
      <c r="E7007" s="52">
        <v>1024</v>
      </c>
      <c r="F7007" s="13"/>
      <c r="G7007" s="13">
        <v>795</v>
      </c>
    </row>
    <row r="7008" spans="1:7" hidden="1" x14ac:dyDescent="0.75">
      <c r="A7008" s="51">
        <v>44953</v>
      </c>
      <c r="B7008" s="52">
        <v>408</v>
      </c>
      <c r="C7008" s="8" t="s">
        <v>2643</v>
      </c>
      <c r="D7008" s="8" t="s">
        <v>760</v>
      </c>
      <c r="E7008" s="52">
        <v>1024</v>
      </c>
      <c r="F7008" s="13"/>
      <c r="G7008" s="13">
        <v>255</v>
      </c>
    </row>
    <row r="7009" spans="1:7" hidden="1" x14ac:dyDescent="0.75">
      <c r="A7009" s="51">
        <v>44953</v>
      </c>
      <c r="B7009" s="52">
        <v>408</v>
      </c>
      <c r="C7009" s="8" t="s">
        <v>2644</v>
      </c>
      <c r="D7009" s="8" t="s">
        <v>760</v>
      </c>
      <c r="E7009" s="52">
        <v>1024</v>
      </c>
      <c r="F7009" s="13"/>
      <c r="G7009" s="13">
        <v>272</v>
      </c>
    </row>
    <row r="7010" spans="1:7" hidden="1" x14ac:dyDescent="0.75">
      <c r="A7010" s="51">
        <v>44953</v>
      </c>
      <c r="B7010" s="52">
        <v>408</v>
      </c>
      <c r="C7010" s="8" t="s">
        <v>2645</v>
      </c>
      <c r="D7010" s="8" t="s">
        <v>760</v>
      </c>
      <c r="E7010" s="52">
        <v>1024</v>
      </c>
      <c r="F7010" s="13"/>
      <c r="G7010" s="13">
        <v>4360</v>
      </c>
    </row>
    <row r="7011" spans="1:7" hidden="1" x14ac:dyDescent="0.75">
      <c r="A7011" s="51">
        <v>44953</v>
      </c>
      <c r="B7011" s="52">
        <v>408</v>
      </c>
      <c r="C7011" s="8" t="s">
        <v>2646</v>
      </c>
      <c r="D7011" s="8" t="s">
        <v>760</v>
      </c>
      <c r="E7011" s="52">
        <v>1024</v>
      </c>
      <c r="F7011" s="13"/>
      <c r="G7011" s="13">
        <v>2210</v>
      </c>
    </row>
    <row r="7012" spans="1:7" hidden="1" x14ac:dyDescent="0.75">
      <c r="A7012" s="51">
        <v>44953</v>
      </c>
      <c r="B7012" s="52">
        <v>408</v>
      </c>
      <c r="C7012" s="8" t="s">
        <v>2647</v>
      </c>
      <c r="D7012" s="8" t="s">
        <v>760</v>
      </c>
      <c r="E7012" s="52">
        <v>1024</v>
      </c>
      <c r="F7012" s="13"/>
      <c r="G7012" s="13">
        <v>414</v>
      </c>
    </row>
    <row r="7013" spans="1:7" hidden="1" x14ac:dyDescent="0.75">
      <c r="A7013" s="51">
        <v>44953</v>
      </c>
      <c r="B7013" s="52">
        <v>408</v>
      </c>
      <c r="C7013" s="8" t="s">
        <v>2648</v>
      </c>
      <c r="D7013" s="8" t="s">
        <v>760</v>
      </c>
      <c r="E7013" s="52">
        <v>1024</v>
      </c>
      <c r="F7013" s="13"/>
      <c r="G7013" s="13">
        <v>89.5</v>
      </c>
    </row>
    <row r="7014" spans="1:7" hidden="1" x14ac:dyDescent="0.75">
      <c r="A7014" s="51">
        <v>44953</v>
      </c>
      <c r="B7014" s="52">
        <v>408</v>
      </c>
      <c r="C7014" s="8" t="s">
        <v>2649</v>
      </c>
      <c r="D7014" s="8" t="s">
        <v>760</v>
      </c>
      <c r="E7014" s="52">
        <v>1024</v>
      </c>
      <c r="F7014" s="13"/>
      <c r="G7014" s="13">
        <v>401.6</v>
      </c>
    </row>
    <row r="7015" spans="1:7" hidden="1" x14ac:dyDescent="0.75">
      <c r="A7015" s="51">
        <v>44953</v>
      </c>
      <c r="B7015" s="52">
        <v>408</v>
      </c>
      <c r="C7015" s="8" t="s">
        <v>2847</v>
      </c>
      <c r="D7015" s="8" t="s">
        <v>760</v>
      </c>
      <c r="E7015" s="52">
        <v>707</v>
      </c>
      <c r="F7015" s="13"/>
      <c r="G7015" s="13">
        <v>1713.65</v>
      </c>
    </row>
    <row r="7016" spans="1:7" hidden="1" x14ac:dyDescent="0.75">
      <c r="A7016" s="51">
        <v>44953</v>
      </c>
      <c r="B7016" s="52">
        <v>408</v>
      </c>
      <c r="C7016" s="8" t="s">
        <v>2283</v>
      </c>
      <c r="D7016" s="8" t="s">
        <v>760</v>
      </c>
      <c r="E7016" s="52">
        <v>806</v>
      </c>
      <c r="F7016" s="13"/>
      <c r="G7016" s="13">
        <v>3724</v>
      </c>
    </row>
    <row r="7017" spans="1:7" hidden="1" x14ac:dyDescent="0.75">
      <c r="A7017" s="51">
        <v>44953</v>
      </c>
      <c r="B7017" s="52">
        <v>408</v>
      </c>
      <c r="C7017" s="8" t="s">
        <v>2284</v>
      </c>
      <c r="D7017" s="8" t="s">
        <v>760</v>
      </c>
      <c r="E7017" s="52">
        <v>806</v>
      </c>
      <c r="F7017" s="13"/>
      <c r="G7017" s="13">
        <v>990</v>
      </c>
    </row>
    <row r="7018" spans="1:7" hidden="1" x14ac:dyDescent="0.75">
      <c r="A7018" s="51">
        <v>44953</v>
      </c>
      <c r="B7018" s="52">
        <v>408</v>
      </c>
      <c r="C7018" s="8" t="s">
        <v>2249</v>
      </c>
      <c r="D7018" s="8" t="s">
        <v>760</v>
      </c>
      <c r="E7018" s="52">
        <v>804</v>
      </c>
      <c r="F7018" s="13"/>
      <c r="G7018" s="13">
        <v>1016</v>
      </c>
    </row>
    <row r="7019" spans="1:7" hidden="1" x14ac:dyDescent="0.75">
      <c r="A7019" s="51">
        <v>44953</v>
      </c>
      <c r="B7019" s="52">
        <v>408</v>
      </c>
      <c r="C7019" s="8" t="s">
        <v>2250</v>
      </c>
      <c r="D7019" s="8" t="s">
        <v>760</v>
      </c>
      <c r="E7019" s="52">
        <v>804</v>
      </c>
      <c r="F7019" s="13"/>
      <c r="G7019" s="13">
        <v>1188</v>
      </c>
    </row>
    <row r="7020" spans="1:7" hidden="1" x14ac:dyDescent="0.75">
      <c r="A7020" s="51">
        <v>44953</v>
      </c>
      <c r="B7020" s="52">
        <v>408</v>
      </c>
      <c r="C7020" s="8" t="s">
        <v>2230</v>
      </c>
      <c r="D7020" s="8" t="s">
        <v>760</v>
      </c>
      <c r="E7020" s="52">
        <v>1739</v>
      </c>
      <c r="F7020" s="13"/>
      <c r="G7020" s="13">
        <v>973.52</v>
      </c>
    </row>
    <row r="7021" spans="1:7" hidden="1" x14ac:dyDescent="0.75">
      <c r="A7021" s="51">
        <v>44953</v>
      </c>
      <c r="B7021" s="52">
        <v>408</v>
      </c>
      <c r="C7021" s="8" t="s">
        <v>2436</v>
      </c>
      <c r="D7021" s="8" t="s">
        <v>760</v>
      </c>
      <c r="E7021" s="52">
        <v>1821</v>
      </c>
      <c r="F7021" s="13"/>
      <c r="G7021" s="13">
        <v>269.7</v>
      </c>
    </row>
    <row r="7022" spans="1:7" hidden="1" x14ac:dyDescent="0.75">
      <c r="A7022" s="51">
        <v>44953</v>
      </c>
      <c r="B7022" s="52">
        <v>408</v>
      </c>
      <c r="C7022" s="8" t="s">
        <v>2384</v>
      </c>
      <c r="D7022" s="8" t="s">
        <v>760</v>
      </c>
      <c r="E7022" s="52">
        <v>1818</v>
      </c>
      <c r="F7022" s="13"/>
      <c r="G7022" s="13">
        <v>3226.9</v>
      </c>
    </row>
    <row r="7023" spans="1:7" hidden="1" x14ac:dyDescent="0.75">
      <c r="A7023" s="51">
        <v>44953</v>
      </c>
      <c r="B7023" s="52">
        <v>408</v>
      </c>
      <c r="C7023" s="8" t="s">
        <v>2331</v>
      </c>
      <c r="D7023" s="8" t="s">
        <v>760</v>
      </c>
      <c r="E7023" s="52">
        <v>717</v>
      </c>
      <c r="F7023" s="13"/>
      <c r="G7023" s="13">
        <v>1615.6</v>
      </c>
    </row>
    <row r="7024" spans="1:7" hidden="1" x14ac:dyDescent="0.75">
      <c r="A7024" s="51">
        <v>44953</v>
      </c>
      <c r="B7024" s="52">
        <v>408</v>
      </c>
      <c r="C7024" s="8" t="s">
        <v>2171</v>
      </c>
      <c r="D7024" s="8" t="s">
        <v>760</v>
      </c>
      <c r="E7024" s="52">
        <v>716</v>
      </c>
      <c r="F7024" s="13"/>
      <c r="G7024" s="13">
        <v>813.88</v>
      </c>
    </row>
    <row r="7025" spans="1:7" hidden="1" x14ac:dyDescent="0.75">
      <c r="A7025" s="51">
        <v>44953</v>
      </c>
      <c r="B7025" s="52">
        <v>408</v>
      </c>
      <c r="C7025" s="8" t="s">
        <v>2095</v>
      </c>
      <c r="D7025" s="8" t="s">
        <v>760</v>
      </c>
      <c r="E7025" s="52">
        <v>710</v>
      </c>
      <c r="F7025" s="13"/>
      <c r="G7025" s="13">
        <v>1737.51</v>
      </c>
    </row>
    <row r="7026" spans="1:7" hidden="1" x14ac:dyDescent="0.75">
      <c r="A7026" s="51">
        <v>44953</v>
      </c>
      <c r="B7026" s="52">
        <v>408</v>
      </c>
      <c r="C7026" s="8" t="s">
        <v>2479</v>
      </c>
      <c r="D7026" s="8" t="s">
        <v>760</v>
      </c>
      <c r="E7026" s="52">
        <v>714</v>
      </c>
      <c r="F7026" s="13"/>
      <c r="G7026" s="13">
        <v>1436.8</v>
      </c>
    </row>
    <row r="7027" spans="1:7" hidden="1" x14ac:dyDescent="0.75">
      <c r="A7027" s="51">
        <v>44953</v>
      </c>
      <c r="B7027" s="52">
        <v>408</v>
      </c>
      <c r="C7027" s="8" t="s">
        <v>1989</v>
      </c>
      <c r="D7027" s="8" t="s">
        <v>760</v>
      </c>
      <c r="E7027" s="52">
        <v>1124</v>
      </c>
      <c r="F7027" s="13"/>
      <c r="G7027" s="13">
        <v>2426.4299999999998</v>
      </c>
    </row>
    <row r="7028" spans="1:7" hidden="1" x14ac:dyDescent="0.75">
      <c r="A7028" s="51">
        <v>44953</v>
      </c>
      <c r="B7028" s="52">
        <v>408</v>
      </c>
      <c r="C7028" s="8" t="s">
        <v>2060</v>
      </c>
      <c r="D7028" s="8" t="s">
        <v>760</v>
      </c>
      <c r="E7028" s="52">
        <v>711</v>
      </c>
      <c r="F7028" s="13"/>
      <c r="G7028" s="13">
        <v>1398.54</v>
      </c>
    </row>
    <row r="7029" spans="1:7" hidden="1" x14ac:dyDescent="0.75">
      <c r="A7029" s="51">
        <v>44953</v>
      </c>
      <c r="B7029" s="52">
        <v>408</v>
      </c>
      <c r="C7029" s="8" t="s">
        <v>2145</v>
      </c>
      <c r="D7029" s="8" t="s">
        <v>760</v>
      </c>
      <c r="E7029" s="52">
        <v>712</v>
      </c>
      <c r="F7029" s="13"/>
      <c r="G7029" s="13">
        <v>3904.71</v>
      </c>
    </row>
    <row r="7030" spans="1:7" hidden="1" x14ac:dyDescent="0.75">
      <c r="A7030" s="51">
        <v>44953</v>
      </c>
      <c r="B7030" s="52">
        <v>408</v>
      </c>
      <c r="C7030" s="8" t="s">
        <v>2027</v>
      </c>
      <c r="D7030" s="8" t="s">
        <v>760</v>
      </c>
      <c r="E7030" s="52">
        <v>713</v>
      </c>
      <c r="F7030" s="13"/>
      <c r="G7030" s="13">
        <v>824.22</v>
      </c>
    </row>
    <row r="7031" spans="1:7" hidden="1" x14ac:dyDescent="0.75">
      <c r="A7031" s="51">
        <v>44953</v>
      </c>
      <c r="B7031" s="52">
        <v>408</v>
      </c>
      <c r="C7031" s="8" t="s">
        <v>3132</v>
      </c>
      <c r="D7031" s="8" t="s">
        <v>760</v>
      </c>
      <c r="E7031" s="52">
        <v>1363</v>
      </c>
      <c r="F7031" s="13"/>
      <c r="G7031" s="13">
        <v>187.5</v>
      </c>
    </row>
    <row r="7032" spans="1:7" hidden="1" x14ac:dyDescent="0.75">
      <c r="A7032" s="51">
        <v>44954</v>
      </c>
      <c r="B7032" s="52">
        <v>408</v>
      </c>
      <c r="C7032" s="8" t="s">
        <v>2223</v>
      </c>
      <c r="D7032" s="8" t="s">
        <v>760</v>
      </c>
      <c r="E7032" s="52">
        <v>1736</v>
      </c>
      <c r="F7032" s="13"/>
      <c r="G7032" s="13">
        <v>2843.29</v>
      </c>
    </row>
    <row r="7033" spans="1:7" hidden="1" x14ac:dyDescent="0.75">
      <c r="A7033" s="51">
        <v>44954</v>
      </c>
      <c r="B7033" s="52">
        <v>408</v>
      </c>
      <c r="C7033" s="8" t="s">
        <v>2224</v>
      </c>
      <c r="D7033" s="8" t="s">
        <v>760</v>
      </c>
      <c r="E7033" s="52">
        <v>1736</v>
      </c>
      <c r="F7033" s="13"/>
      <c r="G7033" s="13">
        <v>835.67</v>
      </c>
    </row>
    <row r="7034" spans="1:7" hidden="1" x14ac:dyDescent="0.75">
      <c r="A7034" s="51">
        <v>44954</v>
      </c>
      <c r="B7034" s="52">
        <v>408</v>
      </c>
      <c r="C7034" s="8" t="s">
        <v>2697</v>
      </c>
      <c r="D7034" s="8" t="s">
        <v>760</v>
      </c>
      <c r="E7034" s="52">
        <v>883</v>
      </c>
      <c r="F7034" s="13"/>
      <c r="G7034" s="13">
        <v>4634.8999999999996</v>
      </c>
    </row>
    <row r="7035" spans="1:7" hidden="1" x14ac:dyDescent="0.75">
      <c r="A7035" s="51">
        <v>44954</v>
      </c>
      <c r="B7035" s="52">
        <v>408</v>
      </c>
      <c r="C7035" s="8" t="s">
        <v>2698</v>
      </c>
      <c r="D7035" s="8" t="s">
        <v>760</v>
      </c>
      <c r="E7035" s="52">
        <v>883</v>
      </c>
      <c r="F7035" s="13"/>
      <c r="G7035" s="13">
        <v>660</v>
      </c>
    </row>
    <row r="7036" spans="1:7" hidden="1" x14ac:dyDescent="0.75">
      <c r="A7036" s="51">
        <v>44954</v>
      </c>
      <c r="B7036" s="52">
        <v>408</v>
      </c>
      <c r="C7036" s="8" t="s">
        <v>2717</v>
      </c>
      <c r="D7036" s="8" t="s">
        <v>760</v>
      </c>
      <c r="E7036" s="52">
        <v>885</v>
      </c>
      <c r="F7036" s="13"/>
      <c r="G7036" s="13">
        <v>1206.5</v>
      </c>
    </row>
    <row r="7037" spans="1:7" hidden="1" x14ac:dyDescent="0.75">
      <c r="A7037" s="51">
        <v>44954</v>
      </c>
      <c r="B7037" s="52">
        <v>408</v>
      </c>
      <c r="C7037" s="8" t="s">
        <v>2735</v>
      </c>
      <c r="D7037" s="8" t="s">
        <v>760</v>
      </c>
      <c r="E7037" s="52">
        <v>882</v>
      </c>
      <c r="F7037" s="13"/>
      <c r="G7037" s="13">
        <v>350.7</v>
      </c>
    </row>
    <row r="7038" spans="1:7" hidden="1" x14ac:dyDescent="0.75">
      <c r="A7038" s="51">
        <v>44954</v>
      </c>
      <c r="B7038" s="52">
        <v>408</v>
      </c>
      <c r="C7038" s="8" t="s">
        <v>2768</v>
      </c>
      <c r="D7038" s="8" t="s">
        <v>760</v>
      </c>
      <c r="E7038" s="52">
        <v>884</v>
      </c>
      <c r="F7038" s="13"/>
      <c r="G7038" s="13">
        <v>4168.3999999999996</v>
      </c>
    </row>
    <row r="7039" spans="1:7" hidden="1" x14ac:dyDescent="0.75">
      <c r="A7039" s="51">
        <v>44954</v>
      </c>
      <c r="B7039" s="52">
        <v>408</v>
      </c>
      <c r="C7039" s="8" t="s">
        <v>2769</v>
      </c>
      <c r="D7039" s="8" t="s">
        <v>760</v>
      </c>
      <c r="E7039" s="52">
        <v>884</v>
      </c>
      <c r="F7039" s="13"/>
      <c r="G7039" s="13">
        <v>1100</v>
      </c>
    </row>
    <row r="7040" spans="1:7" hidden="1" x14ac:dyDescent="0.75">
      <c r="A7040" s="51">
        <v>44954</v>
      </c>
      <c r="B7040" s="52">
        <v>408</v>
      </c>
      <c r="C7040" s="8" t="s">
        <v>2813</v>
      </c>
      <c r="D7040" s="8" t="s">
        <v>760</v>
      </c>
      <c r="E7040" s="52">
        <v>1025</v>
      </c>
      <c r="F7040" s="13"/>
      <c r="G7040" s="13">
        <v>2467.1999999999998</v>
      </c>
    </row>
    <row r="7041" spans="1:7" hidden="1" x14ac:dyDescent="0.75">
      <c r="A7041" s="51">
        <v>44954</v>
      </c>
      <c r="B7041" s="52">
        <v>408</v>
      </c>
      <c r="C7041" s="8" t="s">
        <v>2814</v>
      </c>
      <c r="D7041" s="8" t="s">
        <v>760</v>
      </c>
      <c r="E7041" s="52">
        <v>1025</v>
      </c>
      <c r="F7041" s="13"/>
      <c r="G7041" s="13">
        <v>220</v>
      </c>
    </row>
    <row r="7042" spans="1:7" hidden="1" x14ac:dyDescent="0.75">
      <c r="A7042" s="51">
        <v>44954</v>
      </c>
      <c r="B7042" s="52">
        <v>408</v>
      </c>
      <c r="C7042" s="8" t="s">
        <v>2975</v>
      </c>
      <c r="D7042" s="8" t="s">
        <v>760</v>
      </c>
      <c r="E7042" s="52">
        <v>1765</v>
      </c>
      <c r="F7042" s="13"/>
      <c r="G7042" s="13">
        <v>2080.5500000000002</v>
      </c>
    </row>
    <row r="7043" spans="1:7" hidden="1" x14ac:dyDescent="0.75">
      <c r="A7043" s="51">
        <v>44954</v>
      </c>
      <c r="B7043" s="52">
        <v>408</v>
      </c>
      <c r="C7043" s="8" t="s">
        <v>2650</v>
      </c>
      <c r="D7043" s="8" t="s">
        <v>760</v>
      </c>
      <c r="E7043" s="52">
        <v>1024</v>
      </c>
      <c r="F7043" s="13"/>
      <c r="G7043" s="13">
        <v>6090</v>
      </c>
    </row>
    <row r="7044" spans="1:7" hidden="1" x14ac:dyDescent="0.75">
      <c r="A7044" s="51">
        <v>44954</v>
      </c>
      <c r="B7044" s="52">
        <v>408</v>
      </c>
      <c r="C7044" s="8" t="s">
        <v>2651</v>
      </c>
      <c r="D7044" s="8" t="s">
        <v>760</v>
      </c>
      <c r="E7044" s="52">
        <v>1024</v>
      </c>
      <c r="F7044" s="13"/>
      <c r="G7044" s="13">
        <v>3438</v>
      </c>
    </row>
    <row r="7045" spans="1:7" hidden="1" x14ac:dyDescent="0.75">
      <c r="A7045" s="51">
        <v>44954</v>
      </c>
      <c r="B7045" s="52">
        <v>408</v>
      </c>
      <c r="C7045" s="8" t="s">
        <v>3121</v>
      </c>
      <c r="D7045" s="8" t="s">
        <v>760</v>
      </c>
      <c r="E7045" s="52">
        <v>1789</v>
      </c>
      <c r="F7045" s="13"/>
      <c r="G7045" s="13">
        <v>384.5</v>
      </c>
    </row>
    <row r="7046" spans="1:7" hidden="1" x14ac:dyDescent="0.75">
      <c r="A7046" s="51">
        <v>44954</v>
      </c>
      <c r="B7046" s="52">
        <v>408</v>
      </c>
      <c r="C7046" s="8" t="s">
        <v>2863</v>
      </c>
      <c r="D7046" s="8" t="s">
        <v>760</v>
      </c>
      <c r="E7046" s="52">
        <v>1788</v>
      </c>
      <c r="F7046" s="13"/>
      <c r="G7046" s="13">
        <v>384.5</v>
      </c>
    </row>
    <row r="7047" spans="1:7" hidden="1" x14ac:dyDescent="0.75">
      <c r="A7047" s="51">
        <v>44954</v>
      </c>
      <c r="B7047" s="52">
        <v>408</v>
      </c>
      <c r="C7047" s="8" t="s">
        <v>2652</v>
      </c>
      <c r="D7047" s="8" t="s">
        <v>760</v>
      </c>
      <c r="E7047" s="52">
        <v>1024</v>
      </c>
      <c r="F7047" s="13"/>
      <c r="G7047" s="13">
        <v>179</v>
      </c>
    </row>
    <row r="7048" spans="1:7" hidden="1" x14ac:dyDescent="0.75">
      <c r="A7048" s="51">
        <v>44954</v>
      </c>
      <c r="B7048" s="52">
        <v>408</v>
      </c>
      <c r="C7048" s="8" t="s">
        <v>3025</v>
      </c>
      <c r="D7048" s="8" t="s">
        <v>760</v>
      </c>
      <c r="E7048" s="52">
        <v>1748</v>
      </c>
      <c r="F7048" s="13"/>
      <c r="G7048" s="13">
        <v>450.5</v>
      </c>
    </row>
    <row r="7049" spans="1:7" hidden="1" x14ac:dyDescent="0.75">
      <c r="A7049" s="51">
        <v>44954</v>
      </c>
      <c r="B7049" s="52">
        <v>408</v>
      </c>
      <c r="C7049" s="8" t="s">
        <v>3077</v>
      </c>
      <c r="D7049" s="8" t="s">
        <v>760</v>
      </c>
      <c r="E7049" s="52">
        <v>1696</v>
      </c>
      <c r="F7049" s="13"/>
      <c r="G7049" s="13">
        <v>269.5</v>
      </c>
    </row>
    <row r="7050" spans="1:7" hidden="1" x14ac:dyDescent="0.75">
      <c r="A7050" s="51">
        <v>44954</v>
      </c>
      <c r="B7050" s="52">
        <v>408</v>
      </c>
      <c r="C7050" s="8" t="s">
        <v>3050</v>
      </c>
      <c r="D7050" s="8" t="s">
        <v>760</v>
      </c>
      <c r="E7050" s="52">
        <v>1752</v>
      </c>
      <c r="F7050" s="13"/>
      <c r="G7050" s="13">
        <v>362.55</v>
      </c>
    </row>
    <row r="7051" spans="1:7" hidden="1" x14ac:dyDescent="0.75">
      <c r="A7051" s="51">
        <v>44954</v>
      </c>
      <c r="B7051" s="52">
        <v>408</v>
      </c>
      <c r="C7051" s="8" t="s">
        <v>3106</v>
      </c>
      <c r="D7051" s="8" t="s">
        <v>760</v>
      </c>
      <c r="E7051" s="52">
        <v>1747</v>
      </c>
      <c r="F7051" s="13"/>
      <c r="G7051" s="13">
        <v>898.35</v>
      </c>
    </row>
    <row r="7052" spans="1:7" hidden="1" x14ac:dyDescent="0.75">
      <c r="A7052" s="51">
        <v>44954</v>
      </c>
      <c r="B7052" s="52">
        <v>408</v>
      </c>
      <c r="C7052" s="8" t="s">
        <v>2848</v>
      </c>
      <c r="D7052" s="8" t="s">
        <v>760</v>
      </c>
      <c r="E7052" s="52">
        <v>707</v>
      </c>
      <c r="F7052" s="13"/>
      <c r="G7052" s="13">
        <v>1958.05</v>
      </c>
    </row>
    <row r="7053" spans="1:7" hidden="1" x14ac:dyDescent="0.75">
      <c r="A7053" s="51">
        <v>44954</v>
      </c>
      <c r="B7053" s="52">
        <v>408</v>
      </c>
      <c r="C7053" s="8" t="s">
        <v>3000</v>
      </c>
      <c r="D7053" s="8" t="s">
        <v>760</v>
      </c>
      <c r="E7053" s="52">
        <v>1751</v>
      </c>
      <c r="F7053" s="13"/>
      <c r="G7053" s="13">
        <v>961.75</v>
      </c>
    </row>
    <row r="7054" spans="1:7" hidden="1" x14ac:dyDescent="0.75">
      <c r="A7054" s="51">
        <v>44954</v>
      </c>
      <c r="B7054" s="52">
        <v>408</v>
      </c>
      <c r="C7054" s="8" t="s">
        <v>2110</v>
      </c>
      <c r="D7054" s="8" t="s">
        <v>760</v>
      </c>
      <c r="E7054" s="52">
        <v>720</v>
      </c>
      <c r="F7054" s="13"/>
      <c r="G7054" s="13">
        <v>2080.34</v>
      </c>
    </row>
    <row r="7055" spans="1:7" hidden="1" x14ac:dyDescent="0.75">
      <c r="A7055" s="51">
        <v>44954</v>
      </c>
      <c r="B7055" s="52">
        <v>408</v>
      </c>
      <c r="C7055" s="8" t="s">
        <v>1999</v>
      </c>
      <c r="D7055" s="8" t="s">
        <v>760</v>
      </c>
      <c r="E7055" s="52">
        <v>724</v>
      </c>
      <c r="F7055" s="13"/>
      <c r="G7055" s="13">
        <v>1582.02</v>
      </c>
    </row>
    <row r="7056" spans="1:7" hidden="1" x14ac:dyDescent="0.75">
      <c r="A7056" s="51">
        <v>44954</v>
      </c>
      <c r="B7056" s="52">
        <v>408</v>
      </c>
      <c r="C7056" s="8" t="s">
        <v>2332</v>
      </c>
      <c r="D7056" s="8" t="s">
        <v>760</v>
      </c>
      <c r="E7056" s="52">
        <v>717</v>
      </c>
      <c r="F7056" s="13"/>
      <c r="G7056" s="13">
        <v>1330</v>
      </c>
    </row>
    <row r="7057" spans="1:7" hidden="1" x14ac:dyDescent="0.75">
      <c r="A7057" s="51">
        <v>44954</v>
      </c>
      <c r="B7057" s="52">
        <v>408</v>
      </c>
      <c r="C7057" s="8" t="s">
        <v>2096</v>
      </c>
      <c r="D7057" s="8" t="s">
        <v>760</v>
      </c>
      <c r="E7057" s="52">
        <v>710</v>
      </c>
      <c r="F7057" s="13"/>
      <c r="G7057" s="13">
        <v>1110.8900000000001</v>
      </c>
    </row>
    <row r="7058" spans="1:7" hidden="1" x14ac:dyDescent="0.75">
      <c r="A7058" s="51">
        <v>44954</v>
      </c>
      <c r="B7058" s="52">
        <v>408</v>
      </c>
      <c r="C7058" s="8" t="s">
        <v>2172</v>
      </c>
      <c r="D7058" s="8" t="s">
        <v>760</v>
      </c>
      <c r="E7058" s="52">
        <v>716</v>
      </c>
      <c r="F7058" s="13"/>
      <c r="G7058" s="13">
        <v>1056.3</v>
      </c>
    </row>
    <row r="7059" spans="1:7" hidden="1" x14ac:dyDescent="0.75">
      <c r="A7059" s="51">
        <v>44954</v>
      </c>
      <c r="B7059" s="52">
        <v>408</v>
      </c>
      <c r="C7059" s="8" t="s">
        <v>2028</v>
      </c>
      <c r="D7059" s="8" t="s">
        <v>760</v>
      </c>
      <c r="E7059" s="52">
        <v>713</v>
      </c>
      <c r="F7059" s="13"/>
      <c r="G7059" s="13">
        <v>655.87</v>
      </c>
    </row>
    <row r="7060" spans="1:7" hidden="1" x14ac:dyDescent="0.75">
      <c r="A7060" s="51">
        <v>44954</v>
      </c>
      <c r="B7060" s="52">
        <v>408</v>
      </c>
      <c r="C7060" s="8" t="s">
        <v>2480</v>
      </c>
      <c r="D7060" s="8" t="s">
        <v>760</v>
      </c>
      <c r="E7060" s="52">
        <v>714</v>
      </c>
      <c r="F7060" s="13"/>
      <c r="G7060" s="13">
        <v>610.5</v>
      </c>
    </row>
    <row r="7061" spans="1:7" hidden="1" x14ac:dyDescent="0.75">
      <c r="A7061" s="51">
        <v>44954</v>
      </c>
      <c r="B7061" s="52">
        <v>408</v>
      </c>
      <c r="C7061" s="8" t="s">
        <v>2385</v>
      </c>
      <c r="D7061" s="8" t="s">
        <v>760</v>
      </c>
      <c r="E7061" s="52">
        <v>1818</v>
      </c>
      <c r="F7061" s="13"/>
      <c r="G7061" s="13">
        <v>1856</v>
      </c>
    </row>
    <row r="7062" spans="1:7" hidden="1" x14ac:dyDescent="0.75">
      <c r="A7062" s="51">
        <v>44954</v>
      </c>
      <c r="B7062" s="52">
        <v>408</v>
      </c>
      <c r="C7062" s="8" t="s">
        <v>2061</v>
      </c>
      <c r="D7062" s="8" t="s">
        <v>760</v>
      </c>
      <c r="E7062" s="52">
        <v>711</v>
      </c>
      <c r="F7062" s="13"/>
      <c r="G7062" s="13">
        <v>824.33</v>
      </c>
    </row>
    <row r="7063" spans="1:7" hidden="1" x14ac:dyDescent="0.75">
      <c r="A7063" s="51">
        <v>44954</v>
      </c>
      <c r="B7063" s="52">
        <v>408</v>
      </c>
      <c r="C7063" s="8" t="s">
        <v>1990</v>
      </c>
      <c r="D7063" s="8" t="s">
        <v>760</v>
      </c>
      <c r="E7063" s="52">
        <v>1124</v>
      </c>
      <c r="F7063" s="13"/>
      <c r="G7063" s="13">
        <v>1566.63</v>
      </c>
    </row>
    <row r="7064" spans="1:7" hidden="1" x14ac:dyDescent="0.75">
      <c r="A7064" s="51">
        <v>44954</v>
      </c>
      <c r="B7064" s="52">
        <v>408</v>
      </c>
      <c r="C7064" s="8" t="s">
        <v>2146</v>
      </c>
      <c r="D7064" s="8" t="s">
        <v>760</v>
      </c>
      <c r="E7064" s="52">
        <v>712</v>
      </c>
      <c r="F7064" s="13"/>
      <c r="G7064" s="13">
        <v>2464.56</v>
      </c>
    </row>
    <row r="7065" spans="1:7" hidden="1" x14ac:dyDescent="0.75">
      <c r="A7065" s="51">
        <v>44956</v>
      </c>
      <c r="B7065" s="52">
        <v>408</v>
      </c>
      <c r="C7065" s="8" t="s">
        <v>2653</v>
      </c>
      <c r="D7065" s="8" t="s">
        <v>760</v>
      </c>
      <c r="E7065" s="52">
        <v>1024</v>
      </c>
      <c r="F7065" s="13"/>
      <c r="G7065" s="13">
        <v>7290</v>
      </c>
    </row>
    <row r="7066" spans="1:7" hidden="1" x14ac:dyDescent="0.75">
      <c r="A7066" s="51">
        <v>44956</v>
      </c>
      <c r="B7066" s="52">
        <v>408</v>
      </c>
      <c r="C7066" s="8" t="s">
        <v>2654</v>
      </c>
      <c r="D7066" s="8" t="s">
        <v>760</v>
      </c>
      <c r="E7066" s="52">
        <v>1024</v>
      </c>
      <c r="F7066" s="13"/>
      <c r="G7066" s="13">
        <v>1943</v>
      </c>
    </row>
    <row r="7067" spans="1:7" hidden="1" x14ac:dyDescent="0.75">
      <c r="A7067" s="51">
        <v>44956</v>
      </c>
      <c r="B7067" s="52">
        <v>408</v>
      </c>
      <c r="C7067" s="8" t="s">
        <v>2955</v>
      </c>
      <c r="D7067" s="8" t="s">
        <v>760</v>
      </c>
      <c r="E7067" s="52">
        <v>1508</v>
      </c>
      <c r="F7067" s="13"/>
      <c r="G7067" s="13">
        <v>1872.1</v>
      </c>
    </row>
    <row r="7068" spans="1:7" hidden="1" x14ac:dyDescent="0.75">
      <c r="A7068" s="51">
        <v>44956</v>
      </c>
      <c r="B7068" s="52">
        <v>408</v>
      </c>
      <c r="C7068" s="8" t="s">
        <v>2956</v>
      </c>
      <c r="D7068" s="8" t="s">
        <v>760</v>
      </c>
      <c r="E7068" s="52">
        <v>1508</v>
      </c>
      <c r="F7068" s="13"/>
      <c r="G7068" s="13">
        <v>3550.1</v>
      </c>
    </row>
    <row r="7069" spans="1:7" hidden="1" x14ac:dyDescent="0.75">
      <c r="A7069" s="51">
        <v>44956</v>
      </c>
      <c r="B7069" s="52">
        <v>408</v>
      </c>
      <c r="C7069" s="8" t="s">
        <v>2849</v>
      </c>
      <c r="D7069" s="8" t="s">
        <v>760</v>
      </c>
      <c r="E7069" s="52">
        <v>707</v>
      </c>
      <c r="F7069" s="13"/>
      <c r="G7069" s="13">
        <v>1054.0999999999999</v>
      </c>
    </row>
    <row r="7070" spans="1:7" hidden="1" x14ac:dyDescent="0.75">
      <c r="A7070" s="51">
        <v>44956</v>
      </c>
      <c r="B7070" s="52">
        <v>408</v>
      </c>
      <c r="C7070" s="8" t="s">
        <v>2285</v>
      </c>
      <c r="D7070" s="8" t="s">
        <v>760</v>
      </c>
      <c r="E7070" s="52">
        <v>806</v>
      </c>
      <c r="F7070" s="13"/>
      <c r="G7070" s="13">
        <v>2339.5</v>
      </c>
    </row>
    <row r="7071" spans="1:7" hidden="1" x14ac:dyDescent="0.75">
      <c r="A7071" s="51">
        <v>44956</v>
      </c>
      <c r="B7071" s="52">
        <v>408</v>
      </c>
      <c r="C7071" s="8" t="s">
        <v>2286</v>
      </c>
      <c r="D7071" s="8" t="s">
        <v>760</v>
      </c>
      <c r="E7071" s="52">
        <v>806</v>
      </c>
      <c r="F7071" s="13"/>
      <c r="G7071" s="13">
        <v>594</v>
      </c>
    </row>
    <row r="7072" spans="1:7" hidden="1" x14ac:dyDescent="0.75">
      <c r="A7072" s="51">
        <v>44956</v>
      </c>
      <c r="B7072" s="52">
        <v>408</v>
      </c>
      <c r="C7072" s="8" t="s">
        <v>2251</v>
      </c>
      <c r="D7072" s="8" t="s">
        <v>760</v>
      </c>
      <c r="E7072" s="52">
        <v>804</v>
      </c>
      <c r="F7072" s="13"/>
      <c r="G7072" s="13">
        <v>584.5</v>
      </c>
    </row>
    <row r="7073" spans="1:7" hidden="1" x14ac:dyDescent="0.75">
      <c r="A7073" s="51">
        <v>44956</v>
      </c>
      <c r="B7073" s="52">
        <v>408</v>
      </c>
      <c r="C7073" s="8" t="s">
        <v>2252</v>
      </c>
      <c r="D7073" s="8" t="s">
        <v>760</v>
      </c>
      <c r="E7073" s="52">
        <v>804</v>
      </c>
      <c r="F7073" s="13"/>
      <c r="G7073" s="13">
        <v>1188</v>
      </c>
    </row>
    <row r="7074" spans="1:7" hidden="1" x14ac:dyDescent="0.75">
      <c r="A7074" s="51">
        <v>44956</v>
      </c>
      <c r="B7074" s="52">
        <v>408</v>
      </c>
      <c r="C7074" s="8" t="s">
        <v>3026</v>
      </c>
      <c r="D7074" s="8" t="s">
        <v>760</v>
      </c>
      <c r="E7074" s="52">
        <v>1748</v>
      </c>
      <c r="F7074" s="13"/>
      <c r="G7074" s="13">
        <v>698.05</v>
      </c>
    </row>
    <row r="7075" spans="1:7" hidden="1" x14ac:dyDescent="0.75">
      <c r="A7075" s="51">
        <v>44956</v>
      </c>
      <c r="B7075" s="52">
        <v>408</v>
      </c>
      <c r="C7075" s="8" t="s">
        <v>3001</v>
      </c>
      <c r="D7075" s="8" t="s">
        <v>760</v>
      </c>
      <c r="E7075" s="52">
        <v>1751</v>
      </c>
      <c r="F7075" s="13"/>
      <c r="G7075" s="13">
        <v>394.8</v>
      </c>
    </row>
    <row r="7076" spans="1:7" hidden="1" x14ac:dyDescent="0.75">
      <c r="A7076" s="51">
        <v>44956</v>
      </c>
      <c r="B7076" s="52">
        <v>408</v>
      </c>
      <c r="C7076" s="8" t="s">
        <v>3078</v>
      </c>
      <c r="D7076" s="8" t="s">
        <v>760</v>
      </c>
      <c r="E7076" s="52">
        <v>1696</v>
      </c>
      <c r="F7076" s="13"/>
      <c r="G7076" s="13">
        <v>297.60000000000002</v>
      </c>
    </row>
    <row r="7077" spans="1:7" hidden="1" x14ac:dyDescent="0.75">
      <c r="A7077" s="51">
        <v>44956</v>
      </c>
      <c r="B7077" s="52">
        <v>408</v>
      </c>
      <c r="C7077" s="8" t="s">
        <v>3051</v>
      </c>
      <c r="D7077" s="8" t="s">
        <v>760</v>
      </c>
      <c r="E7077" s="52">
        <v>1752</v>
      </c>
      <c r="F7077" s="13"/>
      <c r="G7077" s="13">
        <v>427.55</v>
      </c>
    </row>
    <row r="7078" spans="1:7" hidden="1" x14ac:dyDescent="0.75">
      <c r="A7078" s="51">
        <v>44956</v>
      </c>
      <c r="B7078" s="52">
        <v>408</v>
      </c>
      <c r="C7078" s="8" t="s">
        <v>3107</v>
      </c>
      <c r="D7078" s="8" t="s">
        <v>760</v>
      </c>
      <c r="E7078" s="52">
        <v>1747</v>
      </c>
      <c r="F7078" s="13"/>
      <c r="G7078" s="13">
        <v>649.70000000000005</v>
      </c>
    </row>
    <row r="7079" spans="1:7" hidden="1" x14ac:dyDescent="0.75">
      <c r="A7079" s="51">
        <v>44956</v>
      </c>
      <c r="B7079" s="52">
        <v>408</v>
      </c>
      <c r="C7079" s="8" t="s">
        <v>2097</v>
      </c>
      <c r="D7079" s="8" t="s">
        <v>760</v>
      </c>
      <c r="E7079" s="52">
        <v>710</v>
      </c>
      <c r="F7079" s="13"/>
      <c r="G7079" s="13">
        <v>104.5</v>
      </c>
    </row>
    <row r="7080" spans="1:7" hidden="1" x14ac:dyDescent="0.75">
      <c r="A7080" s="51">
        <v>44956</v>
      </c>
      <c r="B7080" s="52">
        <v>408</v>
      </c>
      <c r="C7080" s="8" t="s">
        <v>2173</v>
      </c>
      <c r="D7080" s="8" t="s">
        <v>760</v>
      </c>
      <c r="E7080" s="52">
        <v>716</v>
      </c>
      <c r="F7080" s="13"/>
      <c r="G7080" s="13">
        <v>2085.0700000000002</v>
      </c>
    </row>
    <row r="7081" spans="1:7" hidden="1" x14ac:dyDescent="0.75">
      <c r="A7081" s="51">
        <v>44956</v>
      </c>
      <c r="B7081" s="52">
        <v>408</v>
      </c>
      <c r="C7081" s="8" t="s">
        <v>2174</v>
      </c>
      <c r="D7081" s="8" t="s">
        <v>760</v>
      </c>
      <c r="E7081" s="52">
        <v>716</v>
      </c>
      <c r="F7081" s="13"/>
      <c r="G7081" s="13">
        <v>180.5</v>
      </c>
    </row>
    <row r="7082" spans="1:7" hidden="1" x14ac:dyDescent="0.75">
      <c r="A7082" s="51">
        <v>44956</v>
      </c>
      <c r="B7082" s="52">
        <v>408</v>
      </c>
      <c r="C7082" s="8" t="s">
        <v>2098</v>
      </c>
      <c r="D7082" s="8" t="s">
        <v>760</v>
      </c>
      <c r="E7082" s="52">
        <v>710</v>
      </c>
      <c r="F7082" s="13"/>
      <c r="G7082" s="13">
        <v>1544.77</v>
      </c>
    </row>
    <row r="7083" spans="1:7" hidden="1" x14ac:dyDescent="0.75">
      <c r="A7083" s="51">
        <v>44956</v>
      </c>
      <c r="B7083" s="52">
        <v>408</v>
      </c>
      <c r="C7083" s="8" t="s">
        <v>2333</v>
      </c>
      <c r="D7083" s="8" t="s">
        <v>760</v>
      </c>
      <c r="E7083" s="52">
        <v>717</v>
      </c>
      <c r="F7083" s="13"/>
      <c r="G7083" s="13">
        <v>1779</v>
      </c>
    </row>
    <row r="7084" spans="1:7" hidden="1" x14ac:dyDescent="0.75">
      <c r="A7084" s="51">
        <v>44956</v>
      </c>
      <c r="B7084" s="52">
        <v>408</v>
      </c>
      <c r="C7084" s="8" t="s">
        <v>2386</v>
      </c>
      <c r="D7084" s="8" t="s">
        <v>760</v>
      </c>
      <c r="E7084" s="52">
        <v>1818</v>
      </c>
      <c r="F7084" s="13"/>
      <c r="G7084" s="13">
        <v>2480.3000000000002</v>
      </c>
    </row>
    <row r="7085" spans="1:7" hidden="1" x14ac:dyDescent="0.75">
      <c r="A7085" s="51">
        <v>44956</v>
      </c>
      <c r="B7085" s="52">
        <v>408</v>
      </c>
      <c r="C7085" s="8" t="s">
        <v>2147</v>
      </c>
      <c r="D7085" s="8" t="s">
        <v>760</v>
      </c>
      <c r="E7085" s="52">
        <v>712</v>
      </c>
      <c r="F7085" s="13"/>
      <c r="G7085" s="13">
        <v>950</v>
      </c>
    </row>
    <row r="7086" spans="1:7" hidden="1" x14ac:dyDescent="0.75">
      <c r="A7086" s="51">
        <v>44956</v>
      </c>
      <c r="B7086" s="52">
        <v>408</v>
      </c>
      <c r="C7086" s="8" t="s">
        <v>2062</v>
      </c>
      <c r="D7086" s="8" t="s">
        <v>760</v>
      </c>
      <c r="E7086" s="52">
        <v>711</v>
      </c>
      <c r="F7086" s="13"/>
      <c r="G7086" s="13">
        <v>104.5</v>
      </c>
    </row>
    <row r="7087" spans="1:7" hidden="1" x14ac:dyDescent="0.75">
      <c r="A7087" s="51">
        <v>44956</v>
      </c>
      <c r="B7087" s="52">
        <v>408</v>
      </c>
      <c r="C7087" s="8" t="s">
        <v>1991</v>
      </c>
      <c r="D7087" s="8" t="s">
        <v>760</v>
      </c>
      <c r="E7087" s="52">
        <v>1124</v>
      </c>
      <c r="F7087" s="13"/>
      <c r="G7087" s="13">
        <v>313.5</v>
      </c>
    </row>
    <row r="7088" spans="1:7" hidden="1" x14ac:dyDescent="0.75">
      <c r="A7088" s="51">
        <v>44956</v>
      </c>
      <c r="B7088" s="52">
        <v>408</v>
      </c>
      <c r="C7088" s="8" t="s">
        <v>2063</v>
      </c>
      <c r="D7088" s="8" t="s">
        <v>760</v>
      </c>
      <c r="E7088" s="52">
        <v>711</v>
      </c>
      <c r="F7088" s="13"/>
      <c r="G7088" s="13">
        <v>1252.67</v>
      </c>
    </row>
    <row r="7089" spans="1:7" hidden="1" x14ac:dyDescent="0.75">
      <c r="A7089" s="51">
        <v>44956</v>
      </c>
      <c r="B7089" s="52">
        <v>408</v>
      </c>
      <c r="C7089" s="8" t="s">
        <v>2029</v>
      </c>
      <c r="D7089" s="8" t="s">
        <v>760</v>
      </c>
      <c r="E7089" s="52">
        <v>713</v>
      </c>
      <c r="F7089" s="13"/>
      <c r="G7089" s="13">
        <v>1244.69</v>
      </c>
    </row>
    <row r="7090" spans="1:7" hidden="1" x14ac:dyDescent="0.75">
      <c r="A7090" s="51">
        <v>44956</v>
      </c>
      <c r="B7090" s="52">
        <v>408</v>
      </c>
      <c r="C7090" s="8" t="s">
        <v>1992</v>
      </c>
      <c r="D7090" s="8" t="s">
        <v>760</v>
      </c>
      <c r="E7090" s="52">
        <v>1124</v>
      </c>
      <c r="F7090" s="13"/>
      <c r="G7090" s="13">
        <v>2371.15</v>
      </c>
    </row>
    <row r="7091" spans="1:7" hidden="1" x14ac:dyDescent="0.75">
      <c r="A7091" s="51">
        <v>44956</v>
      </c>
      <c r="B7091" s="52">
        <v>408</v>
      </c>
      <c r="C7091" s="8" t="s">
        <v>2148</v>
      </c>
      <c r="D7091" s="8" t="s">
        <v>760</v>
      </c>
      <c r="E7091" s="52">
        <v>712</v>
      </c>
      <c r="F7091" s="13"/>
      <c r="G7091" s="13">
        <v>4576.5</v>
      </c>
    </row>
    <row r="7092" spans="1:7" hidden="1" x14ac:dyDescent="0.75">
      <c r="A7092" s="51">
        <v>44956</v>
      </c>
      <c r="B7092" s="52">
        <v>408</v>
      </c>
      <c r="C7092" s="8" t="s">
        <v>2030</v>
      </c>
      <c r="D7092" s="8" t="s">
        <v>760</v>
      </c>
      <c r="E7092" s="52">
        <v>713</v>
      </c>
      <c r="F7092" s="13"/>
      <c r="G7092" s="13">
        <v>133</v>
      </c>
    </row>
    <row r="7093" spans="1:7" hidden="1" x14ac:dyDescent="0.75">
      <c r="A7093" s="51">
        <v>44956</v>
      </c>
      <c r="B7093" s="52">
        <v>408</v>
      </c>
      <c r="C7093" s="8" t="s">
        <v>2481</v>
      </c>
      <c r="D7093" s="8" t="s">
        <v>760</v>
      </c>
      <c r="E7093" s="52">
        <v>714</v>
      </c>
      <c r="F7093" s="13"/>
      <c r="G7093" s="13">
        <v>1158.5</v>
      </c>
    </row>
    <row r="7094" spans="1:7" hidden="1" x14ac:dyDescent="0.75">
      <c r="A7094" s="51">
        <v>44956</v>
      </c>
      <c r="B7094" s="52">
        <v>408</v>
      </c>
      <c r="C7094" s="8" t="s">
        <v>2410</v>
      </c>
      <c r="D7094" s="8" t="s">
        <v>760</v>
      </c>
      <c r="E7094" s="52">
        <v>719</v>
      </c>
      <c r="F7094" s="13"/>
      <c r="G7094" s="13">
        <v>594.16999999999996</v>
      </c>
    </row>
    <row r="7095" spans="1:7" hidden="1" x14ac:dyDescent="0.75">
      <c r="A7095" s="51">
        <v>44956</v>
      </c>
      <c r="B7095" s="52">
        <v>408</v>
      </c>
      <c r="C7095" s="8" t="s">
        <v>3128</v>
      </c>
      <c r="D7095" s="8" t="s">
        <v>760</v>
      </c>
      <c r="E7095" s="52">
        <v>1977</v>
      </c>
      <c r="F7095" s="13"/>
      <c r="G7095" s="13">
        <v>1079</v>
      </c>
    </row>
    <row r="7096" spans="1:7" hidden="1" x14ac:dyDescent="0.75">
      <c r="A7096" s="51">
        <v>44956</v>
      </c>
      <c r="B7096" s="52">
        <v>408</v>
      </c>
      <c r="C7096" s="8" t="s">
        <v>3133</v>
      </c>
      <c r="D7096" s="8" t="s">
        <v>760</v>
      </c>
      <c r="E7096" s="52">
        <v>1363</v>
      </c>
      <c r="F7096" s="13"/>
      <c r="G7096" s="13">
        <v>384.6</v>
      </c>
    </row>
    <row r="7097" spans="1:7" hidden="1" x14ac:dyDescent="0.75">
      <c r="A7097" s="51">
        <v>44956</v>
      </c>
      <c r="B7097" s="52">
        <v>408</v>
      </c>
      <c r="C7097" s="8" t="s">
        <v>2149</v>
      </c>
      <c r="D7097" s="8" t="s">
        <v>760</v>
      </c>
      <c r="E7097" s="52">
        <v>712</v>
      </c>
      <c r="F7097" s="13"/>
      <c r="G7097" s="13">
        <v>47.52</v>
      </c>
    </row>
    <row r="7098" spans="1:7" hidden="1" x14ac:dyDescent="0.75">
      <c r="A7098" s="51">
        <v>44957</v>
      </c>
      <c r="B7098" s="52">
        <v>408</v>
      </c>
      <c r="C7098" s="8" t="s">
        <v>2770</v>
      </c>
      <c r="D7098" s="8" t="s">
        <v>760</v>
      </c>
      <c r="E7098" s="52">
        <v>884</v>
      </c>
      <c r="F7098" s="13"/>
      <c r="G7098" s="13">
        <v>1100</v>
      </c>
    </row>
    <row r="7099" spans="1:7" hidden="1" x14ac:dyDescent="0.75">
      <c r="A7099" s="51">
        <v>44957</v>
      </c>
      <c r="B7099" s="52">
        <v>408</v>
      </c>
      <c r="C7099" s="8" t="s">
        <v>2771</v>
      </c>
      <c r="D7099" s="8" t="s">
        <v>760</v>
      </c>
      <c r="E7099" s="52">
        <v>884</v>
      </c>
      <c r="F7099" s="13"/>
      <c r="G7099" s="13">
        <v>4640.6000000000004</v>
      </c>
    </row>
    <row r="7100" spans="1:7" hidden="1" x14ac:dyDescent="0.75">
      <c r="A7100" s="51">
        <v>44957</v>
      </c>
      <c r="B7100" s="52">
        <v>408</v>
      </c>
      <c r="C7100" s="8" t="s">
        <v>2411</v>
      </c>
      <c r="D7100" s="8" t="s">
        <v>760</v>
      </c>
      <c r="E7100" s="52">
        <v>719</v>
      </c>
      <c r="F7100" s="13"/>
      <c r="G7100" s="13">
        <v>643.37</v>
      </c>
    </row>
    <row r="7101" spans="1:7" hidden="1" x14ac:dyDescent="0.75">
      <c r="A7101" s="51">
        <v>44957</v>
      </c>
      <c r="B7101" s="52">
        <v>408</v>
      </c>
      <c r="C7101" s="8" t="s">
        <v>2815</v>
      </c>
      <c r="D7101" s="8" t="s">
        <v>760</v>
      </c>
      <c r="E7101" s="52">
        <v>1025</v>
      </c>
      <c r="F7101" s="13"/>
      <c r="G7101" s="13">
        <v>1791.7</v>
      </c>
    </row>
    <row r="7102" spans="1:7" hidden="1" x14ac:dyDescent="0.75">
      <c r="A7102" s="51">
        <v>44957</v>
      </c>
      <c r="B7102" s="52">
        <v>408</v>
      </c>
      <c r="C7102" s="8" t="s">
        <v>2699</v>
      </c>
      <c r="D7102" s="8" t="s">
        <v>760</v>
      </c>
      <c r="E7102" s="52">
        <v>883</v>
      </c>
      <c r="F7102" s="13"/>
      <c r="G7102" s="13">
        <v>1379</v>
      </c>
    </row>
    <row r="7103" spans="1:7" hidden="1" x14ac:dyDescent="0.75">
      <c r="A7103" s="51">
        <v>44957</v>
      </c>
      <c r="B7103" s="52">
        <v>408</v>
      </c>
      <c r="C7103" s="8" t="s">
        <v>2700</v>
      </c>
      <c r="D7103" s="8" t="s">
        <v>760</v>
      </c>
      <c r="E7103" s="52">
        <v>883</v>
      </c>
      <c r="F7103" s="13"/>
      <c r="G7103" s="13">
        <v>4324.3</v>
      </c>
    </row>
    <row r="7104" spans="1:7" hidden="1" x14ac:dyDescent="0.75">
      <c r="A7104" s="51">
        <v>44957</v>
      </c>
      <c r="B7104" s="52">
        <v>408</v>
      </c>
      <c r="C7104" s="8" t="s">
        <v>2782</v>
      </c>
      <c r="D7104" s="8" t="s">
        <v>760</v>
      </c>
      <c r="E7104" s="52">
        <v>881</v>
      </c>
      <c r="F7104" s="13"/>
      <c r="G7104" s="13">
        <v>725.5</v>
      </c>
    </row>
    <row r="7105" spans="1:7" hidden="1" x14ac:dyDescent="0.75">
      <c r="A7105" s="51">
        <v>44957</v>
      </c>
      <c r="B7105" s="52">
        <v>408</v>
      </c>
      <c r="C7105" s="8" t="s">
        <v>2816</v>
      </c>
      <c r="D7105" s="8" t="s">
        <v>760</v>
      </c>
      <c r="E7105" s="52">
        <v>1025</v>
      </c>
      <c r="F7105" s="13"/>
      <c r="G7105" s="13">
        <v>157.19999999999999</v>
      </c>
    </row>
    <row r="7106" spans="1:7" hidden="1" x14ac:dyDescent="0.75">
      <c r="A7106" s="51">
        <v>44957</v>
      </c>
      <c r="B7106" s="52">
        <v>408</v>
      </c>
      <c r="C7106" s="8" t="s">
        <v>2736</v>
      </c>
      <c r="D7106" s="8" t="s">
        <v>760</v>
      </c>
      <c r="E7106" s="52">
        <v>882</v>
      </c>
      <c r="F7106" s="13"/>
      <c r="G7106" s="13">
        <v>253.8</v>
      </c>
    </row>
    <row r="7107" spans="1:7" hidden="1" x14ac:dyDescent="0.75">
      <c r="A7107" s="51">
        <v>44957</v>
      </c>
      <c r="B7107" s="52">
        <v>408</v>
      </c>
      <c r="C7107" s="8" t="s">
        <v>2718</v>
      </c>
      <c r="D7107" s="8" t="s">
        <v>760</v>
      </c>
      <c r="E7107" s="52">
        <v>885</v>
      </c>
      <c r="F7107" s="13"/>
      <c r="G7107" s="13">
        <v>1191.5999999999999</v>
      </c>
    </row>
    <row r="7108" spans="1:7" hidden="1" x14ac:dyDescent="0.75">
      <c r="A7108" s="51">
        <v>44957</v>
      </c>
      <c r="B7108" s="52">
        <v>408</v>
      </c>
      <c r="C7108" s="8" t="s">
        <v>2225</v>
      </c>
      <c r="D7108" s="8" t="s">
        <v>760</v>
      </c>
      <c r="E7108" s="52">
        <v>1736</v>
      </c>
      <c r="F7108" s="13"/>
      <c r="G7108" s="13">
        <v>1192.47</v>
      </c>
    </row>
    <row r="7109" spans="1:7" hidden="1" x14ac:dyDescent="0.75">
      <c r="A7109" s="51">
        <v>44957</v>
      </c>
      <c r="B7109" s="52">
        <v>408</v>
      </c>
      <c r="C7109" s="8" t="s">
        <v>2226</v>
      </c>
      <c r="D7109" s="8" t="s">
        <v>760</v>
      </c>
      <c r="E7109" s="52">
        <v>1736</v>
      </c>
      <c r="F7109" s="13"/>
      <c r="G7109" s="13">
        <v>2333.6</v>
      </c>
    </row>
    <row r="7110" spans="1:7" hidden="1" x14ac:dyDescent="0.75">
      <c r="A7110" s="51">
        <v>44957</v>
      </c>
      <c r="B7110" s="52">
        <v>408</v>
      </c>
      <c r="C7110" s="8" t="s">
        <v>2655</v>
      </c>
      <c r="D7110" s="8" t="s">
        <v>760</v>
      </c>
      <c r="E7110" s="52">
        <v>1024</v>
      </c>
      <c r="F7110" s="13"/>
      <c r="G7110" s="13">
        <v>1903</v>
      </c>
    </row>
    <row r="7111" spans="1:7" hidden="1" x14ac:dyDescent="0.75">
      <c r="A7111" s="51">
        <v>44957</v>
      </c>
      <c r="B7111" s="52">
        <v>408</v>
      </c>
      <c r="C7111" s="8" t="s">
        <v>2656</v>
      </c>
      <c r="D7111" s="8" t="s">
        <v>760</v>
      </c>
      <c r="E7111" s="52">
        <v>1024</v>
      </c>
      <c r="F7111" s="13"/>
      <c r="G7111" s="13">
        <v>80</v>
      </c>
    </row>
    <row r="7112" spans="1:7" hidden="1" x14ac:dyDescent="0.75">
      <c r="A7112" s="51">
        <v>44957</v>
      </c>
      <c r="B7112" s="52">
        <v>408</v>
      </c>
      <c r="C7112" s="8" t="s">
        <v>2864</v>
      </c>
      <c r="D7112" s="8" t="s">
        <v>760</v>
      </c>
      <c r="E7112" s="52">
        <v>1788</v>
      </c>
      <c r="F7112" s="13"/>
      <c r="G7112" s="13">
        <v>384.5</v>
      </c>
    </row>
    <row r="7113" spans="1:7" hidden="1" x14ac:dyDescent="0.75">
      <c r="A7113" s="51">
        <v>44957</v>
      </c>
      <c r="B7113" s="52">
        <v>408</v>
      </c>
      <c r="C7113" s="8" t="s">
        <v>3122</v>
      </c>
      <c r="D7113" s="8" t="s">
        <v>760</v>
      </c>
      <c r="E7113" s="52">
        <v>1789</v>
      </c>
      <c r="F7113" s="13"/>
      <c r="G7113" s="13">
        <v>374</v>
      </c>
    </row>
    <row r="7114" spans="1:7" hidden="1" x14ac:dyDescent="0.75">
      <c r="A7114" s="51">
        <v>44957</v>
      </c>
      <c r="B7114" s="52">
        <v>408</v>
      </c>
      <c r="C7114" s="8" t="s">
        <v>2657</v>
      </c>
      <c r="D7114" s="8" t="s">
        <v>760</v>
      </c>
      <c r="E7114" s="52">
        <v>1024</v>
      </c>
      <c r="F7114" s="13"/>
      <c r="G7114" s="13">
        <v>595</v>
      </c>
    </row>
    <row r="7115" spans="1:7" hidden="1" x14ac:dyDescent="0.75">
      <c r="A7115" s="51">
        <v>44957</v>
      </c>
      <c r="B7115" s="52">
        <v>408</v>
      </c>
      <c r="C7115" s="8" t="s">
        <v>2658</v>
      </c>
      <c r="D7115" s="8" t="s">
        <v>760</v>
      </c>
      <c r="E7115" s="52">
        <v>1024</v>
      </c>
      <c r="F7115" s="13"/>
      <c r="G7115" s="13">
        <v>340</v>
      </c>
    </row>
    <row r="7116" spans="1:7" hidden="1" x14ac:dyDescent="0.75">
      <c r="A7116" s="51">
        <v>44957</v>
      </c>
      <c r="B7116" s="52">
        <v>408</v>
      </c>
      <c r="C7116" s="8" t="s">
        <v>2659</v>
      </c>
      <c r="D7116" s="8" t="s">
        <v>760</v>
      </c>
      <c r="E7116" s="52">
        <v>1024</v>
      </c>
      <c r="F7116" s="13"/>
      <c r="G7116" s="13">
        <v>2658</v>
      </c>
    </row>
    <row r="7117" spans="1:7" hidden="1" x14ac:dyDescent="0.75">
      <c r="A7117" s="51">
        <v>44957</v>
      </c>
      <c r="B7117" s="52">
        <v>408</v>
      </c>
      <c r="C7117" s="8" t="s">
        <v>2660</v>
      </c>
      <c r="D7117" s="8" t="s">
        <v>760</v>
      </c>
      <c r="E7117" s="52">
        <v>1024</v>
      </c>
      <c r="F7117" s="13"/>
      <c r="G7117" s="13">
        <v>263.5</v>
      </c>
    </row>
    <row r="7118" spans="1:7" hidden="1" x14ac:dyDescent="0.75">
      <c r="A7118" s="51">
        <v>44957</v>
      </c>
      <c r="B7118" s="52">
        <v>408</v>
      </c>
      <c r="C7118" s="8" t="s">
        <v>2661</v>
      </c>
      <c r="D7118" s="8" t="s">
        <v>760</v>
      </c>
      <c r="E7118" s="52">
        <v>1024</v>
      </c>
      <c r="F7118" s="13"/>
      <c r="G7118" s="13">
        <v>1894.1</v>
      </c>
    </row>
    <row r="7119" spans="1:7" hidden="1" x14ac:dyDescent="0.75">
      <c r="A7119" s="51">
        <v>44957</v>
      </c>
      <c r="B7119" s="52">
        <v>408</v>
      </c>
      <c r="C7119" s="8" t="s">
        <v>2662</v>
      </c>
      <c r="D7119" s="8" t="s">
        <v>760</v>
      </c>
      <c r="E7119" s="52">
        <v>1024</v>
      </c>
      <c r="F7119" s="13"/>
      <c r="G7119" s="13">
        <v>704</v>
      </c>
    </row>
    <row r="7120" spans="1:7" hidden="1" x14ac:dyDescent="0.75">
      <c r="A7120" s="51">
        <v>44957</v>
      </c>
      <c r="B7120" s="52">
        <v>408</v>
      </c>
      <c r="C7120" s="8" t="s">
        <v>2111</v>
      </c>
      <c r="D7120" s="8" t="s">
        <v>760</v>
      </c>
      <c r="E7120" s="52">
        <v>720</v>
      </c>
      <c r="F7120" s="13"/>
      <c r="G7120" s="13">
        <v>1577.22</v>
      </c>
    </row>
    <row r="7121" spans="1:7" hidden="1" x14ac:dyDescent="0.75">
      <c r="A7121" s="51">
        <v>44957</v>
      </c>
      <c r="B7121" s="52">
        <v>408</v>
      </c>
      <c r="C7121" s="8" t="s">
        <v>2850</v>
      </c>
      <c r="D7121" s="8" t="s">
        <v>760</v>
      </c>
      <c r="E7121" s="52">
        <v>707</v>
      </c>
      <c r="F7121" s="13"/>
      <c r="G7121" s="13">
        <v>2180</v>
      </c>
    </row>
    <row r="7122" spans="1:7" hidden="1" x14ac:dyDescent="0.75">
      <c r="A7122" s="51">
        <v>44957</v>
      </c>
      <c r="B7122" s="52">
        <v>408</v>
      </c>
      <c r="C7122" s="8" t="s">
        <v>2851</v>
      </c>
      <c r="D7122" s="8" t="s">
        <v>760</v>
      </c>
      <c r="E7122" s="52">
        <v>707</v>
      </c>
      <c r="F7122" s="13"/>
      <c r="G7122" s="13">
        <v>1194.9000000000001</v>
      </c>
    </row>
    <row r="7123" spans="1:7" hidden="1" x14ac:dyDescent="0.75">
      <c r="A7123" s="51">
        <v>44957</v>
      </c>
      <c r="B7123" s="52">
        <v>408</v>
      </c>
      <c r="C7123" s="8" t="s">
        <v>3052</v>
      </c>
      <c r="D7123" s="8" t="s">
        <v>760</v>
      </c>
      <c r="E7123" s="52">
        <v>1752</v>
      </c>
      <c r="F7123" s="13"/>
      <c r="G7123" s="13">
        <v>268.35000000000002</v>
      </c>
    </row>
    <row r="7124" spans="1:7" hidden="1" x14ac:dyDescent="0.75">
      <c r="A7124" s="51">
        <v>44957</v>
      </c>
      <c r="B7124" s="52">
        <v>408</v>
      </c>
      <c r="C7124" s="8" t="s">
        <v>3002</v>
      </c>
      <c r="D7124" s="8" t="s">
        <v>760</v>
      </c>
      <c r="E7124" s="52">
        <v>1751</v>
      </c>
      <c r="F7124" s="13"/>
      <c r="G7124" s="13">
        <v>1101.6500000000001</v>
      </c>
    </row>
    <row r="7125" spans="1:7" hidden="1" x14ac:dyDescent="0.75">
      <c r="A7125" s="51">
        <v>44957</v>
      </c>
      <c r="B7125" s="52">
        <v>408</v>
      </c>
      <c r="C7125" s="8" t="s">
        <v>3027</v>
      </c>
      <c r="D7125" s="8" t="s">
        <v>760</v>
      </c>
      <c r="E7125" s="52">
        <v>1748</v>
      </c>
      <c r="F7125" s="13"/>
      <c r="G7125" s="13">
        <v>608.45000000000005</v>
      </c>
    </row>
    <row r="7126" spans="1:7" hidden="1" x14ac:dyDescent="0.75">
      <c r="A7126" s="51">
        <v>44957</v>
      </c>
      <c r="B7126" s="52">
        <v>408</v>
      </c>
      <c r="C7126" s="8" t="s">
        <v>3079</v>
      </c>
      <c r="D7126" s="8" t="s">
        <v>760</v>
      </c>
      <c r="E7126" s="52">
        <v>1696</v>
      </c>
      <c r="F7126" s="13"/>
      <c r="G7126" s="13">
        <v>568.65</v>
      </c>
    </row>
    <row r="7127" spans="1:7" hidden="1" x14ac:dyDescent="0.75">
      <c r="A7127" s="51">
        <v>44957</v>
      </c>
      <c r="B7127" s="52">
        <v>408</v>
      </c>
      <c r="C7127" s="8" t="s">
        <v>3108</v>
      </c>
      <c r="D7127" s="8" t="s">
        <v>760</v>
      </c>
      <c r="E7127" s="52">
        <v>1747</v>
      </c>
      <c r="F7127" s="13"/>
      <c r="G7127" s="13">
        <v>1147.55</v>
      </c>
    </row>
    <row r="7128" spans="1:7" hidden="1" x14ac:dyDescent="0.75">
      <c r="A7128" s="51">
        <v>44957</v>
      </c>
      <c r="B7128" s="52">
        <v>408</v>
      </c>
      <c r="C7128" s="8" t="s">
        <v>3003</v>
      </c>
      <c r="D7128" s="8" t="s">
        <v>760</v>
      </c>
      <c r="E7128" s="52">
        <v>1751</v>
      </c>
      <c r="F7128" s="13"/>
      <c r="G7128" s="13">
        <v>834.6</v>
      </c>
    </row>
    <row r="7129" spans="1:7" hidden="1" x14ac:dyDescent="0.75">
      <c r="A7129" s="51">
        <v>44957</v>
      </c>
      <c r="B7129" s="52">
        <v>408</v>
      </c>
      <c r="C7129" s="8" t="s">
        <v>3028</v>
      </c>
      <c r="D7129" s="8" t="s">
        <v>760</v>
      </c>
      <c r="E7129" s="52">
        <v>1748</v>
      </c>
      <c r="F7129" s="13"/>
      <c r="G7129" s="13">
        <v>323.10000000000002</v>
      </c>
    </row>
    <row r="7130" spans="1:7" hidden="1" x14ac:dyDescent="0.75">
      <c r="A7130" s="51">
        <v>44957</v>
      </c>
      <c r="B7130" s="52">
        <v>408</v>
      </c>
      <c r="C7130" s="8" t="s">
        <v>3053</v>
      </c>
      <c r="D7130" s="8" t="s">
        <v>760</v>
      </c>
      <c r="E7130" s="52">
        <v>1752</v>
      </c>
      <c r="F7130" s="13"/>
      <c r="G7130" s="13">
        <v>305.10000000000002</v>
      </c>
    </row>
    <row r="7131" spans="1:7" hidden="1" x14ac:dyDescent="0.75">
      <c r="A7131" s="51">
        <v>44957</v>
      </c>
      <c r="B7131" s="52">
        <v>408</v>
      </c>
      <c r="C7131" s="8" t="s">
        <v>3109</v>
      </c>
      <c r="D7131" s="8" t="s">
        <v>760</v>
      </c>
      <c r="E7131" s="52">
        <v>1747</v>
      </c>
      <c r="F7131" s="13"/>
      <c r="G7131" s="13">
        <v>1429.8</v>
      </c>
    </row>
    <row r="7132" spans="1:7" hidden="1" x14ac:dyDescent="0.75">
      <c r="A7132" s="51">
        <v>44957</v>
      </c>
      <c r="B7132" s="52">
        <v>408</v>
      </c>
      <c r="C7132" s="8" t="s">
        <v>2482</v>
      </c>
      <c r="D7132" s="8" t="s">
        <v>760</v>
      </c>
      <c r="E7132" s="52">
        <v>714</v>
      </c>
      <c r="F7132" s="13"/>
      <c r="G7132" s="13">
        <v>760</v>
      </c>
    </row>
    <row r="7133" spans="1:7" hidden="1" x14ac:dyDescent="0.75">
      <c r="A7133" s="51">
        <v>44957</v>
      </c>
      <c r="B7133" s="52">
        <v>408</v>
      </c>
      <c r="C7133" s="8" t="s">
        <v>2031</v>
      </c>
      <c r="D7133" s="8" t="s">
        <v>760</v>
      </c>
      <c r="E7133" s="52">
        <v>713</v>
      </c>
      <c r="F7133" s="13"/>
      <c r="G7133" s="13">
        <v>739.07</v>
      </c>
    </row>
    <row r="7134" spans="1:7" hidden="1" x14ac:dyDescent="0.75">
      <c r="A7134" s="51">
        <v>44957</v>
      </c>
      <c r="B7134" s="52">
        <v>408</v>
      </c>
      <c r="C7134" s="8" t="s">
        <v>2064</v>
      </c>
      <c r="D7134" s="8" t="s">
        <v>760</v>
      </c>
      <c r="E7134" s="52">
        <v>711</v>
      </c>
      <c r="F7134" s="13"/>
      <c r="G7134" s="13">
        <v>996.05</v>
      </c>
    </row>
    <row r="7135" spans="1:7" hidden="1" x14ac:dyDescent="0.75">
      <c r="A7135" s="51">
        <v>44957</v>
      </c>
      <c r="B7135" s="52">
        <v>408</v>
      </c>
      <c r="C7135" s="8" t="s">
        <v>1993</v>
      </c>
      <c r="D7135" s="8" t="s">
        <v>760</v>
      </c>
      <c r="E7135" s="52">
        <v>1124</v>
      </c>
      <c r="F7135" s="13"/>
      <c r="G7135" s="13">
        <v>1022.24</v>
      </c>
    </row>
    <row r="7136" spans="1:7" hidden="1" x14ac:dyDescent="0.75">
      <c r="A7136" s="51">
        <v>44957</v>
      </c>
      <c r="B7136" s="52">
        <v>408</v>
      </c>
      <c r="C7136" s="8" t="s">
        <v>2150</v>
      </c>
      <c r="D7136" s="8" t="s">
        <v>760</v>
      </c>
      <c r="E7136" s="52">
        <v>712</v>
      </c>
      <c r="F7136" s="13"/>
      <c r="G7136" s="13">
        <v>2903.9</v>
      </c>
    </row>
    <row r="7137" spans="1:7" hidden="1" x14ac:dyDescent="0.75">
      <c r="A7137" s="51">
        <v>44957</v>
      </c>
      <c r="B7137" s="52">
        <v>408</v>
      </c>
      <c r="C7137" s="8" t="s">
        <v>2387</v>
      </c>
      <c r="D7137" s="8" t="s">
        <v>760</v>
      </c>
      <c r="E7137" s="52">
        <v>1818</v>
      </c>
      <c r="F7137" s="13"/>
      <c r="G7137" s="13">
        <v>2566.4</v>
      </c>
    </row>
    <row r="7138" spans="1:7" hidden="1" x14ac:dyDescent="0.75">
      <c r="A7138" s="51">
        <v>44957</v>
      </c>
      <c r="B7138" s="52">
        <v>408</v>
      </c>
      <c r="C7138" s="8" t="s">
        <v>2334</v>
      </c>
      <c r="D7138" s="8" t="s">
        <v>760</v>
      </c>
      <c r="E7138" s="52">
        <v>717</v>
      </c>
      <c r="F7138" s="13"/>
      <c r="G7138" s="13">
        <v>734.3</v>
      </c>
    </row>
    <row r="7139" spans="1:7" hidden="1" x14ac:dyDescent="0.75">
      <c r="A7139" s="51">
        <v>44957</v>
      </c>
      <c r="B7139" s="52">
        <v>408</v>
      </c>
      <c r="C7139" s="8" t="s">
        <v>2175</v>
      </c>
      <c r="D7139" s="8" t="s">
        <v>760</v>
      </c>
      <c r="E7139" s="52">
        <v>716</v>
      </c>
      <c r="F7139" s="13"/>
      <c r="G7139" s="13">
        <v>823.13</v>
      </c>
    </row>
    <row r="7140" spans="1:7" hidden="1" x14ac:dyDescent="0.75">
      <c r="A7140" s="51">
        <v>44957</v>
      </c>
      <c r="B7140" s="52">
        <v>408</v>
      </c>
      <c r="C7140" s="8" t="s">
        <v>2099</v>
      </c>
      <c r="D7140" s="8" t="s">
        <v>760</v>
      </c>
      <c r="E7140" s="52">
        <v>710</v>
      </c>
      <c r="F7140" s="13"/>
      <c r="G7140" s="13">
        <v>839.04</v>
      </c>
    </row>
    <row r="7141" spans="1:7" hidden="1" x14ac:dyDescent="0.75">
      <c r="A7141" s="51">
        <v>44957</v>
      </c>
      <c r="B7141" s="52">
        <v>408</v>
      </c>
      <c r="C7141" s="8" t="s">
        <v>2957</v>
      </c>
      <c r="D7141" s="8" t="s">
        <v>760</v>
      </c>
      <c r="E7141" s="52">
        <v>1508</v>
      </c>
      <c r="F7141" s="13"/>
      <c r="G7141" s="13">
        <v>1586.1</v>
      </c>
    </row>
    <row r="7142" spans="1:7" hidden="1" x14ac:dyDescent="0.75">
      <c r="A7142" s="51">
        <v>44957</v>
      </c>
      <c r="B7142" s="52">
        <v>408</v>
      </c>
      <c r="C7142" s="8" t="s">
        <v>2958</v>
      </c>
      <c r="D7142" s="8" t="s">
        <v>760</v>
      </c>
      <c r="E7142" s="52">
        <v>1508</v>
      </c>
      <c r="F7142" s="13"/>
      <c r="G7142" s="13">
        <v>3997.2</v>
      </c>
    </row>
    <row r="7143" spans="1:7" hidden="1" x14ac:dyDescent="0.75">
      <c r="A7143" s="51">
        <v>44957</v>
      </c>
      <c r="B7143" s="52">
        <v>408</v>
      </c>
      <c r="C7143" s="8" t="s">
        <v>2663</v>
      </c>
      <c r="D7143" s="8" t="s">
        <v>760</v>
      </c>
      <c r="E7143" s="52">
        <v>1024</v>
      </c>
      <c r="F7143" s="13"/>
      <c r="G7143" s="13">
        <v>85</v>
      </c>
    </row>
    <row r="7144" spans="1:7" hidden="1" x14ac:dyDescent="0.75">
      <c r="A7144" s="51">
        <v>44957</v>
      </c>
      <c r="B7144" s="52">
        <v>408</v>
      </c>
      <c r="C7144" s="8" t="s">
        <v>2664</v>
      </c>
      <c r="D7144" s="8" t="s">
        <v>760</v>
      </c>
      <c r="E7144" s="52">
        <v>1024</v>
      </c>
      <c r="F7144" s="13"/>
      <c r="G7144" s="13">
        <v>2000.75</v>
      </c>
    </row>
    <row r="7145" spans="1:7" hidden="1" x14ac:dyDescent="0.75">
      <c r="A7145" s="51">
        <v>44928</v>
      </c>
      <c r="B7145" s="52">
        <v>417</v>
      </c>
      <c r="C7145" s="8" t="s">
        <v>3415</v>
      </c>
      <c r="D7145" s="8" t="s">
        <v>766</v>
      </c>
      <c r="E7145" s="52">
        <v>1523</v>
      </c>
      <c r="F7145" s="13">
        <v>45.5</v>
      </c>
      <c r="G7145" s="13"/>
    </row>
    <row r="7146" spans="1:7" hidden="1" x14ac:dyDescent="0.75">
      <c r="A7146" s="51">
        <v>44928</v>
      </c>
      <c r="B7146" s="52">
        <v>417</v>
      </c>
      <c r="C7146" s="8" t="s">
        <v>3416</v>
      </c>
      <c r="D7146" s="8" t="s">
        <v>766</v>
      </c>
      <c r="E7146" s="52">
        <v>1523</v>
      </c>
      <c r="F7146" s="13">
        <v>57.6</v>
      </c>
      <c r="G7146" s="13"/>
    </row>
    <row r="7147" spans="1:7" hidden="1" x14ac:dyDescent="0.75">
      <c r="A7147" s="51">
        <v>44928</v>
      </c>
      <c r="B7147" s="52">
        <v>417</v>
      </c>
      <c r="C7147" s="8" t="s">
        <v>3417</v>
      </c>
      <c r="D7147" s="8" t="s">
        <v>766</v>
      </c>
      <c r="E7147" s="52">
        <v>1523</v>
      </c>
      <c r="F7147" s="13">
        <v>9</v>
      </c>
      <c r="G7147" s="13"/>
    </row>
    <row r="7148" spans="1:7" hidden="1" x14ac:dyDescent="0.75">
      <c r="A7148" s="51">
        <v>44928</v>
      </c>
      <c r="B7148" s="52">
        <v>417</v>
      </c>
      <c r="C7148" s="8" t="s">
        <v>3418</v>
      </c>
      <c r="D7148" s="8" t="s">
        <v>766</v>
      </c>
      <c r="E7148" s="52">
        <v>1523</v>
      </c>
      <c r="F7148" s="13">
        <v>4.2</v>
      </c>
      <c r="G7148" s="13"/>
    </row>
    <row r="7149" spans="1:7" hidden="1" x14ac:dyDescent="0.75">
      <c r="A7149" s="51">
        <v>44928</v>
      </c>
      <c r="B7149" s="52">
        <v>417</v>
      </c>
      <c r="C7149" s="8" t="s">
        <v>3419</v>
      </c>
      <c r="D7149" s="8" t="s">
        <v>766</v>
      </c>
      <c r="E7149" s="52">
        <v>1523</v>
      </c>
      <c r="F7149" s="13">
        <v>8.8000000000000007</v>
      </c>
      <c r="G7149" s="13"/>
    </row>
    <row r="7150" spans="1:7" hidden="1" x14ac:dyDescent="0.75">
      <c r="A7150" s="51">
        <v>44928</v>
      </c>
      <c r="B7150" s="52">
        <v>417</v>
      </c>
      <c r="C7150" s="8" t="s">
        <v>3420</v>
      </c>
      <c r="D7150" s="8" t="s">
        <v>766</v>
      </c>
      <c r="E7150" s="52">
        <v>1523</v>
      </c>
      <c r="F7150" s="13">
        <v>205.6</v>
      </c>
      <c r="G7150" s="13"/>
    </row>
    <row r="7151" spans="1:7" hidden="1" x14ac:dyDescent="0.75">
      <c r="A7151" s="51">
        <v>44928</v>
      </c>
      <c r="B7151" s="52">
        <v>417</v>
      </c>
      <c r="C7151" s="8" t="s">
        <v>3421</v>
      </c>
      <c r="D7151" s="8" t="s">
        <v>766</v>
      </c>
      <c r="E7151" s="52">
        <v>1523</v>
      </c>
      <c r="F7151" s="13">
        <v>41.8</v>
      </c>
      <c r="G7151" s="13"/>
    </row>
    <row r="7152" spans="1:7" hidden="1" x14ac:dyDescent="0.75">
      <c r="A7152" s="51">
        <v>44928</v>
      </c>
      <c r="B7152" s="52">
        <v>417</v>
      </c>
      <c r="C7152" s="8" t="s">
        <v>2870</v>
      </c>
      <c r="D7152" s="8" t="s">
        <v>766</v>
      </c>
      <c r="E7152" s="52">
        <v>1508</v>
      </c>
      <c r="F7152" s="13">
        <v>146.80000000000001</v>
      </c>
      <c r="G7152" s="13"/>
    </row>
    <row r="7153" spans="1:7" hidden="1" x14ac:dyDescent="0.75">
      <c r="A7153" s="51">
        <v>44928</v>
      </c>
      <c r="B7153" s="52">
        <v>417</v>
      </c>
      <c r="C7153" s="8" t="s">
        <v>2871</v>
      </c>
      <c r="D7153" s="8" t="s">
        <v>766</v>
      </c>
      <c r="E7153" s="52">
        <v>1508</v>
      </c>
      <c r="F7153" s="13">
        <v>58.05</v>
      </c>
      <c r="G7153" s="13"/>
    </row>
    <row r="7154" spans="1:7" hidden="1" x14ac:dyDescent="0.75">
      <c r="A7154" s="51">
        <v>44928</v>
      </c>
      <c r="B7154" s="52">
        <v>417</v>
      </c>
      <c r="C7154" s="8" t="s">
        <v>3260</v>
      </c>
      <c r="D7154" s="8" t="s">
        <v>766</v>
      </c>
      <c r="E7154" s="52">
        <v>1434</v>
      </c>
      <c r="F7154" s="13">
        <v>350.32</v>
      </c>
      <c r="G7154" s="13"/>
    </row>
    <row r="7155" spans="1:7" hidden="1" x14ac:dyDescent="0.75">
      <c r="A7155" s="51">
        <v>44928</v>
      </c>
      <c r="B7155" s="52">
        <v>417</v>
      </c>
      <c r="C7155" s="8" t="s">
        <v>3261</v>
      </c>
      <c r="D7155" s="8" t="s">
        <v>766</v>
      </c>
      <c r="E7155" s="52">
        <v>1434</v>
      </c>
      <c r="F7155" s="13">
        <v>51.2</v>
      </c>
      <c r="G7155" s="13"/>
    </row>
    <row r="7156" spans="1:7" hidden="1" x14ac:dyDescent="0.75">
      <c r="A7156" s="51">
        <v>44928</v>
      </c>
      <c r="B7156" s="52">
        <v>417</v>
      </c>
      <c r="C7156" s="8" t="s">
        <v>3262</v>
      </c>
      <c r="D7156" s="8" t="s">
        <v>766</v>
      </c>
      <c r="E7156" s="52">
        <v>1434</v>
      </c>
      <c r="F7156" s="13">
        <v>30.4</v>
      </c>
      <c r="G7156" s="13"/>
    </row>
    <row r="7157" spans="1:7" hidden="1" x14ac:dyDescent="0.75">
      <c r="A7157" s="51">
        <v>44928</v>
      </c>
      <c r="B7157" s="52">
        <v>417</v>
      </c>
      <c r="C7157" s="8" t="s">
        <v>3263</v>
      </c>
      <c r="D7157" s="8" t="s">
        <v>766</v>
      </c>
      <c r="E7157" s="52">
        <v>1434</v>
      </c>
      <c r="F7157" s="13">
        <v>95.7</v>
      </c>
      <c r="G7157" s="13"/>
    </row>
    <row r="7158" spans="1:7" hidden="1" x14ac:dyDescent="0.75">
      <c r="A7158" s="51">
        <v>44929</v>
      </c>
      <c r="B7158" s="52">
        <v>417</v>
      </c>
      <c r="C7158" s="8" t="s">
        <v>3607</v>
      </c>
      <c r="D7158" s="8" t="s">
        <v>766</v>
      </c>
      <c r="E7158" s="52">
        <v>1429</v>
      </c>
      <c r="F7158" s="13">
        <v>52</v>
      </c>
      <c r="G7158" s="13"/>
    </row>
    <row r="7159" spans="1:7" hidden="1" x14ac:dyDescent="0.75">
      <c r="A7159" s="51">
        <v>44929</v>
      </c>
      <c r="B7159" s="52">
        <v>417</v>
      </c>
      <c r="C7159" s="8" t="s">
        <v>3608</v>
      </c>
      <c r="D7159" s="8" t="s">
        <v>766</v>
      </c>
      <c r="E7159" s="52">
        <v>1429</v>
      </c>
      <c r="F7159" s="13">
        <v>89.32</v>
      </c>
      <c r="G7159" s="13"/>
    </row>
    <row r="7160" spans="1:7" hidden="1" x14ac:dyDescent="0.75">
      <c r="A7160" s="51">
        <v>44929</v>
      </c>
      <c r="B7160" s="52">
        <v>417</v>
      </c>
      <c r="C7160" s="8" t="s">
        <v>3609</v>
      </c>
      <c r="D7160" s="8" t="s">
        <v>766</v>
      </c>
      <c r="E7160" s="52">
        <v>1429</v>
      </c>
      <c r="F7160" s="13">
        <v>5.5</v>
      </c>
      <c r="G7160" s="13"/>
    </row>
    <row r="7161" spans="1:7" hidden="1" x14ac:dyDescent="0.75">
      <c r="A7161" s="51">
        <v>44929</v>
      </c>
      <c r="B7161" s="52">
        <v>417</v>
      </c>
      <c r="C7161" s="8" t="s">
        <v>3197</v>
      </c>
      <c r="D7161" s="8" t="s">
        <v>766</v>
      </c>
      <c r="E7161" s="52">
        <v>1436</v>
      </c>
      <c r="F7161" s="13">
        <v>43.35</v>
      </c>
      <c r="G7161" s="13"/>
    </row>
    <row r="7162" spans="1:7" hidden="1" x14ac:dyDescent="0.75">
      <c r="A7162" s="51">
        <v>44929</v>
      </c>
      <c r="B7162" s="52">
        <v>417</v>
      </c>
      <c r="C7162" s="8" t="s">
        <v>3422</v>
      </c>
      <c r="D7162" s="8" t="s">
        <v>766</v>
      </c>
      <c r="E7162" s="52">
        <v>1523</v>
      </c>
      <c r="F7162" s="13">
        <v>499.2</v>
      </c>
      <c r="G7162" s="13"/>
    </row>
    <row r="7163" spans="1:7" hidden="1" x14ac:dyDescent="0.75">
      <c r="A7163" s="51">
        <v>44929</v>
      </c>
      <c r="B7163" s="52">
        <v>417</v>
      </c>
      <c r="C7163" s="8" t="s">
        <v>3423</v>
      </c>
      <c r="D7163" s="8" t="s">
        <v>766</v>
      </c>
      <c r="E7163" s="52">
        <v>1523</v>
      </c>
      <c r="F7163" s="13">
        <v>9.3000000000000007</v>
      </c>
      <c r="G7163" s="13"/>
    </row>
    <row r="7164" spans="1:7" hidden="1" x14ac:dyDescent="0.75">
      <c r="A7164" s="51">
        <v>44929</v>
      </c>
      <c r="B7164" s="52">
        <v>417</v>
      </c>
      <c r="C7164" s="8" t="s">
        <v>3424</v>
      </c>
      <c r="D7164" s="8" t="s">
        <v>766</v>
      </c>
      <c r="E7164" s="52">
        <v>1523</v>
      </c>
      <c r="F7164" s="13">
        <v>6</v>
      </c>
      <c r="G7164" s="13"/>
    </row>
    <row r="7165" spans="1:7" hidden="1" x14ac:dyDescent="0.75">
      <c r="A7165" s="51">
        <v>44929</v>
      </c>
      <c r="B7165" s="52">
        <v>417</v>
      </c>
      <c r="C7165" s="8" t="s">
        <v>3425</v>
      </c>
      <c r="D7165" s="8" t="s">
        <v>766</v>
      </c>
      <c r="E7165" s="52">
        <v>1523</v>
      </c>
      <c r="F7165" s="13">
        <v>4.8</v>
      </c>
      <c r="G7165" s="13"/>
    </row>
    <row r="7166" spans="1:7" hidden="1" x14ac:dyDescent="0.75">
      <c r="A7166" s="51">
        <v>44929</v>
      </c>
      <c r="B7166" s="52">
        <v>417</v>
      </c>
      <c r="C7166" s="8" t="s">
        <v>3426</v>
      </c>
      <c r="D7166" s="8" t="s">
        <v>766</v>
      </c>
      <c r="E7166" s="52">
        <v>1523</v>
      </c>
      <c r="F7166" s="13">
        <v>25.5</v>
      </c>
      <c r="G7166" s="13"/>
    </row>
    <row r="7167" spans="1:7" hidden="1" x14ac:dyDescent="0.75">
      <c r="A7167" s="51">
        <v>44929</v>
      </c>
      <c r="B7167" s="52">
        <v>417</v>
      </c>
      <c r="C7167" s="8" t="s">
        <v>2874</v>
      </c>
      <c r="D7167" s="8" t="s">
        <v>766</v>
      </c>
      <c r="E7167" s="52">
        <v>1508</v>
      </c>
      <c r="F7167" s="13">
        <v>7.75</v>
      </c>
      <c r="G7167" s="13"/>
    </row>
    <row r="7168" spans="1:7" hidden="1" x14ac:dyDescent="0.75">
      <c r="A7168" s="51">
        <v>44929</v>
      </c>
      <c r="B7168" s="52">
        <v>417</v>
      </c>
      <c r="C7168" s="8" t="s">
        <v>2875</v>
      </c>
      <c r="D7168" s="8" t="s">
        <v>766</v>
      </c>
      <c r="E7168" s="52">
        <v>1508</v>
      </c>
      <c r="F7168" s="13">
        <v>173.7</v>
      </c>
      <c r="G7168" s="13"/>
    </row>
    <row r="7169" spans="1:7" hidden="1" x14ac:dyDescent="0.75">
      <c r="A7169" s="51">
        <v>44929</v>
      </c>
      <c r="B7169" s="52">
        <v>417</v>
      </c>
      <c r="C7169" s="8" t="s">
        <v>3264</v>
      </c>
      <c r="D7169" s="8" t="s">
        <v>766</v>
      </c>
      <c r="E7169" s="52">
        <v>1434</v>
      </c>
      <c r="F7169" s="13">
        <v>190.2</v>
      </c>
      <c r="G7169" s="13"/>
    </row>
    <row r="7170" spans="1:7" hidden="1" x14ac:dyDescent="0.75">
      <c r="A7170" s="51">
        <v>44929</v>
      </c>
      <c r="B7170" s="52">
        <v>417</v>
      </c>
      <c r="C7170" s="8" t="s">
        <v>3265</v>
      </c>
      <c r="D7170" s="8" t="s">
        <v>766</v>
      </c>
      <c r="E7170" s="52">
        <v>1434</v>
      </c>
      <c r="F7170" s="13">
        <v>133.9</v>
      </c>
      <c r="G7170" s="13"/>
    </row>
    <row r="7171" spans="1:7" hidden="1" x14ac:dyDescent="0.75">
      <c r="A7171" s="51">
        <v>44929</v>
      </c>
      <c r="B7171" s="52">
        <v>417</v>
      </c>
      <c r="C7171" s="8" t="s">
        <v>3266</v>
      </c>
      <c r="D7171" s="8" t="s">
        <v>766</v>
      </c>
      <c r="E7171" s="52">
        <v>1434</v>
      </c>
      <c r="F7171" s="13">
        <v>372.48</v>
      </c>
      <c r="G7171" s="13"/>
    </row>
    <row r="7172" spans="1:7" hidden="1" x14ac:dyDescent="0.75">
      <c r="A7172" s="51">
        <v>44929</v>
      </c>
      <c r="B7172" s="52">
        <v>417</v>
      </c>
      <c r="C7172" s="8" t="s">
        <v>3267</v>
      </c>
      <c r="D7172" s="8" t="s">
        <v>766</v>
      </c>
      <c r="E7172" s="52">
        <v>1434</v>
      </c>
      <c r="F7172" s="13">
        <v>45.7</v>
      </c>
      <c r="G7172" s="13"/>
    </row>
    <row r="7173" spans="1:7" hidden="1" x14ac:dyDescent="0.75">
      <c r="A7173" s="51">
        <v>44930</v>
      </c>
      <c r="B7173" s="52">
        <v>417</v>
      </c>
      <c r="C7173" s="8" t="s">
        <v>3704</v>
      </c>
      <c r="D7173" s="8" t="s">
        <v>766</v>
      </c>
      <c r="E7173" s="52">
        <v>1433</v>
      </c>
      <c r="F7173" s="13">
        <v>436</v>
      </c>
      <c r="G7173" s="13"/>
    </row>
    <row r="7174" spans="1:7" hidden="1" x14ac:dyDescent="0.75">
      <c r="A7174" s="51">
        <v>44930</v>
      </c>
      <c r="B7174" s="52">
        <v>417</v>
      </c>
      <c r="C7174" s="8" t="s">
        <v>3198</v>
      </c>
      <c r="D7174" s="8" t="s">
        <v>766</v>
      </c>
      <c r="E7174" s="52">
        <v>1436</v>
      </c>
      <c r="F7174" s="13">
        <v>197.2</v>
      </c>
      <c r="G7174" s="13"/>
    </row>
    <row r="7175" spans="1:7" hidden="1" x14ac:dyDescent="0.75">
      <c r="A7175" s="51">
        <v>44930</v>
      </c>
      <c r="B7175" s="52">
        <v>417</v>
      </c>
      <c r="C7175" s="8" t="s">
        <v>3449</v>
      </c>
      <c r="D7175" s="8" t="s">
        <v>766</v>
      </c>
      <c r="E7175" s="52">
        <v>1523</v>
      </c>
      <c r="F7175" s="13">
        <v>46.4</v>
      </c>
      <c r="G7175" s="13"/>
    </row>
    <row r="7176" spans="1:7" hidden="1" x14ac:dyDescent="0.75">
      <c r="A7176" s="51">
        <v>44930</v>
      </c>
      <c r="B7176" s="52">
        <v>417</v>
      </c>
      <c r="C7176" s="8" t="s">
        <v>3268</v>
      </c>
      <c r="D7176" s="8" t="s">
        <v>766</v>
      </c>
      <c r="E7176" s="52">
        <v>1434</v>
      </c>
      <c r="F7176" s="13">
        <v>79</v>
      </c>
      <c r="G7176" s="13"/>
    </row>
    <row r="7177" spans="1:7" hidden="1" x14ac:dyDescent="0.75">
      <c r="A7177" s="51">
        <v>44930</v>
      </c>
      <c r="B7177" s="52">
        <v>417</v>
      </c>
      <c r="C7177" s="8" t="s">
        <v>3269</v>
      </c>
      <c r="D7177" s="8" t="s">
        <v>766</v>
      </c>
      <c r="E7177" s="52">
        <v>1434</v>
      </c>
      <c r="F7177" s="13">
        <v>285.45999999999998</v>
      </c>
      <c r="G7177" s="13"/>
    </row>
    <row r="7178" spans="1:7" hidden="1" x14ac:dyDescent="0.75">
      <c r="A7178" s="51">
        <v>44931</v>
      </c>
      <c r="B7178" s="52">
        <v>417</v>
      </c>
      <c r="C7178" s="8" t="s">
        <v>3270</v>
      </c>
      <c r="D7178" s="8" t="s">
        <v>766</v>
      </c>
      <c r="E7178" s="52">
        <v>1434</v>
      </c>
      <c r="F7178" s="13">
        <v>39.5</v>
      </c>
      <c r="G7178" s="13"/>
    </row>
    <row r="7179" spans="1:7" hidden="1" x14ac:dyDescent="0.75">
      <c r="A7179" s="51">
        <v>44931</v>
      </c>
      <c r="B7179" s="52">
        <v>417</v>
      </c>
      <c r="C7179" s="8" t="s">
        <v>3611</v>
      </c>
      <c r="D7179" s="8" t="s">
        <v>766</v>
      </c>
      <c r="E7179" s="52">
        <v>1429</v>
      </c>
      <c r="F7179" s="13">
        <v>44</v>
      </c>
      <c r="G7179" s="13"/>
    </row>
    <row r="7180" spans="1:7" hidden="1" x14ac:dyDescent="0.75">
      <c r="A7180" s="51">
        <v>44931</v>
      </c>
      <c r="B7180" s="52">
        <v>417</v>
      </c>
      <c r="C7180" s="8" t="s">
        <v>3612</v>
      </c>
      <c r="D7180" s="8" t="s">
        <v>766</v>
      </c>
      <c r="E7180" s="52">
        <v>1429</v>
      </c>
      <c r="F7180" s="13">
        <v>65.599999999999994</v>
      </c>
      <c r="G7180" s="13"/>
    </row>
    <row r="7181" spans="1:7" hidden="1" x14ac:dyDescent="0.75">
      <c r="A7181" s="51">
        <v>44931</v>
      </c>
      <c r="B7181" s="52">
        <v>417</v>
      </c>
      <c r="C7181" s="8" t="s">
        <v>3613</v>
      </c>
      <c r="D7181" s="8" t="s">
        <v>766</v>
      </c>
      <c r="E7181" s="52">
        <v>1429</v>
      </c>
      <c r="F7181" s="13">
        <v>226.1</v>
      </c>
      <c r="G7181" s="13"/>
    </row>
    <row r="7182" spans="1:7" hidden="1" x14ac:dyDescent="0.75">
      <c r="A7182" s="51">
        <v>44931</v>
      </c>
      <c r="B7182" s="52">
        <v>417</v>
      </c>
      <c r="C7182" s="8" t="s">
        <v>3614</v>
      </c>
      <c r="D7182" s="8" t="s">
        <v>766</v>
      </c>
      <c r="E7182" s="52">
        <v>1429</v>
      </c>
      <c r="F7182" s="13">
        <v>26</v>
      </c>
      <c r="G7182" s="13"/>
    </row>
    <row r="7183" spans="1:7" hidden="1" x14ac:dyDescent="0.75">
      <c r="A7183" s="51">
        <v>44931</v>
      </c>
      <c r="B7183" s="52">
        <v>417</v>
      </c>
      <c r="C7183" s="8" t="s">
        <v>3615</v>
      </c>
      <c r="D7183" s="8" t="s">
        <v>766</v>
      </c>
      <c r="E7183" s="52">
        <v>1429</v>
      </c>
      <c r="F7183" s="13">
        <v>80.599999999999994</v>
      </c>
      <c r="G7183" s="13"/>
    </row>
    <row r="7184" spans="1:7" hidden="1" x14ac:dyDescent="0.75">
      <c r="A7184" s="51">
        <v>44931</v>
      </c>
      <c r="B7184" s="52">
        <v>417</v>
      </c>
      <c r="C7184" s="8" t="s">
        <v>3199</v>
      </c>
      <c r="D7184" s="8" t="s">
        <v>766</v>
      </c>
      <c r="E7184" s="52">
        <v>1436</v>
      </c>
      <c r="F7184" s="13">
        <v>21.05</v>
      </c>
      <c r="G7184" s="13"/>
    </row>
    <row r="7185" spans="1:7" hidden="1" x14ac:dyDescent="0.75">
      <c r="A7185" s="51">
        <v>44931</v>
      </c>
      <c r="B7185" s="52">
        <v>417</v>
      </c>
      <c r="C7185" s="8" t="s">
        <v>2884</v>
      </c>
      <c r="D7185" s="8" t="s">
        <v>766</v>
      </c>
      <c r="E7185" s="52">
        <v>1508</v>
      </c>
      <c r="F7185" s="13">
        <v>12.9</v>
      </c>
      <c r="G7185" s="13"/>
    </row>
    <row r="7186" spans="1:7" hidden="1" x14ac:dyDescent="0.75">
      <c r="A7186" s="51">
        <v>44931</v>
      </c>
      <c r="B7186" s="52">
        <v>417</v>
      </c>
      <c r="C7186" s="8" t="s">
        <v>2885</v>
      </c>
      <c r="D7186" s="8" t="s">
        <v>766</v>
      </c>
      <c r="E7186" s="52">
        <v>1508</v>
      </c>
      <c r="F7186" s="13">
        <v>52.2</v>
      </c>
      <c r="G7186" s="13"/>
    </row>
    <row r="7187" spans="1:7" hidden="1" x14ac:dyDescent="0.75">
      <c r="A7187" s="51">
        <v>44931</v>
      </c>
      <c r="B7187" s="52">
        <v>417</v>
      </c>
      <c r="C7187" s="8" t="s">
        <v>3271</v>
      </c>
      <c r="D7187" s="8" t="s">
        <v>766</v>
      </c>
      <c r="E7187" s="52">
        <v>1434</v>
      </c>
      <c r="F7187" s="13">
        <v>161</v>
      </c>
      <c r="G7187" s="13"/>
    </row>
    <row r="7188" spans="1:7" hidden="1" x14ac:dyDescent="0.75">
      <c r="A7188" s="51">
        <v>44931</v>
      </c>
      <c r="B7188" s="52">
        <v>417</v>
      </c>
      <c r="C7188" s="8" t="s">
        <v>3272</v>
      </c>
      <c r="D7188" s="8" t="s">
        <v>766</v>
      </c>
      <c r="E7188" s="52">
        <v>1434</v>
      </c>
      <c r="F7188" s="13">
        <v>146.69999999999999</v>
      </c>
      <c r="G7188" s="13"/>
    </row>
    <row r="7189" spans="1:7" hidden="1" x14ac:dyDescent="0.75">
      <c r="A7189" s="51">
        <v>44931</v>
      </c>
      <c r="B7189" s="52">
        <v>417</v>
      </c>
      <c r="C7189" s="8" t="s">
        <v>3273</v>
      </c>
      <c r="D7189" s="8" t="s">
        <v>766</v>
      </c>
      <c r="E7189" s="52">
        <v>1434</v>
      </c>
      <c r="F7189" s="13">
        <v>219.4</v>
      </c>
      <c r="G7189" s="13"/>
    </row>
    <row r="7190" spans="1:7" hidden="1" x14ac:dyDescent="0.75">
      <c r="A7190" s="51">
        <v>44932</v>
      </c>
      <c r="B7190" s="52">
        <v>417</v>
      </c>
      <c r="C7190" s="8" t="s">
        <v>3200</v>
      </c>
      <c r="D7190" s="8" t="s">
        <v>766</v>
      </c>
      <c r="E7190" s="52">
        <v>1436</v>
      </c>
      <c r="F7190" s="13">
        <v>122.5</v>
      </c>
      <c r="G7190" s="13"/>
    </row>
    <row r="7191" spans="1:7" hidden="1" x14ac:dyDescent="0.75">
      <c r="A7191" s="51">
        <v>44932</v>
      </c>
      <c r="B7191" s="52">
        <v>417</v>
      </c>
      <c r="C7191" s="8" t="s">
        <v>3201</v>
      </c>
      <c r="D7191" s="8" t="s">
        <v>766</v>
      </c>
      <c r="E7191" s="52">
        <v>1436</v>
      </c>
      <c r="F7191" s="13">
        <v>372</v>
      </c>
      <c r="G7191" s="13"/>
    </row>
    <row r="7192" spans="1:7" hidden="1" x14ac:dyDescent="0.75">
      <c r="A7192" s="51">
        <v>44932</v>
      </c>
      <c r="B7192" s="52">
        <v>417</v>
      </c>
      <c r="C7192" s="8" t="s">
        <v>3450</v>
      </c>
      <c r="D7192" s="8" t="s">
        <v>766</v>
      </c>
      <c r="E7192" s="52">
        <v>1523</v>
      </c>
      <c r="F7192" s="13">
        <v>170.8</v>
      </c>
      <c r="G7192" s="13"/>
    </row>
    <row r="7193" spans="1:7" hidden="1" x14ac:dyDescent="0.75">
      <c r="A7193" s="51">
        <v>44932</v>
      </c>
      <c r="B7193" s="52">
        <v>417</v>
      </c>
      <c r="C7193" s="8" t="s">
        <v>3451</v>
      </c>
      <c r="D7193" s="8" t="s">
        <v>766</v>
      </c>
      <c r="E7193" s="52">
        <v>1523</v>
      </c>
      <c r="F7193" s="13">
        <v>31.9</v>
      </c>
      <c r="G7193" s="13"/>
    </row>
    <row r="7194" spans="1:7" hidden="1" x14ac:dyDescent="0.75">
      <c r="A7194" s="51">
        <v>44932</v>
      </c>
      <c r="B7194" s="52">
        <v>417</v>
      </c>
      <c r="C7194" s="8" t="s">
        <v>3452</v>
      </c>
      <c r="D7194" s="8" t="s">
        <v>766</v>
      </c>
      <c r="E7194" s="52">
        <v>1523</v>
      </c>
      <c r="F7194" s="13">
        <v>63.9</v>
      </c>
      <c r="G7194" s="13"/>
    </row>
    <row r="7195" spans="1:7" hidden="1" x14ac:dyDescent="0.75">
      <c r="A7195" s="51">
        <v>44932</v>
      </c>
      <c r="B7195" s="52">
        <v>417</v>
      </c>
      <c r="C7195" s="8" t="s">
        <v>3453</v>
      </c>
      <c r="D7195" s="8" t="s">
        <v>766</v>
      </c>
      <c r="E7195" s="52">
        <v>1523</v>
      </c>
      <c r="F7195" s="13">
        <v>123.1</v>
      </c>
      <c r="G7195" s="13"/>
    </row>
    <row r="7196" spans="1:7" hidden="1" x14ac:dyDescent="0.75">
      <c r="A7196" s="51">
        <v>44932</v>
      </c>
      <c r="B7196" s="52">
        <v>417</v>
      </c>
      <c r="C7196" s="8" t="s">
        <v>3454</v>
      </c>
      <c r="D7196" s="8" t="s">
        <v>766</v>
      </c>
      <c r="E7196" s="52">
        <v>1523</v>
      </c>
      <c r="F7196" s="13">
        <v>2.5</v>
      </c>
      <c r="G7196" s="13"/>
    </row>
    <row r="7197" spans="1:7" hidden="1" x14ac:dyDescent="0.75">
      <c r="A7197" s="51">
        <v>44932</v>
      </c>
      <c r="B7197" s="52">
        <v>417</v>
      </c>
      <c r="C7197" s="8" t="s">
        <v>3455</v>
      </c>
      <c r="D7197" s="8" t="s">
        <v>766</v>
      </c>
      <c r="E7197" s="52">
        <v>1523</v>
      </c>
      <c r="F7197" s="13">
        <v>54.4</v>
      </c>
      <c r="G7197" s="13"/>
    </row>
    <row r="7198" spans="1:7" hidden="1" x14ac:dyDescent="0.75">
      <c r="A7198" s="51">
        <v>44932</v>
      </c>
      <c r="B7198" s="52">
        <v>417</v>
      </c>
      <c r="C7198" s="8" t="s">
        <v>3274</v>
      </c>
      <c r="D7198" s="8" t="s">
        <v>766</v>
      </c>
      <c r="E7198" s="52">
        <v>1434</v>
      </c>
      <c r="F7198" s="13">
        <v>103</v>
      </c>
      <c r="G7198" s="13"/>
    </row>
    <row r="7199" spans="1:7" hidden="1" x14ac:dyDescent="0.75">
      <c r="A7199" s="51">
        <v>44932</v>
      </c>
      <c r="B7199" s="52">
        <v>417</v>
      </c>
      <c r="C7199" s="8" t="s">
        <v>3275</v>
      </c>
      <c r="D7199" s="8" t="s">
        <v>766</v>
      </c>
      <c r="E7199" s="52">
        <v>1434</v>
      </c>
      <c r="F7199" s="13">
        <v>490</v>
      </c>
      <c r="G7199" s="13"/>
    </row>
    <row r="7200" spans="1:7" hidden="1" x14ac:dyDescent="0.75">
      <c r="A7200" s="51">
        <v>44933</v>
      </c>
      <c r="B7200" s="52">
        <v>417</v>
      </c>
      <c r="C7200" s="8" t="s">
        <v>3616</v>
      </c>
      <c r="D7200" s="8" t="s">
        <v>766</v>
      </c>
      <c r="E7200" s="52">
        <v>1429</v>
      </c>
      <c r="F7200" s="13">
        <v>8.6</v>
      </c>
      <c r="G7200" s="13"/>
    </row>
    <row r="7201" spans="1:7" hidden="1" x14ac:dyDescent="0.75">
      <c r="A7201" s="51">
        <v>44933</v>
      </c>
      <c r="B7201" s="52">
        <v>417</v>
      </c>
      <c r="C7201" s="8" t="s">
        <v>3617</v>
      </c>
      <c r="D7201" s="8" t="s">
        <v>766</v>
      </c>
      <c r="E7201" s="52">
        <v>1429</v>
      </c>
      <c r="F7201" s="13">
        <v>19</v>
      </c>
      <c r="G7201" s="13"/>
    </row>
    <row r="7202" spans="1:7" hidden="1" x14ac:dyDescent="0.75">
      <c r="A7202" s="51">
        <v>44933</v>
      </c>
      <c r="B7202" s="52">
        <v>417</v>
      </c>
      <c r="C7202" s="8" t="s">
        <v>3618</v>
      </c>
      <c r="D7202" s="8" t="s">
        <v>766</v>
      </c>
      <c r="E7202" s="52">
        <v>1429</v>
      </c>
      <c r="F7202" s="13">
        <v>62</v>
      </c>
      <c r="G7202" s="13"/>
    </row>
    <row r="7203" spans="1:7" hidden="1" x14ac:dyDescent="0.75">
      <c r="A7203" s="51">
        <v>44933</v>
      </c>
      <c r="B7203" s="52">
        <v>417</v>
      </c>
      <c r="C7203" s="8" t="s">
        <v>3619</v>
      </c>
      <c r="D7203" s="8" t="s">
        <v>766</v>
      </c>
      <c r="E7203" s="52">
        <v>1429</v>
      </c>
      <c r="F7203" s="13">
        <v>104.2</v>
      </c>
      <c r="G7203" s="13"/>
    </row>
    <row r="7204" spans="1:7" hidden="1" x14ac:dyDescent="0.75">
      <c r="A7204" s="51">
        <v>44933</v>
      </c>
      <c r="B7204" s="52">
        <v>417</v>
      </c>
      <c r="C7204" s="8" t="s">
        <v>3620</v>
      </c>
      <c r="D7204" s="8" t="s">
        <v>766</v>
      </c>
      <c r="E7204" s="52">
        <v>1429</v>
      </c>
      <c r="F7204" s="13">
        <v>2.75</v>
      </c>
      <c r="G7204" s="13"/>
    </row>
    <row r="7205" spans="1:7" hidden="1" x14ac:dyDescent="0.75">
      <c r="A7205" s="51">
        <v>44933</v>
      </c>
      <c r="B7205" s="52">
        <v>417</v>
      </c>
      <c r="C7205" s="8" t="s">
        <v>3456</v>
      </c>
      <c r="D7205" s="8" t="s">
        <v>766</v>
      </c>
      <c r="E7205" s="52">
        <v>1523</v>
      </c>
      <c r="F7205" s="13">
        <v>22.5</v>
      </c>
      <c r="G7205" s="13"/>
    </row>
    <row r="7206" spans="1:7" hidden="1" x14ac:dyDescent="0.75">
      <c r="A7206" s="51">
        <v>44933</v>
      </c>
      <c r="B7206" s="52">
        <v>417</v>
      </c>
      <c r="C7206" s="8" t="s">
        <v>3457</v>
      </c>
      <c r="D7206" s="8" t="s">
        <v>766</v>
      </c>
      <c r="E7206" s="52">
        <v>1523</v>
      </c>
      <c r="F7206" s="13">
        <v>99.8</v>
      </c>
      <c r="G7206" s="13"/>
    </row>
    <row r="7207" spans="1:7" hidden="1" x14ac:dyDescent="0.75">
      <c r="A7207" s="51">
        <v>44933</v>
      </c>
      <c r="B7207" s="52">
        <v>417</v>
      </c>
      <c r="C7207" s="8" t="s">
        <v>3458</v>
      </c>
      <c r="D7207" s="8" t="s">
        <v>766</v>
      </c>
      <c r="E7207" s="52">
        <v>1523</v>
      </c>
      <c r="F7207" s="13">
        <v>37.76</v>
      </c>
      <c r="G7207" s="13"/>
    </row>
    <row r="7208" spans="1:7" hidden="1" x14ac:dyDescent="0.75">
      <c r="A7208" s="51">
        <v>44933</v>
      </c>
      <c r="B7208" s="52">
        <v>417</v>
      </c>
      <c r="C7208" s="8" t="s">
        <v>3459</v>
      </c>
      <c r="D7208" s="8" t="s">
        <v>766</v>
      </c>
      <c r="E7208" s="52">
        <v>1523</v>
      </c>
      <c r="F7208" s="13">
        <v>1.8</v>
      </c>
      <c r="G7208" s="13"/>
    </row>
    <row r="7209" spans="1:7" hidden="1" x14ac:dyDescent="0.75">
      <c r="A7209" s="51">
        <v>44933</v>
      </c>
      <c r="B7209" s="52">
        <v>417</v>
      </c>
      <c r="C7209" s="8" t="s">
        <v>2888</v>
      </c>
      <c r="D7209" s="8" t="s">
        <v>766</v>
      </c>
      <c r="E7209" s="52">
        <v>1508</v>
      </c>
      <c r="F7209" s="13">
        <v>102.08</v>
      </c>
      <c r="G7209" s="13"/>
    </row>
    <row r="7210" spans="1:7" hidden="1" x14ac:dyDescent="0.75">
      <c r="A7210" s="51">
        <v>44933</v>
      </c>
      <c r="B7210" s="52">
        <v>417</v>
      </c>
      <c r="C7210" s="8" t="s">
        <v>3276</v>
      </c>
      <c r="D7210" s="8" t="s">
        <v>766</v>
      </c>
      <c r="E7210" s="52">
        <v>1434</v>
      </c>
      <c r="F7210" s="13">
        <v>160.30000000000001</v>
      </c>
      <c r="G7210" s="13"/>
    </row>
    <row r="7211" spans="1:7" hidden="1" x14ac:dyDescent="0.75">
      <c r="A7211" s="51">
        <v>44935</v>
      </c>
      <c r="B7211" s="52">
        <v>417</v>
      </c>
      <c r="C7211" s="8" t="s">
        <v>3202</v>
      </c>
      <c r="D7211" s="8" t="s">
        <v>766</v>
      </c>
      <c r="E7211" s="52">
        <v>1436</v>
      </c>
      <c r="F7211" s="13">
        <v>27.96</v>
      </c>
      <c r="G7211" s="13"/>
    </row>
    <row r="7212" spans="1:7" hidden="1" x14ac:dyDescent="0.75">
      <c r="A7212" s="51">
        <v>44935</v>
      </c>
      <c r="B7212" s="52">
        <v>417</v>
      </c>
      <c r="C7212" s="8" t="s">
        <v>3460</v>
      </c>
      <c r="D7212" s="8" t="s">
        <v>766</v>
      </c>
      <c r="E7212" s="52">
        <v>1523</v>
      </c>
      <c r="F7212" s="13">
        <v>11.5</v>
      </c>
      <c r="G7212" s="13"/>
    </row>
    <row r="7213" spans="1:7" hidden="1" x14ac:dyDescent="0.75">
      <c r="A7213" s="51">
        <v>44935</v>
      </c>
      <c r="B7213" s="52">
        <v>417</v>
      </c>
      <c r="C7213" s="8" t="s">
        <v>3461</v>
      </c>
      <c r="D7213" s="8" t="s">
        <v>766</v>
      </c>
      <c r="E7213" s="52">
        <v>1523</v>
      </c>
      <c r="F7213" s="13">
        <v>202.2</v>
      </c>
      <c r="G7213" s="13"/>
    </row>
    <row r="7214" spans="1:7" hidden="1" x14ac:dyDescent="0.75">
      <c r="A7214" s="51">
        <v>44935</v>
      </c>
      <c r="B7214" s="52">
        <v>417</v>
      </c>
      <c r="C7214" s="8" t="s">
        <v>2891</v>
      </c>
      <c r="D7214" s="8" t="s">
        <v>766</v>
      </c>
      <c r="E7214" s="52">
        <v>1508</v>
      </c>
      <c r="F7214" s="13">
        <v>10.45</v>
      </c>
      <c r="G7214" s="13"/>
    </row>
    <row r="7215" spans="1:7" hidden="1" x14ac:dyDescent="0.75">
      <c r="A7215" s="51">
        <v>44935</v>
      </c>
      <c r="B7215" s="52">
        <v>417</v>
      </c>
      <c r="C7215" s="8" t="s">
        <v>3277</v>
      </c>
      <c r="D7215" s="8" t="s">
        <v>766</v>
      </c>
      <c r="E7215" s="52">
        <v>1434</v>
      </c>
      <c r="F7215" s="13">
        <v>277.18</v>
      </c>
      <c r="G7215" s="13"/>
    </row>
    <row r="7216" spans="1:7" hidden="1" x14ac:dyDescent="0.75">
      <c r="A7216" s="51">
        <v>44935</v>
      </c>
      <c r="B7216" s="52">
        <v>417</v>
      </c>
      <c r="C7216" s="8" t="s">
        <v>3278</v>
      </c>
      <c r="D7216" s="8" t="s">
        <v>766</v>
      </c>
      <c r="E7216" s="52">
        <v>1434</v>
      </c>
      <c r="F7216" s="13">
        <v>34.6</v>
      </c>
      <c r="G7216" s="13"/>
    </row>
    <row r="7217" spans="1:7" hidden="1" x14ac:dyDescent="0.75">
      <c r="A7217" s="51">
        <v>44935</v>
      </c>
      <c r="B7217" s="52">
        <v>417</v>
      </c>
      <c r="C7217" s="8" t="s">
        <v>3279</v>
      </c>
      <c r="D7217" s="8" t="s">
        <v>766</v>
      </c>
      <c r="E7217" s="52">
        <v>1434</v>
      </c>
      <c r="F7217" s="13">
        <v>47.6</v>
      </c>
      <c r="G7217" s="13"/>
    </row>
    <row r="7218" spans="1:7" hidden="1" x14ac:dyDescent="0.75">
      <c r="A7218" s="51">
        <v>44935</v>
      </c>
      <c r="B7218" s="52">
        <v>417</v>
      </c>
      <c r="C7218" s="8" t="s">
        <v>3280</v>
      </c>
      <c r="D7218" s="8" t="s">
        <v>766</v>
      </c>
      <c r="E7218" s="52">
        <v>1434</v>
      </c>
      <c r="F7218" s="13">
        <v>39</v>
      </c>
      <c r="G7218" s="13"/>
    </row>
    <row r="7219" spans="1:7" hidden="1" x14ac:dyDescent="0.75">
      <c r="A7219" s="51">
        <v>44935</v>
      </c>
      <c r="B7219" s="52">
        <v>417</v>
      </c>
      <c r="C7219" s="8" t="s">
        <v>3281</v>
      </c>
      <c r="D7219" s="8" t="s">
        <v>766</v>
      </c>
      <c r="E7219" s="52">
        <v>1434</v>
      </c>
      <c r="F7219" s="13">
        <v>85.6</v>
      </c>
      <c r="G7219" s="13"/>
    </row>
    <row r="7220" spans="1:7" hidden="1" x14ac:dyDescent="0.75">
      <c r="A7220" s="51">
        <v>44935</v>
      </c>
      <c r="B7220" s="52">
        <v>417</v>
      </c>
      <c r="C7220" s="8" t="s">
        <v>3282</v>
      </c>
      <c r="D7220" s="8" t="s">
        <v>766</v>
      </c>
      <c r="E7220" s="52">
        <v>1434</v>
      </c>
      <c r="F7220" s="13">
        <v>59.3</v>
      </c>
      <c r="G7220" s="13"/>
    </row>
    <row r="7221" spans="1:7" hidden="1" x14ac:dyDescent="0.75">
      <c r="A7221" s="51">
        <v>44935</v>
      </c>
      <c r="B7221" s="52">
        <v>417</v>
      </c>
      <c r="C7221" s="8" t="s">
        <v>3283</v>
      </c>
      <c r="D7221" s="8" t="s">
        <v>766</v>
      </c>
      <c r="E7221" s="52">
        <v>1434</v>
      </c>
      <c r="F7221" s="13">
        <v>144</v>
      </c>
      <c r="G7221" s="13"/>
    </row>
    <row r="7222" spans="1:7" hidden="1" x14ac:dyDescent="0.75">
      <c r="A7222" s="51">
        <v>44936</v>
      </c>
      <c r="B7222" s="52">
        <v>417</v>
      </c>
      <c r="C7222" s="8" t="s">
        <v>3621</v>
      </c>
      <c r="D7222" s="8" t="s">
        <v>766</v>
      </c>
      <c r="E7222" s="52">
        <v>1429</v>
      </c>
      <c r="F7222" s="13">
        <v>72</v>
      </c>
      <c r="G7222" s="13"/>
    </row>
    <row r="7223" spans="1:7" hidden="1" x14ac:dyDescent="0.75">
      <c r="A7223" s="51">
        <v>44936</v>
      </c>
      <c r="B7223" s="52">
        <v>417</v>
      </c>
      <c r="C7223" s="8" t="s">
        <v>3622</v>
      </c>
      <c r="D7223" s="8" t="s">
        <v>766</v>
      </c>
      <c r="E7223" s="52">
        <v>1429</v>
      </c>
      <c r="F7223" s="13">
        <v>84.8</v>
      </c>
      <c r="G7223" s="13"/>
    </row>
    <row r="7224" spans="1:7" hidden="1" x14ac:dyDescent="0.75">
      <c r="A7224" s="51">
        <v>44936</v>
      </c>
      <c r="B7224" s="52">
        <v>417</v>
      </c>
      <c r="C7224" s="8" t="s">
        <v>3462</v>
      </c>
      <c r="D7224" s="8" t="s">
        <v>766</v>
      </c>
      <c r="E7224" s="52">
        <v>1523</v>
      </c>
      <c r="F7224" s="13">
        <v>462.5</v>
      </c>
      <c r="G7224" s="13"/>
    </row>
    <row r="7225" spans="1:7" hidden="1" x14ac:dyDescent="0.75">
      <c r="A7225" s="51">
        <v>44936</v>
      </c>
      <c r="B7225" s="52">
        <v>417</v>
      </c>
      <c r="C7225" s="8" t="s">
        <v>3463</v>
      </c>
      <c r="D7225" s="8" t="s">
        <v>766</v>
      </c>
      <c r="E7225" s="52">
        <v>1523</v>
      </c>
      <c r="F7225" s="13">
        <v>18.600000000000001</v>
      </c>
      <c r="G7225" s="13"/>
    </row>
    <row r="7226" spans="1:7" hidden="1" x14ac:dyDescent="0.75">
      <c r="A7226" s="51">
        <v>44936</v>
      </c>
      <c r="B7226" s="52">
        <v>417</v>
      </c>
      <c r="C7226" s="8" t="s">
        <v>3464</v>
      </c>
      <c r="D7226" s="8" t="s">
        <v>766</v>
      </c>
      <c r="E7226" s="52">
        <v>1523</v>
      </c>
      <c r="F7226" s="13">
        <v>6</v>
      </c>
      <c r="G7226" s="13"/>
    </row>
    <row r="7227" spans="1:7" hidden="1" x14ac:dyDescent="0.75">
      <c r="A7227" s="51">
        <v>44936</v>
      </c>
      <c r="B7227" s="52">
        <v>417</v>
      </c>
      <c r="C7227" s="8" t="s">
        <v>3465</v>
      </c>
      <c r="D7227" s="8" t="s">
        <v>766</v>
      </c>
      <c r="E7227" s="52">
        <v>1523</v>
      </c>
      <c r="F7227" s="13">
        <v>320.3</v>
      </c>
      <c r="G7227" s="13"/>
    </row>
    <row r="7228" spans="1:7" hidden="1" x14ac:dyDescent="0.75">
      <c r="A7228" s="51">
        <v>44936</v>
      </c>
      <c r="B7228" s="52">
        <v>417</v>
      </c>
      <c r="C7228" s="8" t="s">
        <v>1224</v>
      </c>
      <c r="D7228" s="8" t="s">
        <v>766</v>
      </c>
      <c r="E7228" s="52">
        <v>1508</v>
      </c>
      <c r="F7228" s="13">
        <v>38.75</v>
      </c>
      <c r="G7228" s="13"/>
    </row>
    <row r="7229" spans="1:7" hidden="1" x14ac:dyDescent="0.75">
      <c r="A7229" s="51">
        <v>44936</v>
      </c>
      <c r="B7229" s="52">
        <v>417</v>
      </c>
      <c r="C7229" s="8" t="s">
        <v>1225</v>
      </c>
      <c r="D7229" s="8" t="s">
        <v>766</v>
      </c>
      <c r="E7229" s="52">
        <v>1508</v>
      </c>
      <c r="F7229" s="13">
        <v>7.9</v>
      </c>
      <c r="G7229" s="13"/>
    </row>
    <row r="7230" spans="1:7" hidden="1" x14ac:dyDescent="0.75">
      <c r="A7230" s="51">
        <v>44936</v>
      </c>
      <c r="B7230" s="52">
        <v>417</v>
      </c>
      <c r="C7230" s="8" t="s">
        <v>2894</v>
      </c>
      <c r="D7230" s="8" t="s">
        <v>766</v>
      </c>
      <c r="E7230" s="52">
        <v>1508</v>
      </c>
      <c r="F7230" s="13">
        <v>8.0500000000000007</v>
      </c>
      <c r="G7230" s="13"/>
    </row>
    <row r="7231" spans="1:7" hidden="1" x14ac:dyDescent="0.75">
      <c r="A7231" s="51">
        <v>44936</v>
      </c>
      <c r="B7231" s="52">
        <v>417</v>
      </c>
      <c r="C7231" s="8" t="s">
        <v>2895</v>
      </c>
      <c r="D7231" s="8" t="s">
        <v>766</v>
      </c>
      <c r="E7231" s="52">
        <v>1508</v>
      </c>
      <c r="F7231" s="13">
        <v>52.65</v>
      </c>
      <c r="G7231" s="13"/>
    </row>
    <row r="7232" spans="1:7" hidden="1" x14ac:dyDescent="0.75">
      <c r="A7232" s="51">
        <v>44936</v>
      </c>
      <c r="B7232" s="52">
        <v>417</v>
      </c>
      <c r="C7232" s="8" t="s">
        <v>3306</v>
      </c>
      <c r="D7232" s="8" t="s">
        <v>766</v>
      </c>
      <c r="E7232" s="52">
        <v>1434</v>
      </c>
      <c r="F7232" s="13">
        <v>172.84</v>
      </c>
      <c r="G7232" s="13"/>
    </row>
    <row r="7233" spans="1:7" hidden="1" x14ac:dyDescent="0.75">
      <c r="A7233" s="51">
        <v>44937</v>
      </c>
      <c r="B7233" s="52">
        <v>417</v>
      </c>
      <c r="C7233" s="8" t="s">
        <v>3623</v>
      </c>
      <c r="D7233" s="8" t="s">
        <v>766</v>
      </c>
      <c r="E7233" s="52">
        <v>1429</v>
      </c>
      <c r="F7233" s="13">
        <v>156.1</v>
      </c>
      <c r="G7233" s="13"/>
    </row>
    <row r="7234" spans="1:7" hidden="1" x14ac:dyDescent="0.75">
      <c r="A7234" s="51">
        <v>44937</v>
      </c>
      <c r="B7234" s="52">
        <v>417</v>
      </c>
      <c r="C7234" s="8" t="s">
        <v>3483</v>
      </c>
      <c r="D7234" s="8" t="s">
        <v>766</v>
      </c>
      <c r="E7234" s="52">
        <v>1523</v>
      </c>
      <c r="F7234" s="13">
        <v>112.8</v>
      </c>
      <c r="G7234" s="13"/>
    </row>
    <row r="7235" spans="1:7" hidden="1" x14ac:dyDescent="0.75">
      <c r="A7235" s="51">
        <v>44937</v>
      </c>
      <c r="B7235" s="52">
        <v>417</v>
      </c>
      <c r="C7235" s="8" t="s">
        <v>3484</v>
      </c>
      <c r="D7235" s="8" t="s">
        <v>766</v>
      </c>
      <c r="E7235" s="52">
        <v>1523</v>
      </c>
      <c r="F7235" s="13">
        <v>104.1</v>
      </c>
      <c r="G7235" s="13"/>
    </row>
    <row r="7236" spans="1:7" hidden="1" x14ac:dyDescent="0.75">
      <c r="A7236" s="51">
        <v>44937</v>
      </c>
      <c r="B7236" s="52">
        <v>417</v>
      </c>
      <c r="C7236" s="8" t="s">
        <v>2896</v>
      </c>
      <c r="D7236" s="8" t="s">
        <v>766</v>
      </c>
      <c r="E7236" s="52">
        <v>1508</v>
      </c>
      <c r="F7236" s="13">
        <v>58.05</v>
      </c>
      <c r="G7236" s="13"/>
    </row>
    <row r="7237" spans="1:7" hidden="1" x14ac:dyDescent="0.75">
      <c r="A7237" s="51">
        <v>44937</v>
      </c>
      <c r="B7237" s="52">
        <v>417</v>
      </c>
      <c r="C7237" s="8" t="s">
        <v>3307</v>
      </c>
      <c r="D7237" s="8" t="s">
        <v>766</v>
      </c>
      <c r="E7237" s="52">
        <v>1434</v>
      </c>
      <c r="F7237" s="13">
        <v>176</v>
      </c>
      <c r="G7237" s="13"/>
    </row>
    <row r="7238" spans="1:7" hidden="1" x14ac:dyDescent="0.75">
      <c r="A7238" s="51">
        <v>44937</v>
      </c>
      <c r="B7238" s="52">
        <v>417</v>
      </c>
      <c r="C7238" s="8" t="s">
        <v>3308</v>
      </c>
      <c r="D7238" s="8" t="s">
        <v>766</v>
      </c>
      <c r="E7238" s="52">
        <v>1434</v>
      </c>
      <c r="F7238" s="13">
        <v>258.95999999999998</v>
      </c>
      <c r="G7238" s="13"/>
    </row>
    <row r="7239" spans="1:7" hidden="1" x14ac:dyDescent="0.75">
      <c r="A7239" s="51">
        <v>44937</v>
      </c>
      <c r="B7239" s="52">
        <v>417</v>
      </c>
      <c r="C7239" s="8" t="s">
        <v>3309</v>
      </c>
      <c r="D7239" s="8" t="s">
        <v>766</v>
      </c>
      <c r="E7239" s="52">
        <v>1434</v>
      </c>
      <c r="F7239" s="13">
        <v>65.599999999999994</v>
      </c>
      <c r="G7239" s="13"/>
    </row>
    <row r="7240" spans="1:7" hidden="1" x14ac:dyDescent="0.75">
      <c r="A7240" s="51">
        <v>44938</v>
      </c>
      <c r="B7240" s="52">
        <v>417</v>
      </c>
      <c r="C7240" s="8" t="s">
        <v>3310</v>
      </c>
      <c r="D7240" s="8" t="s">
        <v>766</v>
      </c>
      <c r="E7240" s="52">
        <v>1434</v>
      </c>
      <c r="F7240" s="13">
        <v>7140</v>
      </c>
      <c r="G7240" s="13"/>
    </row>
    <row r="7241" spans="1:7" hidden="1" x14ac:dyDescent="0.75">
      <c r="A7241" s="51">
        <v>44938</v>
      </c>
      <c r="B7241" s="52">
        <v>417</v>
      </c>
      <c r="C7241" s="8" t="s">
        <v>3624</v>
      </c>
      <c r="D7241" s="8" t="s">
        <v>766</v>
      </c>
      <c r="E7241" s="52">
        <v>1429</v>
      </c>
      <c r="F7241" s="13">
        <v>99</v>
      </c>
      <c r="G7241" s="13"/>
    </row>
    <row r="7242" spans="1:7" hidden="1" x14ac:dyDescent="0.75">
      <c r="A7242" s="51">
        <v>44938</v>
      </c>
      <c r="B7242" s="52">
        <v>417</v>
      </c>
      <c r="C7242" s="8" t="s">
        <v>3625</v>
      </c>
      <c r="D7242" s="8" t="s">
        <v>766</v>
      </c>
      <c r="E7242" s="52">
        <v>1429</v>
      </c>
      <c r="F7242" s="13">
        <v>26</v>
      </c>
      <c r="G7242" s="13"/>
    </row>
    <row r="7243" spans="1:7" hidden="1" x14ac:dyDescent="0.75">
      <c r="A7243" s="51">
        <v>44938</v>
      </c>
      <c r="B7243" s="52">
        <v>417</v>
      </c>
      <c r="C7243" s="8" t="s">
        <v>3626</v>
      </c>
      <c r="D7243" s="8" t="s">
        <v>766</v>
      </c>
      <c r="E7243" s="52">
        <v>1429</v>
      </c>
      <c r="F7243" s="13">
        <v>225</v>
      </c>
      <c r="G7243" s="13"/>
    </row>
    <row r="7244" spans="1:7" hidden="1" x14ac:dyDescent="0.75">
      <c r="A7244" s="51">
        <v>44938</v>
      </c>
      <c r="B7244" s="52">
        <v>417</v>
      </c>
      <c r="C7244" s="8" t="s">
        <v>3627</v>
      </c>
      <c r="D7244" s="8" t="s">
        <v>766</v>
      </c>
      <c r="E7244" s="52">
        <v>1429</v>
      </c>
      <c r="F7244" s="13">
        <v>16.5</v>
      </c>
      <c r="G7244" s="13"/>
    </row>
    <row r="7245" spans="1:7" hidden="1" x14ac:dyDescent="0.75">
      <c r="A7245" s="51">
        <v>44938</v>
      </c>
      <c r="B7245" s="52">
        <v>417</v>
      </c>
      <c r="C7245" s="8" t="s">
        <v>3203</v>
      </c>
      <c r="D7245" s="8" t="s">
        <v>766</v>
      </c>
      <c r="E7245" s="52">
        <v>1436</v>
      </c>
      <c r="F7245" s="13">
        <v>64.8</v>
      </c>
      <c r="G7245" s="13"/>
    </row>
    <row r="7246" spans="1:7" hidden="1" x14ac:dyDescent="0.75">
      <c r="A7246" s="51">
        <v>44938</v>
      </c>
      <c r="B7246" s="52">
        <v>417</v>
      </c>
      <c r="C7246" s="8" t="s">
        <v>3485</v>
      </c>
      <c r="D7246" s="8" t="s">
        <v>766</v>
      </c>
      <c r="E7246" s="52">
        <v>1523</v>
      </c>
      <c r="F7246" s="13">
        <v>94.5</v>
      </c>
      <c r="G7246" s="13"/>
    </row>
    <row r="7247" spans="1:7" hidden="1" x14ac:dyDescent="0.75">
      <c r="A7247" s="51">
        <v>44938</v>
      </c>
      <c r="B7247" s="52">
        <v>417</v>
      </c>
      <c r="C7247" s="8" t="s">
        <v>3486</v>
      </c>
      <c r="D7247" s="8" t="s">
        <v>766</v>
      </c>
      <c r="E7247" s="52">
        <v>1523</v>
      </c>
      <c r="F7247" s="13">
        <v>69.599999999999994</v>
      </c>
      <c r="G7247" s="13"/>
    </row>
    <row r="7248" spans="1:7" hidden="1" x14ac:dyDescent="0.75">
      <c r="A7248" s="51">
        <v>44938</v>
      </c>
      <c r="B7248" s="52">
        <v>417</v>
      </c>
      <c r="C7248" s="8" t="s">
        <v>3487</v>
      </c>
      <c r="D7248" s="8" t="s">
        <v>766</v>
      </c>
      <c r="E7248" s="52">
        <v>1523</v>
      </c>
      <c r="F7248" s="13">
        <v>38</v>
      </c>
      <c r="G7248" s="13"/>
    </row>
    <row r="7249" spans="1:7" hidden="1" x14ac:dyDescent="0.75">
      <c r="A7249" s="51">
        <v>44938</v>
      </c>
      <c r="B7249" s="52">
        <v>417</v>
      </c>
      <c r="C7249" s="8" t="s">
        <v>3488</v>
      </c>
      <c r="D7249" s="8" t="s">
        <v>766</v>
      </c>
      <c r="E7249" s="52">
        <v>1523</v>
      </c>
      <c r="F7249" s="13">
        <v>86.4</v>
      </c>
      <c r="G7249" s="13"/>
    </row>
    <row r="7250" spans="1:7" hidden="1" x14ac:dyDescent="0.75">
      <c r="A7250" s="51">
        <v>44938</v>
      </c>
      <c r="B7250" s="52">
        <v>417</v>
      </c>
      <c r="C7250" s="8" t="s">
        <v>3489</v>
      </c>
      <c r="D7250" s="8" t="s">
        <v>766</v>
      </c>
      <c r="E7250" s="52">
        <v>1523</v>
      </c>
      <c r="F7250" s="13">
        <v>32</v>
      </c>
      <c r="G7250" s="13"/>
    </row>
    <row r="7251" spans="1:7" hidden="1" x14ac:dyDescent="0.75">
      <c r="A7251" s="51">
        <v>44938</v>
      </c>
      <c r="B7251" s="52">
        <v>417</v>
      </c>
      <c r="C7251" s="8" t="s">
        <v>3490</v>
      </c>
      <c r="D7251" s="8" t="s">
        <v>766</v>
      </c>
      <c r="E7251" s="52">
        <v>1523</v>
      </c>
      <c r="F7251" s="13">
        <v>507.8</v>
      </c>
      <c r="G7251" s="13"/>
    </row>
    <row r="7252" spans="1:7" hidden="1" x14ac:dyDescent="0.75">
      <c r="A7252" s="51">
        <v>44938</v>
      </c>
      <c r="B7252" s="52">
        <v>417</v>
      </c>
      <c r="C7252" s="8" t="s">
        <v>3491</v>
      </c>
      <c r="D7252" s="8" t="s">
        <v>766</v>
      </c>
      <c r="E7252" s="52">
        <v>1523</v>
      </c>
      <c r="F7252" s="13">
        <v>192</v>
      </c>
      <c r="G7252" s="13"/>
    </row>
    <row r="7253" spans="1:7" hidden="1" x14ac:dyDescent="0.75">
      <c r="A7253" s="51">
        <v>44938</v>
      </c>
      <c r="B7253" s="52">
        <v>417</v>
      </c>
      <c r="C7253" s="8" t="s">
        <v>2903</v>
      </c>
      <c r="D7253" s="8" t="s">
        <v>766</v>
      </c>
      <c r="E7253" s="52">
        <v>1508</v>
      </c>
      <c r="F7253" s="13">
        <v>6.2</v>
      </c>
      <c r="G7253" s="13"/>
    </row>
    <row r="7254" spans="1:7" hidden="1" x14ac:dyDescent="0.75">
      <c r="A7254" s="51">
        <v>44938</v>
      </c>
      <c r="B7254" s="52">
        <v>417</v>
      </c>
      <c r="C7254" s="8" t="s">
        <v>2904</v>
      </c>
      <c r="D7254" s="8" t="s">
        <v>766</v>
      </c>
      <c r="E7254" s="52">
        <v>1508</v>
      </c>
      <c r="F7254" s="13">
        <v>26.35</v>
      </c>
      <c r="G7254" s="13"/>
    </row>
    <row r="7255" spans="1:7" hidden="1" x14ac:dyDescent="0.75">
      <c r="A7255" s="51">
        <v>44938</v>
      </c>
      <c r="B7255" s="52">
        <v>417</v>
      </c>
      <c r="C7255" s="8" t="s">
        <v>2905</v>
      </c>
      <c r="D7255" s="8" t="s">
        <v>766</v>
      </c>
      <c r="E7255" s="52">
        <v>1508</v>
      </c>
      <c r="F7255" s="13">
        <v>28.8</v>
      </c>
      <c r="G7255" s="13"/>
    </row>
    <row r="7256" spans="1:7" hidden="1" x14ac:dyDescent="0.75">
      <c r="A7256" s="51">
        <v>44938</v>
      </c>
      <c r="B7256" s="52">
        <v>417</v>
      </c>
      <c r="C7256" s="8" t="s">
        <v>3311</v>
      </c>
      <c r="D7256" s="8" t="s">
        <v>766</v>
      </c>
      <c r="E7256" s="52">
        <v>1434</v>
      </c>
      <c r="F7256" s="13">
        <v>73.52</v>
      </c>
      <c r="G7256" s="13"/>
    </row>
    <row r="7257" spans="1:7" hidden="1" x14ac:dyDescent="0.75">
      <c r="A7257" s="51">
        <v>44938</v>
      </c>
      <c r="B7257" s="52">
        <v>417</v>
      </c>
      <c r="C7257" s="8" t="s">
        <v>3312</v>
      </c>
      <c r="D7257" s="8" t="s">
        <v>766</v>
      </c>
      <c r="E7257" s="52">
        <v>1434</v>
      </c>
      <c r="F7257" s="13">
        <v>233.3</v>
      </c>
      <c r="G7257" s="13"/>
    </row>
    <row r="7258" spans="1:7" hidden="1" x14ac:dyDescent="0.75">
      <c r="A7258" s="51">
        <v>44938</v>
      </c>
      <c r="B7258" s="52">
        <v>417</v>
      </c>
      <c r="C7258" s="8" t="s">
        <v>3313</v>
      </c>
      <c r="D7258" s="8" t="s">
        <v>766</v>
      </c>
      <c r="E7258" s="52">
        <v>1434</v>
      </c>
      <c r="F7258" s="13">
        <v>238.9</v>
      </c>
      <c r="G7258" s="13"/>
    </row>
    <row r="7259" spans="1:7" hidden="1" x14ac:dyDescent="0.75">
      <c r="A7259" s="51">
        <v>44938</v>
      </c>
      <c r="B7259" s="52">
        <v>417</v>
      </c>
      <c r="C7259" s="8" t="s">
        <v>3314</v>
      </c>
      <c r="D7259" s="8" t="s">
        <v>766</v>
      </c>
      <c r="E7259" s="52">
        <v>1434</v>
      </c>
      <c r="F7259" s="13">
        <v>169.12</v>
      </c>
      <c r="G7259" s="13"/>
    </row>
    <row r="7260" spans="1:7" hidden="1" x14ac:dyDescent="0.75">
      <c r="A7260" s="51">
        <v>44938</v>
      </c>
      <c r="B7260" s="52">
        <v>417</v>
      </c>
      <c r="C7260" s="8" t="s">
        <v>3315</v>
      </c>
      <c r="D7260" s="8" t="s">
        <v>766</v>
      </c>
      <c r="E7260" s="52">
        <v>1434</v>
      </c>
      <c r="F7260" s="13">
        <v>125.28</v>
      </c>
      <c r="G7260" s="13"/>
    </row>
    <row r="7261" spans="1:7" hidden="1" x14ac:dyDescent="0.75">
      <c r="A7261" s="51">
        <v>44939</v>
      </c>
      <c r="B7261" s="52">
        <v>417</v>
      </c>
      <c r="C7261" s="8" t="s">
        <v>3628</v>
      </c>
      <c r="D7261" s="8" t="s">
        <v>766</v>
      </c>
      <c r="E7261" s="52">
        <v>1429</v>
      </c>
      <c r="F7261" s="13">
        <v>189.2</v>
      </c>
      <c r="G7261" s="13"/>
    </row>
    <row r="7262" spans="1:7" hidden="1" x14ac:dyDescent="0.75">
      <c r="A7262" s="51">
        <v>44939</v>
      </c>
      <c r="B7262" s="52">
        <v>417</v>
      </c>
      <c r="C7262" s="8" t="s">
        <v>3492</v>
      </c>
      <c r="D7262" s="8" t="s">
        <v>766</v>
      </c>
      <c r="E7262" s="52">
        <v>1523</v>
      </c>
      <c r="F7262" s="13">
        <v>32</v>
      </c>
      <c r="G7262" s="13"/>
    </row>
    <row r="7263" spans="1:7" hidden="1" x14ac:dyDescent="0.75">
      <c r="A7263" s="51">
        <v>44939</v>
      </c>
      <c r="B7263" s="52">
        <v>417</v>
      </c>
      <c r="C7263" s="8" t="s">
        <v>3493</v>
      </c>
      <c r="D7263" s="8" t="s">
        <v>766</v>
      </c>
      <c r="E7263" s="52">
        <v>1523</v>
      </c>
      <c r="F7263" s="13">
        <v>8</v>
      </c>
      <c r="G7263" s="13"/>
    </row>
    <row r="7264" spans="1:7" hidden="1" x14ac:dyDescent="0.75">
      <c r="A7264" s="51">
        <v>44939</v>
      </c>
      <c r="B7264" s="52">
        <v>417</v>
      </c>
      <c r="C7264" s="8" t="s">
        <v>3494</v>
      </c>
      <c r="D7264" s="8" t="s">
        <v>766</v>
      </c>
      <c r="E7264" s="52">
        <v>1523</v>
      </c>
      <c r="F7264" s="13">
        <v>277</v>
      </c>
      <c r="G7264" s="13"/>
    </row>
    <row r="7265" spans="1:7" hidden="1" x14ac:dyDescent="0.75">
      <c r="A7265" s="51">
        <v>44939</v>
      </c>
      <c r="B7265" s="52">
        <v>417</v>
      </c>
      <c r="C7265" s="8" t="s">
        <v>3495</v>
      </c>
      <c r="D7265" s="8" t="s">
        <v>766</v>
      </c>
      <c r="E7265" s="52">
        <v>1523</v>
      </c>
      <c r="F7265" s="13">
        <v>120</v>
      </c>
      <c r="G7265" s="13"/>
    </row>
    <row r="7266" spans="1:7" hidden="1" x14ac:dyDescent="0.75">
      <c r="A7266" s="51">
        <v>44939</v>
      </c>
      <c r="B7266" s="52">
        <v>417</v>
      </c>
      <c r="C7266" s="8" t="s">
        <v>3496</v>
      </c>
      <c r="D7266" s="8" t="s">
        <v>766</v>
      </c>
      <c r="E7266" s="52">
        <v>1523</v>
      </c>
      <c r="F7266" s="13">
        <v>171.9</v>
      </c>
      <c r="G7266" s="13"/>
    </row>
    <row r="7267" spans="1:7" hidden="1" x14ac:dyDescent="0.75">
      <c r="A7267" s="51">
        <v>44939</v>
      </c>
      <c r="B7267" s="52">
        <v>417</v>
      </c>
      <c r="C7267" s="8" t="s">
        <v>3497</v>
      </c>
      <c r="D7267" s="8" t="s">
        <v>766</v>
      </c>
      <c r="E7267" s="52">
        <v>1523</v>
      </c>
      <c r="F7267" s="13">
        <v>162</v>
      </c>
      <c r="G7267" s="13"/>
    </row>
    <row r="7268" spans="1:7" hidden="1" x14ac:dyDescent="0.75">
      <c r="A7268" s="51">
        <v>44939</v>
      </c>
      <c r="B7268" s="52">
        <v>417</v>
      </c>
      <c r="C7268" s="8" t="s">
        <v>3498</v>
      </c>
      <c r="D7268" s="8" t="s">
        <v>766</v>
      </c>
      <c r="E7268" s="52">
        <v>1523</v>
      </c>
      <c r="F7268" s="13">
        <v>213.6</v>
      </c>
      <c r="G7268" s="13"/>
    </row>
    <row r="7269" spans="1:7" hidden="1" x14ac:dyDescent="0.75">
      <c r="A7269" s="51">
        <v>44939</v>
      </c>
      <c r="B7269" s="52">
        <v>417</v>
      </c>
      <c r="C7269" s="8" t="s">
        <v>3499</v>
      </c>
      <c r="D7269" s="8" t="s">
        <v>766</v>
      </c>
      <c r="E7269" s="52">
        <v>1523</v>
      </c>
      <c r="F7269" s="13">
        <v>5.6</v>
      </c>
      <c r="G7269" s="13"/>
    </row>
    <row r="7270" spans="1:7" hidden="1" x14ac:dyDescent="0.75">
      <c r="A7270" s="51">
        <v>44939</v>
      </c>
      <c r="B7270" s="52">
        <v>417</v>
      </c>
      <c r="C7270" s="8" t="s">
        <v>3316</v>
      </c>
      <c r="D7270" s="8" t="s">
        <v>766</v>
      </c>
      <c r="E7270" s="52">
        <v>1434</v>
      </c>
      <c r="F7270" s="13">
        <v>20</v>
      </c>
      <c r="G7270" s="13"/>
    </row>
    <row r="7271" spans="1:7" hidden="1" x14ac:dyDescent="0.75">
      <c r="A7271" s="51">
        <v>44939</v>
      </c>
      <c r="B7271" s="52">
        <v>417</v>
      </c>
      <c r="C7271" s="8" t="s">
        <v>3317</v>
      </c>
      <c r="D7271" s="8" t="s">
        <v>766</v>
      </c>
      <c r="E7271" s="52">
        <v>1434</v>
      </c>
      <c r="F7271" s="13">
        <v>98.38</v>
      </c>
      <c r="G7271" s="13"/>
    </row>
    <row r="7272" spans="1:7" hidden="1" x14ac:dyDescent="0.75">
      <c r="A7272" s="51">
        <v>44940</v>
      </c>
      <c r="B7272" s="52">
        <v>417</v>
      </c>
      <c r="C7272" s="8" t="s">
        <v>3629</v>
      </c>
      <c r="D7272" s="8" t="s">
        <v>766</v>
      </c>
      <c r="E7272" s="52">
        <v>1429</v>
      </c>
      <c r="F7272" s="13">
        <v>51.9</v>
      </c>
      <c r="G7272" s="13"/>
    </row>
    <row r="7273" spans="1:7" hidden="1" x14ac:dyDescent="0.75">
      <c r="A7273" s="51">
        <v>44940</v>
      </c>
      <c r="B7273" s="52">
        <v>417</v>
      </c>
      <c r="C7273" s="8" t="s">
        <v>3630</v>
      </c>
      <c r="D7273" s="8" t="s">
        <v>766</v>
      </c>
      <c r="E7273" s="52">
        <v>1429</v>
      </c>
      <c r="F7273" s="13">
        <v>17.600000000000001</v>
      </c>
      <c r="G7273" s="13"/>
    </row>
    <row r="7274" spans="1:7" hidden="1" x14ac:dyDescent="0.75">
      <c r="A7274" s="51">
        <v>44940</v>
      </c>
      <c r="B7274" s="52">
        <v>417</v>
      </c>
      <c r="C7274" s="8" t="s">
        <v>3631</v>
      </c>
      <c r="D7274" s="8" t="s">
        <v>766</v>
      </c>
      <c r="E7274" s="52">
        <v>1429</v>
      </c>
      <c r="F7274" s="13">
        <v>2.6</v>
      </c>
      <c r="G7274" s="13"/>
    </row>
    <row r="7275" spans="1:7" hidden="1" x14ac:dyDescent="0.75">
      <c r="A7275" s="51">
        <v>44940</v>
      </c>
      <c r="B7275" s="52">
        <v>417</v>
      </c>
      <c r="C7275" s="8" t="s">
        <v>3204</v>
      </c>
      <c r="D7275" s="8" t="s">
        <v>766</v>
      </c>
      <c r="E7275" s="52">
        <v>1436</v>
      </c>
      <c r="F7275" s="13">
        <v>6.26</v>
      </c>
      <c r="G7275" s="13"/>
    </row>
    <row r="7276" spans="1:7" hidden="1" x14ac:dyDescent="0.75">
      <c r="A7276" s="51">
        <v>44940</v>
      </c>
      <c r="B7276" s="52">
        <v>417</v>
      </c>
      <c r="C7276" s="8" t="s">
        <v>3500</v>
      </c>
      <c r="D7276" s="8" t="s">
        <v>766</v>
      </c>
      <c r="E7276" s="52">
        <v>1523</v>
      </c>
      <c r="F7276" s="13">
        <v>3.6</v>
      </c>
      <c r="G7276" s="13"/>
    </row>
    <row r="7277" spans="1:7" hidden="1" x14ac:dyDescent="0.75">
      <c r="A7277" s="51">
        <v>44940</v>
      </c>
      <c r="B7277" s="52">
        <v>417</v>
      </c>
      <c r="C7277" s="8" t="s">
        <v>3501</v>
      </c>
      <c r="D7277" s="8" t="s">
        <v>766</v>
      </c>
      <c r="E7277" s="52">
        <v>1523</v>
      </c>
      <c r="F7277" s="13">
        <v>148.5</v>
      </c>
      <c r="G7277" s="13"/>
    </row>
    <row r="7278" spans="1:7" hidden="1" x14ac:dyDescent="0.75">
      <c r="A7278" s="51">
        <v>44940</v>
      </c>
      <c r="B7278" s="52">
        <v>417</v>
      </c>
      <c r="C7278" s="8" t="s">
        <v>3318</v>
      </c>
      <c r="D7278" s="8" t="s">
        <v>766</v>
      </c>
      <c r="E7278" s="52">
        <v>1434</v>
      </c>
      <c r="F7278" s="13">
        <v>272</v>
      </c>
      <c r="G7278" s="13"/>
    </row>
    <row r="7279" spans="1:7" hidden="1" x14ac:dyDescent="0.75">
      <c r="A7279" s="51">
        <v>44940</v>
      </c>
      <c r="B7279" s="52">
        <v>417</v>
      </c>
      <c r="C7279" s="8" t="s">
        <v>3319</v>
      </c>
      <c r="D7279" s="8" t="s">
        <v>766</v>
      </c>
      <c r="E7279" s="52">
        <v>1434</v>
      </c>
      <c r="F7279" s="13">
        <v>103.38</v>
      </c>
      <c r="G7279" s="13"/>
    </row>
    <row r="7280" spans="1:7" hidden="1" x14ac:dyDescent="0.75">
      <c r="A7280" s="51">
        <v>44940</v>
      </c>
      <c r="B7280" s="52">
        <v>417</v>
      </c>
      <c r="C7280" s="8" t="s">
        <v>3320</v>
      </c>
      <c r="D7280" s="8" t="s">
        <v>766</v>
      </c>
      <c r="E7280" s="52">
        <v>1434</v>
      </c>
      <c r="F7280" s="13">
        <v>169.78</v>
      </c>
      <c r="G7280" s="13"/>
    </row>
    <row r="7281" spans="1:7" hidden="1" x14ac:dyDescent="0.75">
      <c r="A7281" s="51">
        <v>44942</v>
      </c>
      <c r="B7281" s="52">
        <v>417</v>
      </c>
      <c r="C7281" s="8" t="s">
        <v>3502</v>
      </c>
      <c r="D7281" s="8" t="s">
        <v>766</v>
      </c>
      <c r="E7281" s="52">
        <v>1523</v>
      </c>
      <c r="F7281" s="13">
        <v>124.7</v>
      </c>
      <c r="G7281" s="13"/>
    </row>
    <row r="7282" spans="1:7" hidden="1" x14ac:dyDescent="0.75">
      <c r="A7282" s="51">
        <v>44942</v>
      </c>
      <c r="B7282" s="52">
        <v>417</v>
      </c>
      <c r="C7282" s="8" t="s">
        <v>3503</v>
      </c>
      <c r="D7282" s="8" t="s">
        <v>766</v>
      </c>
      <c r="E7282" s="52">
        <v>1523</v>
      </c>
      <c r="F7282" s="13">
        <v>420</v>
      </c>
      <c r="G7282" s="13"/>
    </row>
    <row r="7283" spans="1:7" hidden="1" x14ac:dyDescent="0.75">
      <c r="A7283" s="51">
        <v>44942</v>
      </c>
      <c r="B7283" s="52">
        <v>417</v>
      </c>
      <c r="C7283" s="8" t="s">
        <v>1226</v>
      </c>
      <c r="D7283" s="8" t="s">
        <v>766</v>
      </c>
      <c r="E7283" s="52">
        <v>1508</v>
      </c>
      <c r="F7283" s="13">
        <v>15.5</v>
      </c>
      <c r="G7283" s="13"/>
    </row>
    <row r="7284" spans="1:7" hidden="1" x14ac:dyDescent="0.75">
      <c r="A7284" s="51">
        <v>44942</v>
      </c>
      <c r="B7284" s="52">
        <v>417</v>
      </c>
      <c r="C7284" s="8" t="s">
        <v>2910</v>
      </c>
      <c r="D7284" s="8" t="s">
        <v>766</v>
      </c>
      <c r="E7284" s="52">
        <v>1508</v>
      </c>
      <c r="F7284" s="13">
        <v>18.3</v>
      </c>
      <c r="G7284" s="13"/>
    </row>
    <row r="7285" spans="1:7" hidden="1" x14ac:dyDescent="0.75">
      <c r="A7285" s="51">
        <v>44942</v>
      </c>
      <c r="B7285" s="52">
        <v>417</v>
      </c>
      <c r="C7285" s="8" t="s">
        <v>3211</v>
      </c>
      <c r="D7285" s="8" t="s">
        <v>766</v>
      </c>
      <c r="E7285" s="52">
        <v>1435</v>
      </c>
      <c r="F7285" s="13">
        <v>54.5</v>
      </c>
      <c r="G7285" s="13"/>
    </row>
    <row r="7286" spans="1:7" hidden="1" x14ac:dyDescent="0.75">
      <c r="A7286" s="51">
        <v>44942</v>
      </c>
      <c r="B7286" s="52">
        <v>417</v>
      </c>
      <c r="C7286" s="8" t="s">
        <v>3321</v>
      </c>
      <c r="D7286" s="8" t="s">
        <v>766</v>
      </c>
      <c r="E7286" s="52">
        <v>1434</v>
      </c>
      <c r="F7286" s="13">
        <v>490</v>
      </c>
      <c r="G7286" s="13"/>
    </row>
    <row r="7287" spans="1:7" hidden="1" x14ac:dyDescent="0.75">
      <c r="A7287" s="51">
        <v>44942</v>
      </c>
      <c r="B7287" s="52">
        <v>417</v>
      </c>
      <c r="C7287" s="8" t="s">
        <v>3322</v>
      </c>
      <c r="D7287" s="8" t="s">
        <v>766</v>
      </c>
      <c r="E7287" s="52">
        <v>1434</v>
      </c>
      <c r="F7287" s="13">
        <v>263.36</v>
      </c>
      <c r="G7287" s="13"/>
    </row>
    <row r="7288" spans="1:7" hidden="1" x14ac:dyDescent="0.75">
      <c r="A7288" s="51">
        <v>44942</v>
      </c>
      <c r="B7288" s="52">
        <v>417</v>
      </c>
      <c r="C7288" s="8" t="s">
        <v>3323</v>
      </c>
      <c r="D7288" s="8" t="s">
        <v>766</v>
      </c>
      <c r="E7288" s="52">
        <v>1434</v>
      </c>
      <c r="F7288" s="13">
        <v>69.7</v>
      </c>
      <c r="G7288" s="13"/>
    </row>
    <row r="7289" spans="1:7" hidden="1" x14ac:dyDescent="0.75">
      <c r="A7289" s="51">
        <v>44942</v>
      </c>
      <c r="B7289" s="52">
        <v>417</v>
      </c>
      <c r="C7289" s="8" t="s">
        <v>3324</v>
      </c>
      <c r="D7289" s="8" t="s">
        <v>766</v>
      </c>
      <c r="E7289" s="52">
        <v>1434</v>
      </c>
      <c r="F7289" s="13">
        <v>73.5</v>
      </c>
      <c r="G7289" s="13"/>
    </row>
    <row r="7290" spans="1:7" hidden="1" x14ac:dyDescent="0.75">
      <c r="A7290" s="51">
        <v>44942</v>
      </c>
      <c r="B7290" s="52">
        <v>417</v>
      </c>
      <c r="C7290" s="8" t="s">
        <v>3325</v>
      </c>
      <c r="D7290" s="8" t="s">
        <v>766</v>
      </c>
      <c r="E7290" s="52">
        <v>1434</v>
      </c>
      <c r="F7290" s="13">
        <v>104.4</v>
      </c>
      <c r="G7290" s="13"/>
    </row>
    <row r="7291" spans="1:7" hidden="1" x14ac:dyDescent="0.75">
      <c r="A7291" s="51">
        <v>44942</v>
      </c>
      <c r="B7291" s="52">
        <v>417</v>
      </c>
      <c r="C7291" s="8" t="s">
        <v>3326</v>
      </c>
      <c r="D7291" s="8" t="s">
        <v>766</v>
      </c>
      <c r="E7291" s="52">
        <v>1434</v>
      </c>
      <c r="F7291" s="13">
        <v>76.2</v>
      </c>
      <c r="G7291" s="13"/>
    </row>
    <row r="7292" spans="1:7" hidden="1" x14ac:dyDescent="0.75">
      <c r="A7292" s="51">
        <v>44942</v>
      </c>
      <c r="B7292" s="52">
        <v>417</v>
      </c>
      <c r="C7292" s="8" t="s">
        <v>3327</v>
      </c>
      <c r="D7292" s="8" t="s">
        <v>766</v>
      </c>
      <c r="E7292" s="52">
        <v>1434</v>
      </c>
      <c r="F7292" s="13">
        <v>92.55</v>
      </c>
      <c r="G7292" s="13"/>
    </row>
    <row r="7293" spans="1:7" hidden="1" x14ac:dyDescent="0.75">
      <c r="A7293" s="51">
        <v>44942</v>
      </c>
      <c r="B7293" s="52">
        <v>417</v>
      </c>
      <c r="C7293" s="8" t="s">
        <v>3328</v>
      </c>
      <c r="D7293" s="8" t="s">
        <v>766</v>
      </c>
      <c r="E7293" s="52">
        <v>1434</v>
      </c>
      <c r="F7293" s="13">
        <v>125.2</v>
      </c>
      <c r="G7293" s="13"/>
    </row>
    <row r="7294" spans="1:7" hidden="1" x14ac:dyDescent="0.75">
      <c r="A7294" s="51">
        <v>44943</v>
      </c>
      <c r="B7294" s="52">
        <v>417</v>
      </c>
      <c r="C7294" s="8" t="s">
        <v>3659</v>
      </c>
      <c r="D7294" s="8" t="s">
        <v>766</v>
      </c>
      <c r="E7294" s="52">
        <v>1429</v>
      </c>
      <c r="F7294" s="13">
        <v>44</v>
      </c>
      <c r="G7294" s="13"/>
    </row>
    <row r="7295" spans="1:7" hidden="1" x14ac:dyDescent="0.75">
      <c r="A7295" s="51">
        <v>44943</v>
      </c>
      <c r="B7295" s="52">
        <v>417</v>
      </c>
      <c r="C7295" s="8" t="s">
        <v>3660</v>
      </c>
      <c r="D7295" s="8" t="s">
        <v>766</v>
      </c>
      <c r="E7295" s="52">
        <v>1429</v>
      </c>
      <c r="F7295" s="13">
        <v>26.4</v>
      </c>
      <c r="G7295" s="13"/>
    </row>
    <row r="7296" spans="1:7" hidden="1" x14ac:dyDescent="0.75">
      <c r="A7296" s="51">
        <v>44943</v>
      </c>
      <c r="B7296" s="52">
        <v>417</v>
      </c>
      <c r="C7296" s="8" t="s">
        <v>3661</v>
      </c>
      <c r="D7296" s="8" t="s">
        <v>766</v>
      </c>
      <c r="E7296" s="52">
        <v>1429</v>
      </c>
      <c r="F7296" s="13">
        <v>6.4</v>
      </c>
      <c r="G7296" s="13"/>
    </row>
    <row r="7297" spans="1:7" hidden="1" x14ac:dyDescent="0.75">
      <c r="A7297" s="51">
        <v>44943</v>
      </c>
      <c r="B7297" s="52">
        <v>417</v>
      </c>
      <c r="C7297" s="8" t="s">
        <v>3662</v>
      </c>
      <c r="D7297" s="8" t="s">
        <v>766</v>
      </c>
      <c r="E7297" s="52">
        <v>1429</v>
      </c>
      <c r="F7297" s="13">
        <v>17.3</v>
      </c>
      <c r="G7297" s="13"/>
    </row>
    <row r="7298" spans="1:7" hidden="1" x14ac:dyDescent="0.75">
      <c r="A7298" s="51">
        <v>44943</v>
      </c>
      <c r="B7298" s="52">
        <v>417</v>
      </c>
      <c r="C7298" s="8" t="s">
        <v>3708</v>
      </c>
      <c r="D7298" s="8" t="s">
        <v>766</v>
      </c>
      <c r="E7298" s="52">
        <v>1433</v>
      </c>
      <c r="F7298" s="13">
        <v>305.2</v>
      </c>
      <c r="G7298" s="13"/>
    </row>
    <row r="7299" spans="1:7" hidden="1" x14ac:dyDescent="0.75">
      <c r="A7299" s="51">
        <v>44943</v>
      </c>
      <c r="B7299" s="52">
        <v>417</v>
      </c>
      <c r="C7299" s="8" t="s">
        <v>3504</v>
      </c>
      <c r="D7299" s="8" t="s">
        <v>766</v>
      </c>
      <c r="E7299" s="52">
        <v>1523</v>
      </c>
      <c r="F7299" s="13">
        <v>18.7</v>
      </c>
      <c r="G7299" s="13"/>
    </row>
    <row r="7300" spans="1:7" hidden="1" x14ac:dyDescent="0.75">
      <c r="A7300" s="51">
        <v>44943</v>
      </c>
      <c r="B7300" s="52">
        <v>417</v>
      </c>
      <c r="C7300" s="8" t="s">
        <v>3505</v>
      </c>
      <c r="D7300" s="8" t="s">
        <v>766</v>
      </c>
      <c r="E7300" s="52">
        <v>1523</v>
      </c>
      <c r="F7300" s="13">
        <v>294.8</v>
      </c>
      <c r="G7300" s="13"/>
    </row>
    <row r="7301" spans="1:7" hidden="1" x14ac:dyDescent="0.75">
      <c r="A7301" s="51">
        <v>44943</v>
      </c>
      <c r="B7301" s="52">
        <v>417</v>
      </c>
      <c r="C7301" s="8" t="s">
        <v>2911</v>
      </c>
      <c r="D7301" s="8" t="s">
        <v>766</v>
      </c>
      <c r="E7301" s="52">
        <v>1508</v>
      </c>
      <c r="F7301" s="13">
        <v>8.35</v>
      </c>
      <c r="G7301" s="13"/>
    </row>
    <row r="7302" spans="1:7" hidden="1" x14ac:dyDescent="0.75">
      <c r="A7302" s="51">
        <v>44943</v>
      </c>
      <c r="B7302" s="52">
        <v>417</v>
      </c>
      <c r="C7302" s="8" t="s">
        <v>3329</v>
      </c>
      <c r="D7302" s="8" t="s">
        <v>766</v>
      </c>
      <c r="E7302" s="52">
        <v>1434</v>
      </c>
      <c r="F7302" s="13">
        <v>173.7</v>
      </c>
      <c r="G7302" s="13"/>
    </row>
    <row r="7303" spans="1:7" hidden="1" x14ac:dyDescent="0.75">
      <c r="A7303" s="51">
        <v>44943</v>
      </c>
      <c r="B7303" s="52">
        <v>417</v>
      </c>
      <c r="C7303" s="8" t="s">
        <v>3330</v>
      </c>
      <c r="D7303" s="8" t="s">
        <v>766</v>
      </c>
      <c r="E7303" s="52">
        <v>1434</v>
      </c>
      <c r="F7303" s="13">
        <v>106.9</v>
      </c>
      <c r="G7303" s="13"/>
    </row>
    <row r="7304" spans="1:7" hidden="1" x14ac:dyDescent="0.75">
      <c r="A7304" s="51">
        <v>44944</v>
      </c>
      <c r="B7304" s="52">
        <v>417</v>
      </c>
      <c r="C7304" s="8" t="s">
        <v>3331</v>
      </c>
      <c r="D7304" s="8" t="s">
        <v>766</v>
      </c>
      <c r="E7304" s="52">
        <v>1434</v>
      </c>
      <c r="F7304" s="13">
        <v>427.5</v>
      </c>
      <c r="G7304" s="13"/>
    </row>
    <row r="7305" spans="1:7" hidden="1" x14ac:dyDescent="0.75">
      <c r="A7305" s="51">
        <v>44944</v>
      </c>
      <c r="B7305" s="52">
        <v>417</v>
      </c>
      <c r="C7305" s="8" t="s">
        <v>3525</v>
      </c>
      <c r="D7305" s="8" t="s">
        <v>766</v>
      </c>
      <c r="E7305" s="52">
        <v>1523</v>
      </c>
      <c r="F7305" s="13">
        <v>17</v>
      </c>
      <c r="G7305" s="13"/>
    </row>
    <row r="7306" spans="1:7" hidden="1" x14ac:dyDescent="0.75">
      <c r="A7306" s="51">
        <v>44944</v>
      </c>
      <c r="B7306" s="52">
        <v>417</v>
      </c>
      <c r="C7306" s="8" t="s">
        <v>3526</v>
      </c>
      <c r="D7306" s="8" t="s">
        <v>766</v>
      </c>
      <c r="E7306" s="52">
        <v>1523</v>
      </c>
      <c r="F7306" s="13">
        <v>201.2</v>
      </c>
      <c r="G7306" s="13"/>
    </row>
    <row r="7307" spans="1:7" hidden="1" x14ac:dyDescent="0.75">
      <c r="A7307" s="51">
        <v>44944</v>
      </c>
      <c r="B7307" s="52">
        <v>417</v>
      </c>
      <c r="C7307" s="8" t="s">
        <v>3527</v>
      </c>
      <c r="D7307" s="8" t="s">
        <v>766</v>
      </c>
      <c r="E7307" s="52">
        <v>1523</v>
      </c>
      <c r="F7307" s="13">
        <v>85</v>
      </c>
      <c r="G7307" s="13"/>
    </row>
    <row r="7308" spans="1:7" hidden="1" x14ac:dyDescent="0.75">
      <c r="A7308" s="51">
        <v>44944</v>
      </c>
      <c r="B7308" s="52">
        <v>417</v>
      </c>
      <c r="C7308" s="8" t="s">
        <v>3332</v>
      </c>
      <c r="D7308" s="8" t="s">
        <v>766</v>
      </c>
      <c r="E7308" s="52">
        <v>1434</v>
      </c>
      <c r="F7308" s="13">
        <v>228.2</v>
      </c>
      <c r="G7308" s="13"/>
    </row>
    <row r="7309" spans="1:7" hidden="1" x14ac:dyDescent="0.75">
      <c r="A7309" s="51">
        <v>44944</v>
      </c>
      <c r="B7309" s="52">
        <v>417</v>
      </c>
      <c r="C7309" s="8" t="s">
        <v>3333</v>
      </c>
      <c r="D7309" s="8" t="s">
        <v>766</v>
      </c>
      <c r="E7309" s="52">
        <v>1434</v>
      </c>
      <c r="F7309" s="13">
        <v>135.19999999999999</v>
      </c>
      <c r="G7309" s="13"/>
    </row>
    <row r="7310" spans="1:7" hidden="1" x14ac:dyDescent="0.75">
      <c r="A7310" s="51">
        <v>44944</v>
      </c>
      <c r="B7310" s="52">
        <v>417</v>
      </c>
      <c r="C7310" s="8" t="s">
        <v>3334</v>
      </c>
      <c r="D7310" s="8" t="s">
        <v>766</v>
      </c>
      <c r="E7310" s="52">
        <v>1434</v>
      </c>
      <c r="F7310" s="13">
        <v>192.98</v>
      </c>
      <c r="G7310" s="13"/>
    </row>
    <row r="7311" spans="1:7" hidden="1" x14ac:dyDescent="0.75">
      <c r="A7311" s="51">
        <v>44944</v>
      </c>
      <c r="B7311" s="52">
        <v>417</v>
      </c>
      <c r="C7311" s="8" t="s">
        <v>3335</v>
      </c>
      <c r="D7311" s="8" t="s">
        <v>766</v>
      </c>
      <c r="E7311" s="52">
        <v>1434</v>
      </c>
      <c r="F7311" s="13">
        <v>200</v>
      </c>
      <c r="G7311" s="13"/>
    </row>
    <row r="7312" spans="1:7" hidden="1" x14ac:dyDescent="0.75">
      <c r="A7312" s="51">
        <v>44944</v>
      </c>
      <c r="B7312" s="52">
        <v>417</v>
      </c>
      <c r="C7312" s="8" t="s">
        <v>3336</v>
      </c>
      <c r="D7312" s="8" t="s">
        <v>766</v>
      </c>
      <c r="E7312" s="52">
        <v>1434</v>
      </c>
      <c r="F7312" s="13">
        <v>47.5</v>
      </c>
      <c r="G7312" s="13"/>
    </row>
    <row r="7313" spans="1:7" hidden="1" x14ac:dyDescent="0.75">
      <c r="A7313" s="51">
        <v>44945</v>
      </c>
      <c r="B7313" s="52">
        <v>417</v>
      </c>
      <c r="C7313" s="8" t="s">
        <v>3663</v>
      </c>
      <c r="D7313" s="8" t="s">
        <v>766</v>
      </c>
      <c r="E7313" s="52">
        <v>1429</v>
      </c>
      <c r="F7313" s="13">
        <v>43.4</v>
      </c>
      <c r="G7313" s="13"/>
    </row>
    <row r="7314" spans="1:7" hidden="1" x14ac:dyDescent="0.75">
      <c r="A7314" s="51">
        <v>44945</v>
      </c>
      <c r="B7314" s="52">
        <v>417</v>
      </c>
      <c r="C7314" s="8" t="s">
        <v>3664</v>
      </c>
      <c r="D7314" s="8" t="s">
        <v>766</v>
      </c>
      <c r="E7314" s="52">
        <v>1429</v>
      </c>
      <c r="F7314" s="13">
        <v>86.5</v>
      </c>
      <c r="G7314" s="13"/>
    </row>
    <row r="7315" spans="1:7" hidden="1" x14ac:dyDescent="0.75">
      <c r="A7315" s="51">
        <v>44945</v>
      </c>
      <c r="B7315" s="52">
        <v>417</v>
      </c>
      <c r="C7315" s="8" t="s">
        <v>3665</v>
      </c>
      <c r="D7315" s="8" t="s">
        <v>766</v>
      </c>
      <c r="E7315" s="52">
        <v>1429</v>
      </c>
      <c r="F7315" s="13">
        <v>63.65</v>
      </c>
      <c r="G7315" s="13"/>
    </row>
    <row r="7316" spans="1:7" hidden="1" x14ac:dyDescent="0.75">
      <c r="A7316" s="51">
        <v>44945</v>
      </c>
      <c r="B7316" s="52">
        <v>417</v>
      </c>
      <c r="C7316" s="8" t="s">
        <v>3528</v>
      </c>
      <c r="D7316" s="8" t="s">
        <v>766</v>
      </c>
      <c r="E7316" s="52">
        <v>1523</v>
      </c>
      <c r="F7316" s="13">
        <v>10.7</v>
      </c>
      <c r="G7316" s="13"/>
    </row>
    <row r="7317" spans="1:7" hidden="1" x14ac:dyDescent="0.75">
      <c r="A7317" s="51">
        <v>44945</v>
      </c>
      <c r="B7317" s="52">
        <v>417</v>
      </c>
      <c r="C7317" s="8" t="s">
        <v>3529</v>
      </c>
      <c r="D7317" s="8" t="s">
        <v>766</v>
      </c>
      <c r="E7317" s="52">
        <v>1523</v>
      </c>
      <c r="F7317" s="13">
        <v>9.1999999999999993</v>
      </c>
      <c r="G7317" s="13"/>
    </row>
    <row r="7318" spans="1:7" hidden="1" x14ac:dyDescent="0.75">
      <c r="A7318" s="51">
        <v>44945</v>
      </c>
      <c r="B7318" s="52">
        <v>417</v>
      </c>
      <c r="C7318" s="8" t="s">
        <v>3530</v>
      </c>
      <c r="D7318" s="8" t="s">
        <v>766</v>
      </c>
      <c r="E7318" s="52">
        <v>1523</v>
      </c>
      <c r="F7318" s="13">
        <v>366.3</v>
      </c>
      <c r="G7318" s="13"/>
    </row>
    <row r="7319" spans="1:7" hidden="1" x14ac:dyDescent="0.75">
      <c r="A7319" s="51">
        <v>44945</v>
      </c>
      <c r="B7319" s="52">
        <v>417</v>
      </c>
      <c r="C7319" s="8" t="s">
        <v>3531</v>
      </c>
      <c r="D7319" s="8" t="s">
        <v>766</v>
      </c>
      <c r="E7319" s="52">
        <v>1523</v>
      </c>
      <c r="F7319" s="13">
        <v>33.4</v>
      </c>
      <c r="G7319" s="13"/>
    </row>
    <row r="7320" spans="1:7" hidden="1" x14ac:dyDescent="0.75">
      <c r="A7320" s="51">
        <v>44945</v>
      </c>
      <c r="B7320" s="52">
        <v>417</v>
      </c>
      <c r="C7320" s="8" t="s">
        <v>3532</v>
      </c>
      <c r="D7320" s="8" t="s">
        <v>766</v>
      </c>
      <c r="E7320" s="52">
        <v>1523</v>
      </c>
      <c r="F7320" s="13">
        <v>66.8</v>
      </c>
      <c r="G7320" s="13"/>
    </row>
    <row r="7321" spans="1:7" hidden="1" x14ac:dyDescent="0.75">
      <c r="A7321" s="51">
        <v>44945</v>
      </c>
      <c r="B7321" s="52">
        <v>417</v>
      </c>
      <c r="C7321" s="8" t="s">
        <v>2919</v>
      </c>
      <c r="D7321" s="8" t="s">
        <v>766</v>
      </c>
      <c r="E7321" s="52">
        <v>1508</v>
      </c>
      <c r="F7321" s="13">
        <v>88.25</v>
      </c>
      <c r="G7321" s="13"/>
    </row>
    <row r="7322" spans="1:7" hidden="1" x14ac:dyDescent="0.75">
      <c r="A7322" s="51">
        <v>44945</v>
      </c>
      <c r="B7322" s="52">
        <v>417</v>
      </c>
      <c r="C7322" s="8" t="s">
        <v>2920</v>
      </c>
      <c r="D7322" s="8" t="s">
        <v>766</v>
      </c>
      <c r="E7322" s="52">
        <v>1508</v>
      </c>
      <c r="F7322" s="13">
        <v>4.9000000000000004</v>
      </c>
      <c r="G7322" s="13"/>
    </row>
    <row r="7323" spans="1:7" hidden="1" x14ac:dyDescent="0.75">
      <c r="A7323" s="51">
        <v>44945</v>
      </c>
      <c r="B7323" s="52">
        <v>417</v>
      </c>
      <c r="C7323" s="8" t="s">
        <v>3337</v>
      </c>
      <c r="D7323" s="8" t="s">
        <v>766</v>
      </c>
      <c r="E7323" s="52">
        <v>1434</v>
      </c>
      <c r="F7323" s="13">
        <v>30</v>
      </c>
      <c r="G7323" s="13"/>
    </row>
    <row r="7324" spans="1:7" hidden="1" x14ac:dyDescent="0.75">
      <c r="A7324" s="51">
        <v>44945</v>
      </c>
      <c r="B7324" s="52">
        <v>417</v>
      </c>
      <c r="C7324" s="8" t="s">
        <v>3338</v>
      </c>
      <c r="D7324" s="8" t="s">
        <v>766</v>
      </c>
      <c r="E7324" s="52">
        <v>1434</v>
      </c>
      <c r="F7324" s="13">
        <v>160</v>
      </c>
      <c r="G7324" s="13"/>
    </row>
    <row r="7325" spans="1:7" hidden="1" x14ac:dyDescent="0.75">
      <c r="A7325" s="51">
        <v>44945</v>
      </c>
      <c r="B7325" s="52">
        <v>417</v>
      </c>
      <c r="C7325" s="8" t="s">
        <v>3339</v>
      </c>
      <c r="D7325" s="8" t="s">
        <v>766</v>
      </c>
      <c r="E7325" s="52">
        <v>1434</v>
      </c>
      <c r="F7325" s="13">
        <v>79</v>
      </c>
      <c r="G7325" s="13"/>
    </row>
    <row r="7326" spans="1:7" hidden="1" x14ac:dyDescent="0.75">
      <c r="A7326" s="51">
        <v>44945</v>
      </c>
      <c r="B7326" s="52">
        <v>417</v>
      </c>
      <c r="C7326" s="8" t="s">
        <v>3340</v>
      </c>
      <c r="D7326" s="8" t="s">
        <v>766</v>
      </c>
      <c r="E7326" s="52">
        <v>1434</v>
      </c>
      <c r="F7326" s="13">
        <v>156.47999999999999</v>
      </c>
      <c r="G7326" s="13"/>
    </row>
    <row r="7327" spans="1:7" hidden="1" x14ac:dyDescent="0.75">
      <c r="A7327" s="51">
        <v>44946</v>
      </c>
      <c r="B7327" s="52">
        <v>417</v>
      </c>
      <c r="C7327" s="8" t="s">
        <v>3380</v>
      </c>
      <c r="D7327" s="8" t="s">
        <v>766</v>
      </c>
      <c r="E7327" s="52">
        <v>1434</v>
      </c>
      <c r="F7327" s="13">
        <v>546.5</v>
      </c>
      <c r="G7327" s="13"/>
    </row>
    <row r="7328" spans="1:7" hidden="1" x14ac:dyDescent="0.75">
      <c r="A7328" s="51">
        <v>44946</v>
      </c>
      <c r="B7328" s="52">
        <v>417</v>
      </c>
      <c r="C7328" s="8" t="s">
        <v>3533</v>
      </c>
      <c r="D7328" s="8" t="s">
        <v>766</v>
      </c>
      <c r="E7328" s="52">
        <v>1523</v>
      </c>
      <c r="F7328" s="13">
        <v>33</v>
      </c>
      <c r="G7328" s="13"/>
    </row>
    <row r="7329" spans="1:7" hidden="1" x14ac:dyDescent="0.75">
      <c r="A7329" s="51">
        <v>44946</v>
      </c>
      <c r="B7329" s="52">
        <v>417</v>
      </c>
      <c r="C7329" s="8" t="s">
        <v>3534</v>
      </c>
      <c r="D7329" s="8" t="s">
        <v>766</v>
      </c>
      <c r="E7329" s="52">
        <v>1523</v>
      </c>
      <c r="F7329" s="13">
        <v>214.5</v>
      </c>
      <c r="G7329" s="13"/>
    </row>
    <row r="7330" spans="1:7" hidden="1" x14ac:dyDescent="0.75">
      <c r="A7330" s="51">
        <v>44946</v>
      </c>
      <c r="B7330" s="52">
        <v>417</v>
      </c>
      <c r="C7330" s="8" t="s">
        <v>2923</v>
      </c>
      <c r="D7330" s="8" t="s">
        <v>766</v>
      </c>
      <c r="E7330" s="52">
        <v>1508</v>
      </c>
      <c r="F7330" s="13">
        <v>15.5</v>
      </c>
      <c r="G7330" s="13"/>
    </row>
    <row r="7331" spans="1:7" hidden="1" x14ac:dyDescent="0.75">
      <c r="A7331" s="51">
        <v>44946</v>
      </c>
      <c r="B7331" s="52">
        <v>417</v>
      </c>
      <c r="C7331" s="8" t="s">
        <v>2924</v>
      </c>
      <c r="D7331" s="8" t="s">
        <v>766</v>
      </c>
      <c r="E7331" s="52">
        <v>1508</v>
      </c>
      <c r="F7331" s="13">
        <v>41.7</v>
      </c>
      <c r="G7331" s="13"/>
    </row>
    <row r="7332" spans="1:7" hidden="1" x14ac:dyDescent="0.75">
      <c r="A7332" s="51">
        <v>44946</v>
      </c>
      <c r="B7332" s="52">
        <v>417</v>
      </c>
      <c r="C7332" s="8" t="s">
        <v>3212</v>
      </c>
      <c r="D7332" s="8" t="s">
        <v>766</v>
      </c>
      <c r="E7332" s="52">
        <v>1435</v>
      </c>
      <c r="F7332" s="13">
        <v>82</v>
      </c>
      <c r="G7332" s="13"/>
    </row>
    <row r="7333" spans="1:7" hidden="1" x14ac:dyDescent="0.75">
      <c r="A7333" s="51">
        <v>44946</v>
      </c>
      <c r="B7333" s="52">
        <v>417</v>
      </c>
      <c r="C7333" s="8" t="s">
        <v>3381</v>
      </c>
      <c r="D7333" s="8" t="s">
        <v>766</v>
      </c>
      <c r="E7333" s="52">
        <v>1434</v>
      </c>
      <c r="F7333" s="13">
        <v>140.4</v>
      </c>
      <c r="G7333" s="13"/>
    </row>
    <row r="7334" spans="1:7" hidden="1" x14ac:dyDescent="0.75">
      <c r="A7334" s="51">
        <v>44946</v>
      </c>
      <c r="B7334" s="52">
        <v>417</v>
      </c>
      <c r="C7334" s="8" t="s">
        <v>3382</v>
      </c>
      <c r="D7334" s="8" t="s">
        <v>766</v>
      </c>
      <c r="E7334" s="52">
        <v>1434</v>
      </c>
      <c r="F7334" s="13">
        <v>166.7</v>
      </c>
      <c r="G7334" s="13"/>
    </row>
    <row r="7335" spans="1:7" hidden="1" x14ac:dyDescent="0.75">
      <c r="A7335" s="51">
        <v>44946</v>
      </c>
      <c r="B7335" s="52">
        <v>417</v>
      </c>
      <c r="C7335" s="8" t="s">
        <v>3383</v>
      </c>
      <c r="D7335" s="8" t="s">
        <v>766</v>
      </c>
      <c r="E7335" s="52">
        <v>1434</v>
      </c>
      <c r="F7335" s="13">
        <v>103.9</v>
      </c>
      <c r="G7335" s="13"/>
    </row>
    <row r="7336" spans="1:7" hidden="1" x14ac:dyDescent="0.75">
      <c r="A7336" s="51">
        <v>44947</v>
      </c>
      <c r="B7336" s="52">
        <v>417</v>
      </c>
      <c r="C7336" s="8" t="s">
        <v>3666</v>
      </c>
      <c r="D7336" s="8" t="s">
        <v>766</v>
      </c>
      <c r="E7336" s="52">
        <v>1429</v>
      </c>
      <c r="F7336" s="13">
        <v>247.5</v>
      </c>
      <c r="G7336" s="13"/>
    </row>
    <row r="7337" spans="1:7" hidden="1" x14ac:dyDescent="0.75">
      <c r="A7337" s="51">
        <v>44947</v>
      </c>
      <c r="B7337" s="52">
        <v>417</v>
      </c>
      <c r="C7337" s="8" t="s">
        <v>3667</v>
      </c>
      <c r="D7337" s="8" t="s">
        <v>766</v>
      </c>
      <c r="E7337" s="52">
        <v>1429</v>
      </c>
      <c r="F7337" s="13">
        <v>65.3</v>
      </c>
      <c r="G7337" s="13"/>
    </row>
    <row r="7338" spans="1:7" hidden="1" x14ac:dyDescent="0.75">
      <c r="A7338" s="51">
        <v>44947</v>
      </c>
      <c r="B7338" s="52">
        <v>417</v>
      </c>
      <c r="C7338" s="8" t="s">
        <v>3709</v>
      </c>
      <c r="D7338" s="8" t="s">
        <v>766</v>
      </c>
      <c r="E7338" s="52">
        <v>1433</v>
      </c>
      <c r="F7338" s="13">
        <v>654</v>
      </c>
      <c r="G7338" s="13"/>
    </row>
    <row r="7339" spans="1:7" hidden="1" x14ac:dyDescent="0.75">
      <c r="A7339" s="51">
        <v>44947</v>
      </c>
      <c r="B7339" s="52">
        <v>417</v>
      </c>
      <c r="C7339" s="8" t="s">
        <v>3535</v>
      </c>
      <c r="D7339" s="8" t="s">
        <v>766</v>
      </c>
      <c r="E7339" s="52">
        <v>1523</v>
      </c>
      <c r="F7339" s="13">
        <v>348.2</v>
      </c>
      <c r="G7339" s="13"/>
    </row>
    <row r="7340" spans="1:7" hidden="1" x14ac:dyDescent="0.75">
      <c r="A7340" s="51">
        <v>44947</v>
      </c>
      <c r="B7340" s="52">
        <v>417</v>
      </c>
      <c r="C7340" s="8" t="s">
        <v>3536</v>
      </c>
      <c r="D7340" s="8" t="s">
        <v>766</v>
      </c>
      <c r="E7340" s="52">
        <v>1523</v>
      </c>
      <c r="F7340" s="13">
        <v>3.6</v>
      </c>
      <c r="G7340" s="13"/>
    </row>
    <row r="7341" spans="1:7" hidden="1" x14ac:dyDescent="0.75">
      <c r="A7341" s="51">
        <v>44947</v>
      </c>
      <c r="B7341" s="52">
        <v>417</v>
      </c>
      <c r="C7341" s="8" t="s">
        <v>3537</v>
      </c>
      <c r="D7341" s="8" t="s">
        <v>766</v>
      </c>
      <c r="E7341" s="52">
        <v>1523</v>
      </c>
      <c r="F7341" s="13">
        <v>11.9</v>
      </c>
      <c r="G7341" s="13"/>
    </row>
    <row r="7342" spans="1:7" hidden="1" x14ac:dyDescent="0.75">
      <c r="A7342" s="51">
        <v>44947</v>
      </c>
      <c r="B7342" s="52">
        <v>417</v>
      </c>
      <c r="C7342" s="8" t="s">
        <v>3538</v>
      </c>
      <c r="D7342" s="8" t="s">
        <v>766</v>
      </c>
      <c r="E7342" s="52">
        <v>1523</v>
      </c>
      <c r="F7342" s="13">
        <v>69.7</v>
      </c>
      <c r="G7342" s="13"/>
    </row>
    <row r="7343" spans="1:7" hidden="1" x14ac:dyDescent="0.75">
      <c r="A7343" s="51">
        <v>44947</v>
      </c>
      <c r="B7343" s="52">
        <v>417</v>
      </c>
      <c r="C7343" s="8" t="s">
        <v>3539</v>
      </c>
      <c r="D7343" s="8" t="s">
        <v>766</v>
      </c>
      <c r="E7343" s="52">
        <v>1523</v>
      </c>
      <c r="F7343" s="13">
        <v>35.4</v>
      </c>
      <c r="G7343" s="13"/>
    </row>
    <row r="7344" spans="1:7" hidden="1" x14ac:dyDescent="0.75">
      <c r="A7344" s="51">
        <v>44947</v>
      </c>
      <c r="B7344" s="52">
        <v>417</v>
      </c>
      <c r="C7344" s="8" t="s">
        <v>3540</v>
      </c>
      <c r="D7344" s="8" t="s">
        <v>766</v>
      </c>
      <c r="E7344" s="52">
        <v>1523</v>
      </c>
      <c r="F7344" s="13">
        <v>75.099999999999994</v>
      </c>
      <c r="G7344" s="13"/>
    </row>
    <row r="7345" spans="1:7" hidden="1" x14ac:dyDescent="0.75">
      <c r="A7345" s="51">
        <v>44947</v>
      </c>
      <c r="B7345" s="52">
        <v>417</v>
      </c>
      <c r="C7345" s="8" t="s">
        <v>3384</v>
      </c>
      <c r="D7345" s="8" t="s">
        <v>766</v>
      </c>
      <c r="E7345" s="52">
        <v>1434</v>
      </c>
      <c r="F7345" s="13">
        <v>118.94</v>
      </c>
      <c r="G7345" s="13"/>
    </row>
    <row r="7346" spans="1:7" hidden="1" x14ac:dyDescent="0.75">
      <c r="A7346" s="51">
        <v>44949</v>
      </c>
      <c r="B7346" s="52">
        <v>417</v>
      </c>
      <c r="C7346" s="8" t="s">
        <v>2929</v>
      </c>
      <c r="D7346" s="8" t="s">
        <v>766</v>
      </c>
      <c r="E7346" s="52">
        <v>1508</v>
      </c>
      <c r="F7346" s="13">
        <v>1221.25</v>
      </c>
      <c r="G7346" s="13"/>
    </row>
    <row r="7347" spans="1:7" hidden="1" x14ac:dyDescent="0.75">
      <c r="A7347" s="51">
        <v>44949</v>
      </c>
      <c r="B7347" s="52">
        <v>417</v>
      </c>
      <c r="C7347" s="8" t="s">
        <v>3668</v>
      </c>
      <c r="D7347" s="8" t="s">
        <v>766</v>
      </c>
      <c r="E7347" s="52">
        <v>1429</v>
      </c>
      <c r="F7347" s="13">
        <v>91</v>
      </c>
      <c r="G7347" s="13"/>
    </row>
    <row r="7348" spans="1:7" hidden="1" x14ac:dyDescent="0.75">
      <c r="A7348" s="51">
        <v>44949</v>
      </c>
      <c r="B7348" s="52">
        <v>417</v>
      </c>
      <c r="C7348" s="8" t="s">
        <v>3710</v>
      </c>
      <c r="D7348" s="8" t="s">
        <v>766</v>
      </c>
      <c r="E7348" s="52">
        <v>1433</v>
      </c>
      <c r="F7348" s="13">
        <v>179</v>
      </c>
      <c r="G7348" s="13"/>
    </row>
    <row r="7349" spans="1:7" hidden="1" x14ac:dyDescent="0.75">
      <c r="A7349" s="51">
        <v>44949</v>
      </c>
      <c r="B7349" s="52">
        <v>417</v>
      </c>
      <c r="C7349" s="8" t="s">
        <v>3711</v>
      </c>
      <c r="D7349" s="8" t="s">
        <v>766</v>
      </c>
      <c r="E7349" s="52">
        <v>1433</v>
      </c>
      <c r="F7349" s="13">
        <v>218</v>
      </c>
      <c r="G7349" s="13"/>
    </row>
    <row r="7350" spans="1:7" hidden="1" x14ac:dyDescent="0.75">
      <c r="A7350" s="51">
        <v>44949</v>
      </c>
      <c r="B7350" s="52">
        <v>417</v>
      </c>
      <c r="C7350" s="8" t="s">
        <v>3205</v>
      </c>
      <c r="D7350" s="8" t="s">
        <v>766</v>
      </c>
      <c r="E7350" s="52">
        <v>1436</v>
      </c>
      <c r="F7350" s="13">
        <v>143.72</v>
      </c>
      <c r="G7350" s="13"/>
    </row>
    <row r="7351" spans="1:7" hidden="1" x14ac:dyDescent="0.75">
      <c r="A7351" s="51">
        <v>44949</v>
      </c>
      <c r="B7351" s="52">
        <v>417</v>
      </c>
      <c r="C7351" s="8" t="s">
        <v>3541</v>
      </c>
      <c r="D7351" s="8" t="s">
        <v>766</v>
      </c>
      <c r="E7351" s="52">
        <v>1523</v>
      </c>
      <c r="F7351" s="13">
        <v>19.2</v>
      </c>
      <c r="G7351" s="13"/>
    </row>
    <row r="7352" spans="1:7" hidden="1" x14ac:dyDescent="0.75">
      <c r="A7352" s="51">
        <v>44949</v>
      </c>
      <c r="B7352" s="52">
        <v>417</v>
      </c>
      <c r="C7352" s="8" t="s">
        <v>3542</v>
      </c>
      <c r="D7352" s="8" t="s">
        <v>766</v>
      </c>
      <c r="E7352" s="52">
        <v>1523</v>
      </c>
      <c r="F7352" s="13">
        <v>54.3</v>
      </c>
      <c r="G7352" s="13"/>
    </row>
    <row r="7353" spans="1:7" hidden="1" x14ac:dyDescent="0.75">
      <c r="A7353" s="51">
        <v>44949</v>
      </c>
      <c r="B7353" s="52">
        <v>417</v>
      </c>
      <c r="C7353" s="8" t="s">
        <v>2930</v>
      </c>
      <c r="D7353" s="8" t="s">
        <v>766</v>
      </c>
      <c r="E7353" s="52">
        <v>1508</v>
      </c>
      <c r="F7353" s="13">
        <v>20.9</v>
      </c>
      <c r="G7353" s="13"/>
    </row>
    <row r="7354" spans="1:7" hidden="1" x14ac:dyDescent="0.75">
      <c r="A7354" s="51">
        <v>44949</v>
      </c>
      <c r="B7354" s="52">
        <v>417</v>
      </c>
      <c r="C7354" s="8" t="s">
        <v>2931</v>
      </c>
      <c r="D7354" s="8" t="s">
        <v>766</v>
      </c>
      <c r="E7354" s="52">
        <v>1508</v>
      </c>
      <c r="F7354" s="13">
        <v>35</v>
      </c>
      <c r="G7354" s="13"/>
    </row>
    <row r="7355" spans="1:7" hidden="1" x14ac:dyDescent="0.75">
      <c r="A7355" s="51">
        <v>44949</v>
      </c>
      <c r="B7355" s="52">
        <v>417</v>
      </c>
      <c r="C7355" s="8" t="s">
        <v>2932</v>
      </c>
      <c r="D7355" s="8" t="s">
        <v>766</v>
      </c>
      <c r="E7355" s="52">
        <v>1508</v>
      </c>
      <c r="F7355" s="13">
        <v>87.6</v>
      </c>
      <c r="G7355" s="13"/>
    </row>
    <row r="7356" spans="1:7" hidden="1" x14ac:dyDescent="0.75">
      <c r="A7356" s="51">
        <v>44949</v>
      </c>
      <c r="B7356" s="52">
        <v>417</v>
      </c>
      <c r="C7356" s="8" t="s">
        <v>3213</v>
      </c>
      <c r="D7356" s="8" t="s">
        <v>766</v>
      </c>
      <c r="E7356" s="52">
        <v>1435</v>
      </c>
      <c r="F7356" s="13">
        <v>12.3</v>
      </c>
      <c r="G7356" s="13"/>
    </row>
    <row r="7357" spans="1:7" hidden="1" x14ac:dyDescent="0.75">
      <c r="A7357" s="51">
        <v>44949</v>
      </c>
      <c r="B7357" s="52">
        <v>417</v>
      </c>
      <c r="C7357" s="8" t="s">
        <v>3385</v>
      </c>
      <c r="D7357" s="8" t="s">
        <v>766</v>
      </c>
      <c r="E7357" s="52">
        <v>1434</v>
      </c>
      <c r="F7357" s="13">
        <v>195</v>
      </c>
      <c r="G7357" s="13"/>
    </row>
    <row r="7358" spans="1:7" hidden="1" x14ac:dyDescent="0.75">
      <c r="A7358" s="51">
        <v>44949</v>
      </c>
      <c r="B7358" s="52">
        <v>417</v>
      </c>
      <c r="C7358" s="8" t="s">
        <v>3386</v>
      </c>
      <c r="D7358" s="8" t="s">
        <v>766</v>
      </c>
      <c r="E7358" s="52">
        <v>1434</v>
      </c>
      <c r="F7358" s="13">
        <v>310.8</v>
      </c>
      <c r="G7358" s="13"/>
    </row>
    <row r="7359" spans="1:7" hidden="1" x14ac:dyDescent="0.75">
      <c r="A7359" s="51">
        <v>44949</v>
      </c>
      <c r="B7359" s="52">
        <v>417</v>
      </c>
      <c r="C7359" s="8" t="s">
        <v>3387</v>
      </c>
      <c r="D7359" s="8" t="s">
        <v>766</v>
      </c>
      <c r="E7359" s="52">
        <v>1434</v>
      </c>
      <c r="F7359" s="13">
        <v>65.2</v>
      </c>
      <c r="G7359" s="13"/>
    </row>
    <row r="7360" spans="1:7" hidden="1" x14ac:dyDescent="0.75">
      <c r="A7360" s="51">
        <v>44949</v>
      </c>
      <c r="B7360" s="52">
        <v>417</v>
      </c>
      <c r="C7360" s="8" t="s">
        <v>3388</v>
      </c>
      <c r="D7360" s="8" t="s">
        <v>766</v>
      </c>
      <c r="E7360" s="52">
        <v>1434</v>
      </c>
      <c r="F7360" s="13">
        <v>30.9</v>
      </c>
      <c r="G7360" s="13"/>
    </row>
    <row r="7361" spans="1:7" hidden="1" x14ac:dyDescent="0.75">
      <c r="A7361" s="51">
        <v>44949</v>
      </c>
      <c r="B7361" s="52">
        <v>417</v>
      </c>
      <c r="C7361" s="8" t="s">
        <v>3389</v>
      </c>
      <c r="D7361" s="8" t="s">
        <v>766</v>
      </c>
      <c r="E7361" s="52">
        <v>1434</v>
      </c>
      <c r="F7361" s="13">
        <v>86.4</v>
      </c>
      <c r="G7361" s="13"/>
    </row>
    <row r="7362" spans="1:7" hidden="1" x14ac:dyDescent="0.75">
      <c r="A7362" s="51">
        <v>44949</v>
      </c>
      <c r="B7362" s="52">
        <v>417</v>
      </c>
      <c r="C7362" s="8" t="s">
        <v>3390</v>
      </c>
      <c r="D7362" s="8" t="s">
        <v>766</v>
      </c>
      <c r="E7362" s="52">
        <v>1434</v>
      </c>
      <c r="F7362" s="13">
        <v>137.6</v>
      </c>
      <c r="G7362" s="13"/>
    </row>
    <row r="7363" spans="1:7" hidden="1" x14ac:dyDescent="0.75">
      <c r="A7363" s="51">
        <v>44950</v>
      </c>
      <c r="B7363" s="52">
        <v>417</v>
      </c>
      <c r="C7363" s="8" t="s">
        <v>3669</v>
      </c>
      <c r="D7363" s="8" t="s">
        <v>766</v>
      </c>
      <c r="E7363" s="52">
        <v>1429</v>
      </c>
      <c r="F7363" s="13">
        <v>91</v>
      </c>
      <c r="G7363" s="13"/>
    </row>
    <row r="7364" spans="1:7" hidden="1" x14ac:dyDescent="0.75">
      <c r="A7364" s="51">
        <v>44950</v>
      </c>
      <c r="B7364" s="52">
        <v>417</v>
      </c>
      <c r="C7364" s="8" t="s">
        <v>3670</v>
      </c>
      <c r="D7364" s="8" t="s">
        <v>766</v>
      </c>
      <c r="E7364" s="52">
        <v>1429</v>
      </c>
      <c r="F7364" s="13">
        <v>10</v>
      </c>
      <c r="G7364" s="13"/>
    </row>
    <row r="7365" spans="1:7" hidden="1" x14ac:dyDescent="0.75">
      <c r="A7365" s="51">
        <v>44950</v>
      </c>
      <c r="B7365" s="52">
        <v>417</v>
      </c>
      <c r="C7365" s="8" t="s">
        <v>3671</v>
      </c>
      <c r="D7365" s="8" t="s">
        <v>766</v>
      </c>
      <c r="E7365" s="52">
        <v>1429</v>
      </c>
      <c r="F7365" s="13">
        <v>133.30000000000001</v>
      </c>
      <c r="G7365" s="13"/>
    </row>
    <row r="7366" spans="1:7" hidden="1" x14ac:dyDescent="0.75">
      <c r="A7366" s="51">
        <v>44950</v>
      </c>
      <c r="B7366" s="52">
        <v>417</v>
      </c>
      <c r="C7366" s="8" t="s">
        <v>3672</v>
      </c>
      <c r="D7366" s="8" t="s">
        <v>766</v>
      </c>
      <c r="E7366" s="52">
        <v>1429</v>
      </c>
      <c r="F7366" s="13">
        <v>30</v>
      </c>
      <c r="G7366" s="13"/>
    </row>
    <row r="7367" spans="1:7" hidden="1" x14ac:dyDescent="0.75">
      <c r="A7367" s="51">
        <v>44950</v>
      </c>
      <c r="B7367" s="52">
        <v>417</v>
      </c>
      <c r="C7367" s="8" t="s">
        <v>2933</v>
      </c>
      <c r="D7367" s="8" t="s">
        <v>766</v>
      </c>
      <c r="E7367" s="52">
        <v>1508</v>
      </c>
      <c r="F7367" s="13">
        <v>14.04</v>
      </c>
      <c r="G7367" s="13"/>
    </row>
    <row r="7368" spans="1:7" hidden="1" x14ac:dyDescent="0.75">
      <c r="A7368" s="51">
        <v>44950</v>
      </c>
      <c r="B7368" s="52">
        <v>417</v>
      </c>
      <c r="C7368" s="8" t="s">
        <v>2934</v>
      </c>
      <c r="D7368" s="8" t="s">
        <v>766</v>
      </c>
      <c r="E7368" s="52">
        <v>1508</v>
      </c>
      <c r="F7368" s="13">
        <v>17.149999999999999</v>
      </c>
      <c r="G7368" s="13"/>
    </row>
    <row r="7369" spans="1:7" hidden="1" x14ac:dyDescent="0.75">
      <c r="A7369" s="51">
        <v>44950</v>
      </c>
      <c r="B7369" s="52">
        <v>417</v>
      </c>
      <c r="C7369" s="8" t="s">
        <v>2935</v>
      </c>
      <c r="D7369" s="8" t="s">
        <v>766</v>
      </c>
      <c r="E7369" s="52">
        <v>1508</v>
      </c>
      <c r="F7369" s="13">
        <v>9.0500000000000007</v>
      </c>
      <c r="G7369" s="13"/>
    </row>
    <row r="7370" spans="1:7" hidden="1" x14ac:dyDescent="0.75">
      <c r="A7370" s="51">
        <v>44950</v>
      </c>
      <c r="B7370" s="52">
        <v>417</v>
      </c>
      <c r="C7370" s="8" t="s">
        <v>2936</v>
      </c>
      <c r="D7370" s="8" t="s">
        <v>766</v>
      </c>
      <c r="E7370" s="52">
        <v>1508</v>
      </c>
      <c r="F7370" s="13">
        <v>35.9</v>
      </c>
      <c r="G7370" s="13"/>
    </row>
    <row r="7371" spans="1:7" hidden="1" x14ac:dyDescent="0.75">
      <c r="A7371" s="51">
        <v>44950</v>
      </c>
      <c r="B7371" s="52">
        <v>417</v>
      </c>
      <c r="C7371" s="8" t="s">
        <v>1222</v>
      </c>
      <c r="D7371" s="8" t="s">
        <v>766</v>
      </c>
      <c r="E7371" s="52">
        <v>1508</v>
      </c>
      <c r="F7371" s="13">
        <v>28</v>
      </c>
      <c r="G7371" s="13"/>
    </row>
    <row r="7372" spans="1:7" hidden="1" x14ac:dyDescent="0.75">
      <c r="A7372" s="51">
        <v>44950</v>
      </c>
      <c r="B7372" s="52">
        <v>417</v>
      </c>
      <c r="C7372" s="8" t="s">
        <v>1223</v>
      </c>
      <c r="D7372" s="8" t="s">
        <v>766</v>
      </c>
      <c r="E7372" s="52">
        <v>1508</v>
      </c>
      <c r="F7372" s="13">
        <v>16.95</v>
      </c>
      <c r="G7372" s="13"/>
    </row>
    <row r="7373" spans="1:7" hidden="1" x14ac:dyDescent="0.75">
      <c r="A7373" s="51">
        <v>44950</v>
      </c>
      <c r="B7373" s="52">
        <v>417</v>
      </c>
      <c r="C7373" s="8" t="s">
        <v>2937</v>
      </c>
      <c r="D7373" s="8" t="s">
        <v>766</v>
      </c>
      <c r="E7373" s="52">
        <v>1508</v>
      </c>
      <c r="F7373" s="13">
        <v>10.1</v>
      </c>
      <c r="G7373" s="13"/>
    </row>
    <row r="7374" spans="1:7" hidden="1" x14ac:dyDescent="0.75">
      <c r="A7374" s="51">
        <v>44950</v>
      </c>
      <c r="B7374" s="52">
        <v>417</v>
      </c>
      <c r="C7374" s="8" t="s">
        <v>2938</v>
      </c>
      <c r="D7374" s="8" t="s">
        <v>766</v>
      </c>
      <c r="E7374" s="52">
        <v>1508</v>
      </c>
      <c r="F7374" s="13">
        <v>57</v>
      </c>
      <c r="G7374" s="13"/>
    </row>
    <row r="7375" spans="1:7" hidden="1" x14ac:dyDescent="0.75">
      <c r="A7375" s="51">
        <v>44950</v>
      </c>
      <c r="B7375" s="52">
        <v>417</v>
      </c>
      <c r="C7375" s="8" t="s">
        <v>3391</v>
      </c>
      <c r="D7375" s="8" t="s">
        <v>766</v>
      </c>
      <c r="E7375" s="52">
        <v>1434</v>
      </c>
      <c r="F7375" s="13">
        <v>100</v>
      </c>
      <c r="G7375" s="13"/>
    </row>
    <row r="7376" spans="1:7" hidden="1" x14ac:dyDescent="0.75">
      <c r="A7376" s="51">
        <v>44950</v>
      </c>
      <c r="B7376" s="52">
        <v>417</v>
      </c>
      <c r="C7376" s="8" t="s">
        <v>3392</v>
      </c>
      <c r="D7376" s="8" t="s">
        <v>766</v>
      </c>
      <c r="E7376" s="52">
        <v>1434</v>
      </c>
      <c r="F7376" s="13">
        <v>216.9</v>
      </c>
      <c r="G7376" s="13"/>
    </row>
    <row r="7377" spans="1:7" hidden="1" x14ac:dyDescent="0.75">
      <c r="A7377" s="51">
        <v>44951</v>
      </c>
      <c r="B7377" s="52">
        <v>417</v>
      </c>
      <c r="C7377" s="8" t="s">
        <v>3691</v>
      </c>
      <c r="D7377" s="8" t="s">
        <v>766</v>
      </c>
      <c r="E7377" s="52">
        <v>1429</v>
      </c>
      <c r="F7377" s="13">
        <v>4416.8999999999996</v>
      </c>
      <c r="G7377" s="13"/>
    </row>
    <row r="7378" spans="1:7" hidden="1" x14ac:dyDescent="0.75">
      <c r="A7378" s="51">
        <v>44951</v>
      </c>
      <c r="B7378" s="52">
        <v>417</v>
      </c>
      <c r="C7378" s="8" t="s">
        <v>3692</v>
      </c>
      <c r="D7378" s="8" t="s">
        <v>766</v>
      </c>
      <c r="E7378" s="52">
        <v>1429</v>
      </c>
      <c r="F7378" s="13">
        <v>197.5</v>
      </c>
      <c r="G7378" s="13"/>
    </row>
    <row r="7379" spans="1:7" hidden="1" x14ac:dyDescent="0.75">
      <c r="A7379" s="51">
        <v>44951</v>
      </c>
      <c r="B7379" s="52">
        <v>417</v>
      </c>
      <c r="C7379" s="8" t="s">
        <v>3206</v>
      </c>
      <c r="D7379" s="8" t="s">
        <v>766</v>
      </c>
      <c r="E7379" s="52">
        <v>1436</v>
      </c>
      <c r="F7379" s="13">
        <v>22</v>
      </c>
      <c r="G7379" s="13"/>
    </row>
    <row r="7380" spans="1:7" hidden="1" x14ac:dyDescent="0.75">
      <c r="A7380" s="51">
        <v>44951</v>
      </c>
      <c r="B7380" s="52">
        <v>417</v>
      </c>
      <c r="C7380" s="8" t="s">
        <v>3559</v>
      </c>
      <c r="D7380" s="8" t="s">
        <v>766</v>
      </c>
      <c r="E7380" s="52">
        <v>1523</v>
      </c>
      <c r="F7380" s="13">
        <v>3.4</v>
      </c>
      <c r="G7380" s="13"/>
    </row>
    <row r="7381" spans="1:7" hidden="1" x14ac:dyDescent="0.75">
      <c r="A7381" s="51">
        <v>44951</v>
      </c>
      <c r="B7381" s="52">
        <v>417</v>
      </c>
      <c r="C7381" s="8" t="s">
        <v>3560</v>
      </c>
      <c r="D7381" s="8" t="s">
        <v>766</v>
      </c>
      <c r="E7381" s="52">
        <v>1523</v>
      </c>
      <c r="F7381" s="13">
        <v>17.2</v>
      </c>
      <c r="G7381" s="13"/>
    </row>
    <row r="7382" spans="1:7" hidden="1" x14ac:dyDescent="0.75">
      <c r="A7382" s="51">
        <v>44951</v>
      </c>
      <c r="B7382" s="52">
        <v>417</v>
      </c>
      <c r="C7382" s="8" t="s">
        <v>3561</v>
      </c>
      <c r="D7382" s="8" t="s">
        <v>766</v>
      </c>
      <c r="E7382" s="52">
        <v>1523</v>
      </c>
      <c r="F7382" s="13">
        <v>15</v>
      </c>
      <c r="G7382" s="13"/>
    </row>
    <row r="7383" spans="1:7" hidden="1" x14ac:dyDescent="0.75">
      <c r="A7383" s="51">
        <v>44951</v>
      </c>
      <c r="B7383" s="52">
        <v>417</v>
      </c>
      <c r="C7383" s="8" t="s">
        <v>3562</v>
      </c>
      <c r="D7383" s="8" t="s">
        <v>766</v>
      </c>
      <c r="E7383" s="52">
        <v>1523</v>
      </c>
      <c r="F7383" s="13">
        <v>231</v>
      </c>
      <c r="G7383" s="13"/>
    </row>
    <row r="7384" spans="1:7" hidden="1" x14ac:dyDescent="0.75">
      <c r="A7384" s="51">
        <v>44951</v>
      </c>
      <c r="B7384" s="52">
        <v>417</v>
      </c>
      <c r="C7384" s="8" t="s">
        <v>3563</v>
      </c>
      <c r="D7384" s="8" t="s">
        <v>766</v>
      </c>
      <c r="E7384" s="52">
        <v>1523</v>
      </c>
      <c r="F7384" s="13">
        <v>13.1</v>
      </c>
      <c r="G7384" s="13"/>
    </row>
    <row r="7385" spans="1:7" hidden="1" x14ac:dyDescent="0.75">
      <c r="A7385" s="51">
        <v>44951</v>
      </c>
      <c r="B7385" s="52">
        <v>417</v>
      </c>
      <c r="C7385" s="8" t="s">
        <v>3393</v>
      </c>
      <c r="D7385" s="8" t="s">
        <v>766</v>
      </c>
      <c r="E7385" s="52">
        <v>1434</v>
      </c>
      <c r="F7385" s="13">
        <v>163.9</v>
      </c>
      <c r="G7385" s="13"/>
    </row>
    <row r="7386" spans="1:7" hidden="1" x14ac:dyDescent="0.75">
      <c r="A7386" s="51">
        <v>44951</v>
      </c>
      <c r="B7386" s="52">
        <v>417</v>
      </c>
      <c r="C7386" s="8" t="s">
        <v>3394</v>
      </c>
      <c r="D7386" s="8" t="s">
        <v>766</v>
      </c>
      <c r="E7386" s="52">
        <v>1434</v>
      </c>
      <c r="F7386" s="13">
        <v>62.9</v>
      </c>
      <c r="G7386" s="13"/>
    </row>
    <row r="7387" spans="1:7" hidden="1" x14ac:dyDescent="0.75">
      <c r="A7387" s="51">
        <v>44951</v>
      </c>
      <c r="B7387" s="52">
        <v>417</v>
      </c>
      <c r="C7387" s="8" t="s">
        <v>3395</v>
      </c>
      <c r="D7387" s="8" t="s">
        <v>766</v>
      </c>
      <c r="E7387" s="52">
        <v>1434</v>
      </c>
      <c r="F7387" s="13">
        <v>208.22</v>
      </c>
      <c r="G7387" s="13"/>
    </row>
    <row r="7388" spans="1:7" hidden="1" x14ac:dyDescent="0.75">
      <c r="A7388" s="51">
        <v>44951</v>
      </c>
      <c r="B7388" s="52">
        <v>417</v>
      </c>
      <c r="C7388" s="8" t="s">
        <v>3396</v>
      </c>
      <c r="D7388" s="8" t="s">
        <v>766</v>
      </c>
      <c r="E7388" s="52">
        <v>1434</v>
      </c>
      <c r="F7388" s="13">
        <v>113.8</v>
      </c>
      <c r="G7388" s="13"/>
    </row>
    <row r="7389" spans="1:7" hidden="1" x14ac:dyDescent="0.75">
      <c r="A7389" s="51">
        <v>44951</v>
      </c>
      <c r="B7389" s="52">
        <v>417</v>
      </c>
      <c r="C7389" s="8" t="s">
        <v>3397</v>
      </c>
      <c r="D7389" s="8" t="s">
        <v>766</v>
      </c>
      <c r="E7389" s="52">
        <v>1434</v>
      </c>
      <c r="F7389" s="13">
        <v>76</v>
      </c>
      <c r="G7389" s="13"/>
    </row>
    <row r="7390" spans="1:7" hidden="1" x14ac:dyDescent="0.75">
      <c r="A7390" s="51">
        <v>44952</v>
      </c>
      <c r="B7390" s="52">
        <v>417</v>
      </c>
      <c r="C7390" s="8" t="s">
        <v>3693</v>
      </c>
      <c r="D7390" s="8" t="s">
        <v>766</v>
      </c>
      <c r="E7390" s="52">
        <v>1429</v>
      </c>
      <c r="F7390" s="13">
        <v>28.8</v>
      </c>
      <c r="G7390" s="13"/>
    </row>
    <row r="7391" spans="1:7" hidden="1" x14ac:dyDescent="0.75">
      <c r="A7391" s="51">
        <v>44952</v>
      </c>
      <c r="B7391" s="52">
        <v>417</v>
      </c>
      <c r="C7391" s="8" t="s">
        <v>3694</v>
      </c>
      <c r="D7391" s="8" t="s">
        <v>766</v>
      </c>
      <c r="E7391" s="52">
        <v>1429</v>
      </c>
      <c r="F7391" s="13">
        <v>24.8</v>
      </c>
      <c r="G7391" s="13"/>
    </row>
    <row r="7392" spans="1:7" hidden="1" x14ac:dyDescent="0.75">
      <c r="A7392" s="51">
        <v>44952</v>
      </c>
      <c r="B7392" s="52">
        <v>417</v>
      </c>
      <c r="C7392" s="8" t="s">
        <v>3564</v>
      </c>
      <c r="D7392" s="8" t="s">
        <v>766</v>
      </c>
      <c r="E7392" s="52">
        <v>1523</v>
      </c>
      <c r="F7392" s="13">
        <v>9.1999999999999993</v>
      </c>
      <c r="G7392" s="13"/>
    </row>
    <row r="7393" spans="1:7" hidden="1" x14ac:dyDescent="0.75">
      <c r="A7393" s="51">
        <v>44952</v>
      </c>
      <c r="B7393" s="52">
        <v>417</v>
      </c>
      <c r="C7393" s="8" t="s">
        <v>3565</v>
      </c>
      <c r="D7393" s="8" t="s">
        <v>766</v>
      </c>
      <c r="E7393" s="52">
        <v>1523</v>
      </c>
      <c r="F7393" s="13">
        <v>6.9</v>
      </c>
      <c r="G7393" s="13"/>
    </row>
    <row r="7394" spans="1:7" hidden="1" x14ac:dyDescent="0.75">
      <c r="A7394" s="51">
        <v>44952</v>
      </c>
      <c r="B7394" s="52">
        <v>417</v>
      </c>
      <c r="C7394" s="8" t="s">
        <v>3566</v>
      </c>
      <c r="D7394" s="8" t="s">
        <v>766</v>
      </c>
      <c r="E7394" s="52">
        <v>1523</v>
      </c>
      <c r="F7394" s="13">
        <v>9.1999999999999993</v>
      </c>
      <c r="G7394" s="13"/>
    </row>
    <row r="7395" spans="1:7" hidden="1" x14ac:dyDescent="0.75">
      <c r="A7395" s="51">
        <v>44952</v>
      </c>
      <c r="B7395" s="52">
        <v>417</v>
      </c>
      <c r="C7395" s="8" t="s">
        <v>3567</v>
      </c>
      <c r="D7395" s="8" t="s">
        <v>766</v>
      </c>
      <c r="E7395" s="52">
        <v>1523</v>
      </c>
      <c r="F7395" s="13">
        <v>4.2</v>
      </c>
      <c r="G7395" s="13"/>
    </row>
    <row r="7396" spans="1:7" hidden="1" x14ac:dyDescent="0.75">
      <c r="A7396" s="51">
        <v>44952</v>
      </c>
      <c r="B7396" s="52">
        <v>417</v>
      </c>
      <c r="C7396" s="8" t="s">
        <v>3568</v>
      </c>
      <c r="D7396" s="8" t="s">
        <v>766</v>
      </c>
      <c r="E7396" s="52">
        <v>1523</v>
      </c>
      <c r="F7396" s="13">
        <v>24</v>
      </c>
      <c r="G7396" s="13"/>
    </row>
    <row r="7397" spans="1:7" hidden="1" x14ac:dyDescent="0.75">
      <c r="A7397" s="51">
        <v>44952</v>
      </c>
      <c r="B7397" s="52">
        <v>417</v>
      </c>
      <c r="C7397" s="8" t="s">
        <v>3569</v>
      </c>
      <c r="D7397" s="8" t="s">
        <v>766</v>
      </c>
      <c r="E7397" s="52">
        <v>1523</v>
      </c>
      <c r="F7397" s="13">
        <v>78</v>
      </c>
      <c r="G7397" s="13"/>
    </row>
    <row r="7398" spans="1:7" hidden="1" x14ac:dyDescent="0.75">
      <c r="A7398" s="51">
        <v>44952</v>
      </c>
      <c r="B7398" s="52">
        <v>417</v>
      </c>
      <c r="C7398" s="8" t="s">
        <v>3570</v>
      </c>
      <c r="D7398" s="8" t="s">
        <v>766</v>
      </c>
      <c r="E7398" s="52">
        <v>1523</v>
      </c>
      <c r="F7398" s="13">
        <v>475.4</v>
      </c>
      <c r="G7398" s="13"/>
    </row>
    <row r="7399" spans="1:7" hidden="1" x14ac:dyDescent="0.75">
      <c r="A7399" s="51">
        <v>44952</v>
      </c>
      <c r="B7399" s="52">
        <v>417</v>
      </c>
      <c r="C7399" s="8" t="s">
        <v>3571</v>
      </c>
      <c r="D7399" s="8" t="s">
        <v>766</v>
      </c>
      <c r="E7399" s="52">
        <v>1523</v>
      </c>
      <c r="F7399" s="13">
        <v>230.5</v>
      </c>
      <c r="G7399" s="13"/>
    </row>
    <row r="7400" spans="1:7" hidden="1" x14ac:dyDescent="0.75">
      <c r="A7400" s="51">
        <v>44952</v>
      </c>
      <c r="B7400" s="52">
        <v>417</v>
      </c>
      <c r="C7400" s="8" t="s">
        <v>3572</v>
      </c>
      <c r="D7400" s="8" t="s">
        <v>766</v>
      </c>
      <c r="E7400" s="52">
        <v>1523</v>
      </c>
      <c r="F7400" s="13">
        <v>6.2</v>
      </c>
      <c r="G7400" s="13"/>
    </row>
    <row r="7401" spans="1:7" hidden="1" x14ac:dyDescent="0.75">
      <c r="A7401" s="51">
        <v>44952</v>
      </c>
      <c r="B7401" s="52">
        <v>417</v>
      </c>
      <c r="C7401" s="8" t="s">
        <v>3573</v>
      </c>
      <c r="D7401" s="8" t="s">
        <v>766</v>
      </c>
      <c r="E7401" s="52">
        <v>1523</v>
      </c>
      <c r="F7401" s="13">
        <v>110.3</v>
      </c>
      <c r="G7401" s="13"/>
    </row>
    <row r="7402" spans="1:7" hidden="1" x14ac:dyDescent="0.75">
      <c r="A7402" s="51">
        <v>44952</v>
      </c>
      <c r="B7402" s="52">
        <v>417</v>
      </c>
      <c r="C7402" s="8" t="s">
        <v>2946</v>
      </c>
      <c r="D7402" s="8" t="s">
        <v>766</v>
      </c>
      <c r="E7402" s="52">
        <v>1508</v>
      </c>
      <c r="F7402" s="13">
        <v>24.55</v>
      </c>
      <c r="G7402" s="13"/>
    </row>
    <row r="7403" spans="1:7" hidden="1" x14ac:dyDescent="0.75">
      <c r="A7403" s="51">
        <v>44952</v>
      </c>
      <c r="B7403" s="52">
        <v>417</v>
      </c>
      <c r="C7403" s="8" t="s">
        <v>2947</v>
      </c>
      <c r="D7403" s="8" t="s">
        <v>766</v>
      </c>
      <c r="E7403" s="52">
        <v>1508</v>
      </c>
      <c r="F7403" s="13">
        <v>16.95</v>
      </c>
      <c r="G7403" s="13"/>
    </row>
    <row r="7404" spans="1:7" hidden="1" x14ac:dyDescent="0.75">
      <c r="A7404" s="51">
        <v>44952</v>
      </c>
      <c r="B7404" s="52">
        <v>417</v>
      </c>
      <c r="C7404" s="8" t="s">
        <v>1221</v>
      </c>
      <c r="D7404" s="8" t="s">
        <v>766</v>
      </c>
      <c r="E7404" s="52">
        <v>1508</v>
      </c>
      <c r="F7404" s="13">
        <v>10.4</v>
      </c>
      <c r="G7404" s="13"/>
    </row>
    <row r="7405" spans="1:7" hidden="1" x14ac:dyDescent="0.75">
      <c r="A7405" s="51">
        <v>44952</v>
      </c>
      <c r="B7405" s="52">
        <v>417</v>
      </c>
      <c r="C7405" s="8" t="s">
        <v>3398</v>
      </c>
      <c r="D7405" s="8" t="s">
        <v>766</v>
      </c>
      <c r="E7405" s="52">
        <v>1434</v>
      </c>
      <c r="F7405" s="13">
        <v>176</v>
      </c>
      <c r="G7405" s="13"/>
    </row>
    <row r="7406" spans="1:7" hidden="1" x14ac:dyDescent="0.75">
      <c r="A7406" s="51">
        <v>44952</v>
      </c>
      <c r="B7406" s="52">
        <v>417</v>
      </c>
      <c r="C7406" s="8" t="s">
        <v>3399</v>
      </c>
      <c r="D7406" s="8" t="s">
        <v>766</v>
      </c>
      <c r="E7406" s="52">
        <v>1434</v>
      </c>
      <c r="F7406" s="13">
        <v>118</v>
      </c>
      <c r="G7406" s="13"/>
    </row>
    <row r="7407" spans="1:7" hidden="1" x14ac:dyDescent="0.75">
      <c r="A7407" s="51">
        <v>44952</v>
      </c>
      <c r="B7407" s="52">
        <v>417</v>
      </c>
      <c r="C7407" s="8" t="s">
        <v>3400</v>
      </c>
      <c r="D7407" s="8" t="s">
        <v>766</v>
      </c>
      <c r="E7407" s="52">
        <v>1434</v>
      </c>
      <c r="F7407" s="13">
        <v>171.62</v>
      </c>
      <c r="G7407" s="13"/>
    </row>
    <row r="7408" spans="1:7" hidden="1" x14ac:dyDescent="0.75">
      <c r="A7408" s="51">
        <v>44952</v>
      </c>
      <c r="B7408" s="52">
        <v>417</v>
      </c>
      <c r="C7408" s="8" t="s">
        <v>3401</v>
      </c>
      <c r="D7408" s="8" t="s">
        <v>766</v>
      </c>
      <c r="E7408" s="52">
        <v>1434</v>
      </c>
      <c r="F7408" s="13">
        <v>122.6</v>
      </c>
      <c r="G7408" s="13"/>
    </row>
    <row r="7409" spans="1:7" hidden="1" x14ac:dyDescent="0.75">
      <c r="A7409" s="51">
        <v>44952</v>
      </c>
      <c r="B7409" s="52">
        <v>417</v>
      </c>
      <c r="C7409" s="8" t="s">
        <v>3402</v>
      </c>
      <c r="D7409" s="8" t="s">
        <v>766</v>
      </c>
      <c r="E7409" s="52">
        <v>1434</v>
      </c>
      <c r="F7409" s="13">
        <v>72.2</v>
      </c>
      <c r="G7409" s="13"/>
    </row>
    <row r="7410" spans="1:7" hidden="1" x14ac:dyDescent="0.75">
      <c r="A7410" s="51">
        <v>44953</v>
      </c>
      <c r="B7410" s="52">
        <v>417</v>
      </c>
      <c r="C7410" s="8" t="s">
        <v>3695</v>
      </c>
      <c r="D7410" s="8" t="s">
        <v>766</v>
      </c>
      <c r="E7410" s="52">
        <v>1429</v>
      </c>
      <c r="F7410" s="13">
        <v>72.5</v>
      </c>
      <c r="G7410" s="13"/>
    </row>
    <row r="7411" spans="1:7" hidden="1" x14ac:dyDescent="0.75">
      <c r="A7411" s="51">
        <v>44953</v>
      </c>
      <c r="B7411" s="52">
        <v>417</v>
      </c>
      <c r="C7411" s="8" t="s">
        <v>3696</v>
      </c>
      <c r="D7411" s="8" t="s">
        <v>766</v>
      </c>
      <c r="E7411" s="52">
        <v>1429</v>
      </c>
      <c r="F7411" s="13">
        <v>215.8</v>
      </c>
      <c r="G7411" s="13"/>
    </row>
    <row r="7412" spans="1:7" hidden="1" x14ac:dyDescent="0.75">
      <c r="A7412" s="51">
        <v>44953</v>
      </c>
      <c r="B7412" s="52">
        <v>417</v>
      </c>
      <c r="C7412" s="8" t="s">
        <v>3712</v>
      </c>
      <c r="D7412" s="8" t="s">
        <v>766</v>
      </c>
      <c r="E7412" s="52">
        <v>1433</v>
      </c>
      <c r="F7412" s="13">
        <v>392.4</v>
      </c>
      <c r="G7412" s="13"/>
    </row>
    <row r="7413" spans="1:7" hidden="1" x14ac:dyDescent="0.75">
      <c r="A7413" s="51">
        <v>44953</v>
      </c>
      <c r="B7413" s="52">
        <v>417</v>
      </c>
      <c r="C7413" s="8" t="s">
        <v>3713</v>
      </c>
      <c r="D7413" s="8" t="s">
        <v>766</v>
      </c>
      <c r="E7413" s="52">
        <v>1433</v>
      </c>
      <c r="F7413" s="13">
        <v>392.4</v>
      </c>
      <c r="G7413" s="13"/>
    </row>
    <row r="7414" spans="1:7" hidden="1" x14ac:dyDescent="0.75">
      <c r="A7414" s="51">
        <v>44953</v>
      </c>
      <c r="B7414" s="52">
        <v>417</v>
      </c>
      <c r="C7414" s="8" t="s">
        <v>3574</v>
      </c>
      <c r="D7414" s="8" t="s">
        <v>766</v>
      </c>
      <c r="E7414" s="52">
        <v>1523</v>
      </c>
      <c r="F7414" s="13">
        <v>7.5</v>
      </c>
      <c r="G7414" s="13"/>
    </row>
    <row r="7415" spans="1:7" hidden="1" x14ac:dyDescent="0.75">
      <c r="A7415" s="51">
        <v>44953</v>
      </c>
      <c r="B7415" s="52">
        <v>417</v>
      </c>
      <c r="C7415" s="8" t="s">
        <v>3575</v>
      </c>
      <c r="D7415" s="8" t="s">
        <v>766</v>
      </c>
      <c r="E7415" s="52">
        <v>1523</v>
      </c>
      <c r="F7415" s="13">
        <v>5.0999999999999996</v>
      </c>
      <c r="G7415" s="13"/>
    </row>
    <row r="7416" spans="1:7" hidden="1" x14ac:dyDescent="0.75">
      <c r="A7416" s="51">
        <v>44953</v>
      </c>
      <c r="B7416" s="52">
        <v>417</v>
      </c>
      <c r="C7416" s="8" t="s">
        <v>3576</v>
      </c>
      <c r="D7416" s="8" t="s">
        <v>766</v>
      </c>
      <c r="E7416" s="52">
        <v>1523</v>
      </c>
      <c r="F7416" s="13">
        <v>8.5</v>
      </c>
      <c r="G7416" s="13"/>
    </row>
    <row r="7417" spans="1:7" hidden="1" x14ac:dyDescent="0.75">
      <c r="A7417" s="51">
        <v>44953</v>
      </c>
      <c r="B7417" s="52">
        <v>417</v>
      </c>
      <c r="C7417" s="8" t="s">
        <v>3577</v>
      </c>
      <c r="D7417" s="8" t="s">
        <v>766</v>
      </c>
      <c r="E7417" s="52">
        <v>1523</v>
      </c>
      <c r="F7417" s="13">
        <v>192.5</v>
      </c>
      <c r="G7417" s="13"/>
    </row>
    <row r="7418" spans="1:7" hidden="1" x14ac:dyDescent="0.75">
      <c r="A7418" s="51">
        <v>44953</v>
      </c>
      <c r="B7418" s="52">
        <v>417</v>
      </c>
      <c r="C7418" s="8" t="s">
        <v>3578</v>
      </c>
      <c r="D7418" s="8" t="s">
        <v>766</v>
      </c>
      <c r="E7418" s="52">
        <v>1523</v>
      </c>
      <c r="F7418" s="13">
        <v>114.6</v>
      </c>
      <c r="G7418" s="13"/>
    </row>
    <row r="7419" spans="1:7" hidden="1" x14ac:dyDescent="0.75">
      <c r="A7419" s="51">
        <v>44953</v>
      </c>
      <c r="B7419" s="52">
        <v>417</v>
      </c>
      <c r="C7419" s="8" t="s">
        <v>3579</v>
      </c>
      <c r="D7419" s="8" t="s">
        <v>766</v>
      </c>
      <c r="E7419" s="52">
        <v>1523</v>
      </c>
      <c r="F7419" s="13">
        <v>17.2</v>
      </c>
      <c r="G7419" s="13"/>
    </row>
    <row r="7420" spans="1:7" hidden="1" x14ac:dyDescent="0.75">
      <c r="A7420" s="51">
        <v>44953</v>
      </c>
      <c r="B7420" s="52">
        <v>417</v>
      </c>
      <c r="C7420" s="8" t="s">
        <v>3580</v>
      </c>
      <c r="D7420" s="8" t="s">
        <v>766</v>
      </c>
      <c r="E7420" s="52">
        <v>1523</v>
      </c>
      <c r="F7420" s="13">
        <v>143.30000000000001</v>
      </c>
      <c r="G7420" s="13"/>
    </row>
    <row r="7421" spans="1:7" hidden="1" x14ac:dyDescent="0.75">
      <c r="A7421" s="51">
        <v>44953</v>
      </c>
      <c r="B7421" s="52">
        <v>417</v>
      </c>
      <c r="C7421" s="8" t="s">
        <v>2950</v>
      </c>
      <c r="D7421" s="8" t="s">
        <v>766</v>
      </c>
      <c r="E7421" s="52">
        <v>1508</v>
      </c>
      <c r="F7421" s="13">
        <v>8.9</v>
      </c>
      <c r="G7421" s="13"/>
    </row>
    <row r="7422" spans="1:7" hidden="1" x14ac:dyDescent="0.75">
      <c r="A7422" s="51">
        <v>44953</v>
      </c>
      <c r="B7422" s="52">
        <v>417</v>
      </c>
      <c r="C7422" s="8" t="s">
        <v>2951</v>
      </c>
      <c r="D7422" s="8" t="s">
        <v>766</v>
      </c>
      <c r="E7422" s="52">
        <v>1508</v>
      </c>
      <c r="F7422" s="13">
        <v>15.5</v>
      </c>
      <c r="G7422" s="13"/>
    </row>
    <row r="7423" spans="1:7" hidden="1" x14ac:dyDescent="0.75">
      <c r="A7423" s="51">
        <v>44953</v>
      </c>
      <c r="B7423" s="52">
        <v>417</v>
      </c>
      <c r="C7423" s="8" t="s">
        <v>2952</v>
      </c>
      <c r="D7423" s="8" t="s">
        <v>766</v>
      </c>
      <c r="E7423" s="52">
        <v>1508</v>
      </c>
      <c r="F7423" s="13">
        <v>14.45</v>
      </c>
      <c r="G7423" s="13"/>
    </row>
    <row r="7424" spans="1:7" hidden="1" x14ac:dyDescent="0.75">
      <c r="A7424" s="51">
        <v>44953</v>
      </c>
      <c r="B7424" s="52">
        <v>417</v>
      </c>
      <c r="C7424" s="8" t="s">
        <v>2953</v>
      </c>
      <c r="D7424" s="8" t="s">
        <v>766</v>
      </c>
      <c r="E7424" s="52">
        <v>1508</v>
      </c>
      <c r="F7424" s="13">
        <v>24.55</v>
      </c>
      <c r="G7424" s="13"/>
    </row>
    <row r="7425" spans="1:7" hidden="1" x14ac:dyDescent="0.75">
      <c r="A7425" s="51">
        <v>44953</v>
      </c>
      <c r="B7425" s="52">
        <v>417</v>
      </c>
      <c r="C7425" s="8" t="s">
        <v>2954</v>
      </c>
      <c r="D7425" s="8" t="s">
        <v>766</v>
      </c>
      <c r="E7425" s="52">
        <v>1508</v>
      </c>
      <c r="F7425" s="13">
        <v>35.9</v>
      </c>
      <c r="G7425" s="13"/>
    </row>
    <row r="7426" spans="1:7" hidden="1" x14ac:dyDescent="0.75">
      <c r="A7426" s="51">
        <v>44953</v>
      </c>
      <c r="B7426" s="52">
        <v>417</v>
      </c>
      <c r="C7426" s="8" t="s">
        <v>3214</v>
      </c>
      <c r="D7426" s="8" t="s">
        <v>766</v>
      </c>
      <c r="E7426" s="52">
        <v>1435</v>
      </c>
      <c r="F7426" s="13">
        <v>98</v>
      </c>
      <c r="G7426" s="13"/>
    </row>
    <row r="7427" spans="1:7" hidden="1" x14ac:dyDescent="0.75">
      <c r="A7427" s="51">
        <v>44953</v>
      </c>
      <c r="B7427" s="52">
        <v>417</v>
      </c>
      <c r="C7427" s="8" t="s">
        <v>3403</v>
      </c>
      <c r="D7427" s="8" t="s">
        <v>766</v>
      </c>
      <c r="E7427" s="52">
        <v>1434</v>
      </c>
      <c r="F7427" s="13">
        <v>67.5</v>
      </c>
      <c r="G7427" s="13"/>
    </row>
    <row r="7428" spans="1:7" hidden="1" x14ac:dyDescent="0.75">
      <c r="A7428" s="51">
        <v>44953</v>
      </c>
      <c r="B7428" s="52">
        <v>417</v>
      </c>
      <c r="C7428" s="8" t="s">
        <v>3404</v>
      </c>
      <c r="D7428" s="8" t="s">
        <v>766</v>
      </c>
      <c r="E7428" s="52">
        <v>1434</v>
      </c>
      <c r="F7428" s="13">
        <v>247.94</v>
      </c>
      <c r="G7428" s="13"/>
    </row>
    <row r="7429" spans="1:7" hidden="1" x14ac:dyDescent="0.75">
      <c r="A7429" s="51">
        <v>44954</v>
      </c>
      <c r="B7429" s="52">
        <v>417</v>
      </c>
      <c r="C7429" s="8" t="s">
        <v>3697</v>
      </c>
      <c r="D7429" s="8" t="s">
        <v>766</v>
      </c>
      <c r="E7429" s="52">
        <v>1429</v>
      </c>
      <c r="F7429" s="13">
        <v>5.5</v>
      </c>
      <c r="G7429" s="13"/>
    </row>
    <row r="7430" spans="1:7" hidden="1" x14ac:dyDescent="0.75">
      <c r="A7430" s="51">
        <v>44954</v>
      </c>
      <c r="B7430" s="52">
        <v>417</v>
      </c>
      <c r="C7430" s="8" t="s">
        <v>3698</v>
      </c>
      <c r="D7430" s="8" t="s">
        <v>766</v>
      </c>
      <c r="E7430" s="52">
        <v>1429</v>
      </c>
      <c r="F7430" s="13">
        <v>16.55</v>
      </c>
      <c r="G7430" s="13"/>
    </row>
    <row r="7431" spans="1:7" hidden="1" x14ac:dyDescent="0.75">
      <c r="A7431" s="51">
        <v>44954</v>
      </c>
      <c r="B7431" s="52">
        <v>417</v>
      </c>
      <c r="C7431" s="8" t="s">
        <v>3581</v>
      </c>
      <c r="D7431" s="8" t="s">
        <v>766</v>
      </c>
      <c r="E7431" s="52">
        <v>1523</v>
      </c>
      <c r="F7431" s="13">
        <v>96.5</v>
      </c>
      <c r="G7431" s="13"/>
    </row>
    <row r="7432" spans="1:7" hidden="1" x14ac:dyDescent="0.75">
      <c r="A7432" s="51">
        <v>44954</v>
      </c>
      <c r="B7432" s="52">
        <v>417</v>
      </c>
      <c r="C7432" s="8" t="s">
        <v>3582</v>
      </c>
      <c r="D7432" s="8" t="s">
        <v>766</v>
      </c>
      <c r="E7432" s="52">
        <v>1523</v>
      </c>
      <c r="F7432" s="13">
        <v>269.5</v>
      </c>
      <c r="G7432" s="13"/>
    </row>
    <row r="7433" spans="1:7" hidden="1" x14ac:dyDescent="0.75">
      <c r="A7433" s="51">
        <v>44954</v>
      </c>
      <c r="B7433" s="52">
        <v>417</v>
      </c>
      <c r="C7433" s="8" t="s">
        <v>3583</v>
      </c>
      <c r="D7433" s="8" t="s">
        <v>766</v>
      </c>
      <c r="E7433" s="52">
        <v>1523</v>
      </c>
      <c r="F7433" s="13">
        <v>50.9</v>
      </c>
      <c r="G7433" s="13"/>
    </row>
    <row r="7434" spans="1:7" hidden="1" x14ac:dyDescent="0.75">
      <c r="A7434" s="51">
        <v>44954</v>
      </c>
      <c r="B7434" s="52">
        <v>417</v>
      </c>
      <c r="C7434" s="8" t="s">
        <v>3584</v>
      </c>
      <c r="D7434" s="8" t="s">
        <v>766</v>
      </c>
      <c r="E7434" s="52">
        <v>1523</v>
      </c>
      <c r="F7434" s="13">
        <v>14.5</v>
      </c>
      <c r="G7434" s="13"/>
    </row>
    <row r="7435" spans="1:7" hidden="1" x14ac:dyDescent="0.75">
      <c r="A7435" s="51">
        <v>44954</v>
      </c>
      <c r="B7435" s="52">
        <v>417</v>
      </c>
      <c r="C7435" s="8" t="s">
        <v>3585</v>
      </c>
      <c r="D7435" s="8" t="s">
        <v>766</v>
      </c>
      <c r="E7435" s="52">
        <v>1523</v>
      </c>
      <c r="F7435" s="13">
        <v>346</v>
      </c>
      <c r="G7435" s="13"/>
    </row>
    <row r="7436" spans="1:7" hidden="1" x14ac:dyDescent="0.75">
      <c r="A7436" s="51">
        <v>44954</v>
      </c>
      <c r="B7436" s="52">
        <v>417</v>
      </c>
      <c r="C7436" s="8" t="s">
        <v>3586</v>
      </c>
      <c r="D7436" s="8" t="s">
        <v>766</v>
      </c>
      <c r="E7436" s="52">
        <v>1523</v>
      </c>
      <c r="F7436" s="13">
        <v>28</v>
      </c>
      <c r="G7436" s="13"/>
    </row>
    <row r="7437" spans="1:7" hidden="1" x14ac:dyDescent="0.75">
      <c r="A7437" s="51">
        <v>44954</v>
      </c>
      <c r="B7437" s="52">
        <v>417</v>
      </c>
      <c r="C7437" s="8" t="s">
        <v>3587</v>
      </c>
      <c r="D7437" s="8" t="s">
        <v>766</v>
      </c>
      <c r="E7437" s="52">
        <v>1523</v>
      </c>
      <c r="F7437" s="13">
        <v>130.9</v>
      </c>
      <c r="G7437" s="13"/>
    </row>
    <row r="7438" spans="1:7" hidden="1" x14ac:dyDescent="0.75">
      <c r="A7438" s="51">
        <v>44954</v>
      </c>
      <c r="B7438" s="52">
        <v>417</v>
      </c>
      <c r="C7438" s="8" t="s">
        <v>3405</v>
      </c>
      <c r="D7438" s="8" t="s">
        <v>766</v>
      </c>
      <c r="E7438" s="52">
        <v>1434</v>
      </c>
      <c r="F7438" s="13">
        <v>68</v>
      </c>
      <c r="G7438" s="13"/>
    </row>
    <row r="7439" spans="1:7" hidden="1" x14ac:dyDescent="0.75">
      <c r="A7439" s="51">
        <v>44954</v>
      </c>
      <c r="B7439" s="52">
        <v>417</v>
      </c>
      <c r="C7439" s="8" t="s">
        <v>3406</v>
      </c>
      <c r="D7439" s="8" t="s">
        <v>766</v>
      </c>
      <c r="E7439" s="52">
        <v>1434</v>
      </c>
      <c r="F7439" s="13">
        <v>146.63999999999999</v>
      </c>
      <c r="G7439" s="13"/>
    </row>
    <row r="7440" spans="1:7" hidden="1" x14ac:dyDescent="0.75">
      <c r="A7440" s="51">
        <v>44954</v>
      </c>
      <c r="B7440" s="52">
        <v>417</v>
      </c>
      <c r="C7440" s="8" t="s">
        <v>3407</v>
      </c>
      <c r="D7440" s="8" t="s">
        <v>766</v>
      </c>
      <c r="E7440" s="52">
        <v>1434</v>
      </c>
      <c r="F7440" s="13">
        <v>93.5</v>
      </c>
      <c r="G7440" s="13"/>
    </row>
    <row r="7441" spans="1:7" hidden="1" x14ac:dyDescent="0.75">
      <c r="A7441" s="51">
        <v>44954</v>
      </c>
      <c r="B7441" s="52">
        <v>417</v>
      </c>
      <c r="C7441" s="8" t="s">
        <v>3408</v>
      </c>
      <c r="D7441" s="8" t="s">
        <v>766</v>
      </c>
      <c r="E7441" s="52">
        <v>1434</v>
      </c>
      <c r="F7441" s="13">
        <v>47.6</v>
      </c>
      <c r="G7441" s="13"/>
    </row>
    <row r="7442" spans="1:7" hidden="1" x14ac:dyDescent="0.75">
      <c r="A7442" s="51">
        <v>44956</v>
      </c>
      <c r="B7442" s="52">
        <v>417</v>
      </c>
      <c r="C7442" s="8" t="s">
        <v>3699</v>
      </c>
      <c r="D7442" s="8" t="s">
        <v>766</v>
      </c>
      <c r="E7442" s="52">
        <v>1429</v>
      </c>
      <c r="F7442" s="13">
        <v>26</v>
      </c>
      <c r="G7442" s="13"/>
    </row>
    <row r="7443" spans="1:7" hidden="1" x14ac:dyDescent="0.75">
      <c r="A7443" s="51">
        <v>44956</v>
      </c>
      <c r="B7443" s="52">
        <v>417</v>
      </c>
      <c r="C7443" s="8" t="s">
        <v>3207</v>
      </c>
      <c r="D7443" s="8" t="s">
        <v>766</v>
      </c>
      <c r="E7443" s="52">
        <v>1436</v>
      </c>
      <c r="F7443" s="13">
        <v>19.8</v>
      </c>
      <c r="G7443" s="13"/>
    </row>
    <row r="7444" spans="1:7" hidden="1" x14ac:dyDescent="0.75">
      <c r="A7444" s="51">
        <v>44956</v>
      </c>
      <c r="B7444" s="52">
        <v>417</v>
      </c>
      <c r="C7444" s="8" t="s">
        <v>3588</v>
      </c>
      <c r="D7444" s="8" t="s">
        <v>766</v>
      </c>
      <c r="E7444" s="52">
        <v>1523</v>
      </c>
      <c r="F7444" s="13">
        <v>393</v>
      </c>
      <c r="G7444" s="13"/>
    </row>
    <row r="7445" spans="1:7" hidden="1" x14ac:dyDescent="0.75">
      <c r="A7445" s="51">
        <v>44956</v>
      </c>
      <c r="B7445" s="52">
        <v>417</v>
      </c>
      <c r="C7445" s="8" t="s">
        <v>3589</v>
      </c>
      <c r="D7445" s="8" t="s">
        <v>766</v>
      </c>
      <c r="E7445" s="52">
        <v>1523</v>
      </c>
      <c r="F7445" s="13">
        <v>7.5</v>
      </c>
      <c r="G7445" s="13"/>
    </row>
    <row r="7446" spans="1:7" hidden="1" x14ac:dyDescent="0.75">
      <c r="A7446" s="51">
        <v>44956</v>
      </c>
      <c r="B7446" s="52">
        <v>417</v>
      </c>
      <c r="C7446" s="8" t="s">
        <v>3590</v>
      </c>
      <c r="D7446" s="8" t="s">
        <v>766</v>
      </c>
      <c r="E7446" s="52">
        <v>1523</v>
      </c>
      <c r="F7446" s="13">
        <v>17</v>
      </c>
      <c r="G7446" s="13"/>
    </row>
    <row r="7447" spans="1:7" hidden="1" x14ac:dyDescent="0.75">
      <c r="A7447" s="51">
        <v>44956</v>
      </c>
      <c r="B7447" s="52">
        <v>417</v>
      </c>
      <c r="C7447" s="8" t="s">
        <v>3591</v>
      </c>
      <c r="D7447" s="8" t="s">
        <v>766</v>
      </c>
      <c r="E7447" s="52">
        <v>1523</v>
      </c>
      <c r="F7447" s="13">
        <v>665.3</v>
      </c>
      <c r="G7447" s="13"/>
    </row>
    <row r="7448" spans="1:7" hidden="1" x14ac:dyDescent="0.75">
      <c r="A7448" s="51">
        <v>44956</v>
      </c>
      <c r="B7448" s="52">
        <v>417</v>
      </c>
      <c r="C7448" s="8" t="s">
        <v>3592</v>
      </c>
      <c r="D7448" s="8" t="s">
        <v>766</v>
      </c>
      <c r="E7448" s="52">
        <v>1523</v>
      </c>
      <c r="F7448" s="13">
        <v>75.2</v>
      </c>
      <c r="G7448" s="13"/>
    </row>
    <row r="7449" spans="1:7" hidden="1" x14ac:dyDescent="0.75">
      <c r="A7449" s="51">
        <v>44956</v>
      </c>
      <c r="B7449" s="52">
        <v>417</v>
      </c>
      <c r="C7449" s="8" t="s">
        <v>3593</v>
      </c>
      <c r="D7449" s="8" t="s">
        <v>766</v>
      </c>
      <c r="E7449" s="52">
        <v>1523</v>
      </c>
      <c r="F7449" s="13">
        <v>25.4</v>
      </c>
      <c r="G7449" s="13"/>
    </row>
    <row r="7450" spans="1:7" hidden="1" x14ac:dyDescent="0.75">
      <c r="A7450" s="51">
        <v>44956</v>
      </c>
      <c r="B7450" s="52">
        <v>417</v>
      </c>
      <c r="C7450" s="8" t="s">
        <v>3594</v>
      </c>
      <c r="D7450" s="8" t="s">
        <v>766</v>
      </c>
      <c r="E7450" s="52">
        <v>1523</v>
      </c>
      <c r="F7450" s="13">
        <v>45.2</v>
      </c>
      <c r="G7450" s="13"/>
    </row>
    <row r="7451" spans="1:7" hidden="1" x14ac:dyDescent="0.75">
      <c r="A7451" s="51">
        <v>44956</v>
      </c>
      <c r="B7451" s="52">
        <v>417</v>
      </c>
      <c r="C7451" s="8" t="s">
        <v>3219</v>
      </c>
      <c r="D7451" s="8" t="s">
        <v>766</v>
      </c>
      <c r="E7451" s="52">
        <v>1435</v>
      </c>
      <c r="F7451" s="13">
        <v>19.600000000000001</v>
      </c>
      <c r="G7451" s="13"/>
    </row>
    <row r="7452" spans="1:7" hidden="1" x14ac:dyDescent="0.75">
      <c r="A7452" s="51">
        <v>44956</v>
      </c>
      <c r="B7452" s="52">
        <v>417</v>
      </c>
      <c r="C7452" s="8" t="s">
        <v>3409</v>
      </c>
      <c r="D7452" s="8" t="s">
        <v>766</v>
      </c>
      <c r="E7452" s="52">
        <v>1434</v>
      </c>
      <c r="F7452" s="13">
        <v>40</v>
      </c>
      <c r="G7452" s="13"/>
    </row>
    <row r="7453" spans="1:7" hidden="1" x14ac:dyDescent="0.75">
      <c r="A7453" s="51">
        <v>44956</v>
      </c>
      <c r="B7453" s="52">
        <v>417</v>
      </c>
      <c r="C7453" s="8" t="s">
        <v>3410</v>
      </c>
      <c r="D7453" s="8" t="s">
        <v>766</v>
      </c>
      <c r="E7453" s="52">
        <v>1434</v>
      </c>
      <c r="F7453" s="13">
        <v>265.60000000000002</v>
      </c>
      <c r="G7453" s="13"/>
    </row>
    <row r="7454" spans="1:7" hidden="1" x14ac:dyDescent="0.75">
      <c r="A7454" s="51">
        <v>44957</v>
      </c>
      <c r="B7454" s="52">
        <v>417</v>
      </c>
      <c r="C7454" s="8" t="s">
        <v>996</v>
      </c>
      <c r="D7454" s="8" t="s">
        <v>766</v>
      </c>
      <c r="E7454" s="52"/>
      <c r="F7454" s="13"/>
      <c r="G7454" s="13">
        <v>211.44</v>
      </c>
    </row>
    <row r="7455" spans="1:7" hidden="1" x14ac:dyDescent="0.75">
      <c r="A7455" s="51">
        <v>44957</v>
      </c>
      <c r="B7455" s="52">
        <v>417</v>
      </c>
      <c r="C7455" s="8" t="s">
        <v>3700</v>
      </c>
      <c r="D7455" s="8" t="s">
        <v>766</v>
      </c>
      <c r="E7455" s="52">
        <v>1429</v>
      </c>
      <c r="F7455" s="13">
        <v>151.5</v>
      </c>
      <c r="G7455" s="13"/>
    </row>
    <row r="7456" spans="1:7" hidden="1" x14ac:dyDescent="0.75">
      <c r="A7456" s="51">
        <v>44957</v>
      </c>
      <c r="B7456" s="52">
        <v>417</v>
      </c>
      <c r="C7456" s="8" t="s">
        <v>3701</v>
      </c>
      <c r="D7456" s="8" t="s">
        <v>766</v>
      </c>
      <c r="E7456" s="52">
        <v>1429</v>
      </c>
      <c r="F7456" s="13">
        <v>19.600000000000001</v>
      </c>
      <c r="G7456" s="13"/>
    </row>
    <row r="7457" spans="1:7" hidden="1" x14ac:dyDescent="0.75">
      <c r="A7457" s="51">
        <v>44957</v>
      </c>
      <c r="B7457" s="52">
        <v>417</v>
      </c>
      <c r="C7457" s="8" t="s">
        <v>3702</v>
      </c>
      <c r="D7457" s="8" t="s">
        <v>766</v>
      </c>
      <c r="E7457" s="52">
        <v>1429</v>
      </c>
      <c r="F7457" s="13">
        <v>2.75</v>
      </c>
      <c r="G7457" s="13"/>
    </row>
    <row r="7458" spans="1:7" hidden="1" x14ac:dyDescent="0.75">
      <c r="A7458" s="51">
        <v>44957</v>
      </c>
      <c r="B7458" s="52">
        <v>417</v>
      </c>
      <c r="C7458" s="8" t="s">
        <v>3703</v>
      </c>
      <c r="D7458" s="8" t="s">
        <v>766</v>
      </c>
      <c r="E7458" s="52">
        <v>1429</v>
      </c>
      <c r="F7458" s="13">
        <v>49.5</v>
      </c>
      <c r="G7458" s="13"/>
    </row>
    <row r="7459" spans="1:7" hidden="1" x14ac:dyDescent="0.75">
      <c r="A7459" s="51">
        <v>44957</v>
      </c>
      <c r="B7459" s="52">
        <v>417</v>
      </c>
      <c r="C7459" s="8" t="s">
        <v>3714</v>
      </c>
      <c r="D7459" s="8" t="s">
        <v>766</v>
      </c>
      <c r="E7459" s="52">
        <v>1433</v>
      </c>
      <c r="F7459" s="13">
        <v>327</v>
      </c>
      <c r="G7459" s="13"/>
    </row>
    <row r="7460" spans="1:7" hidden="1" x14ac:dyDescent="0.75">
      <c r="A7460" s="51">
        <v>44957</v>
      </c>
      <c r="B7460" s="52">
        <v>417</v>
      </c>
      <c r="C7460" s="8" t="s">
        <v>3715</v>
      </c>
      <c r="D7460" s="8" t="s">
        <v>766</v>
      </c>
      <c r="E7460" s="52">
        <v>1433</v>
      </c>
      <c r="F7460" s="13">
        <v>870</v>
      </c>
      <c r="G7460" s="13"/>
    </row>
    <row r="7461" spans="1:7" hidden="1" x14ac:dyDescent="0.75">
      <c r="A7461" s="51">
        <v>44957</v>
      </c>
      <c r="B7461" s="52">
        <v>417</v>
      </c>
      <c r="C7461" s="8" t="s">
        <v>3716</v>
      </c>
      <c r="D7461" s="8" t="s">
        <v>766</v>
      </c>
      <c r="E7461" s="52">
        <v>1433</v>
      </c>
      <c r="F7461" s="13">
        <v>276.5</v>
      </c>
      <c r="G7461" s="13"/>
    </row>
    <row r="7462" spans="1:7" hidden="1" x14ac:dyDescent="0.75">
      <c r="A7462" s="51">
        <v>44957</v>
      </c>
      <c r="B7462" s="52">
        <v>417</v>
      </c>
      <c r="C7462" s="8" t="s">
        <v>3595</v>
      </c>
      <c r="D7462" s="8" t="s">
        <v>766</v>
      </c>
      <c r="E7462" s="52">
        <v>1523</v>
      </c>
      <c r="F7462" s="13">
        <v>2.2999999999999998</v>
      </c>
      <c r="G7462" s="13"/>
    </row>
    <row r="7463" spans="1:7" hidden="1" x14ac:dyDescent="0.75">
      <c r="A7463" s="51">
        <v>44957</v>
      </c>
      <c r="B7463" s="52">
        <v>417</v>
      </c>
      <c r="C7463" s="8" t="s">
        <v>3596</v>
      </c>
      <c r="D7463" s="8" t="s">
        <v>766</v>
      </c>
      <c r="E7463" s="52">
        <v>1523</v>
      </c>
      <c r="F7463" s="13">
        <v>11.5</v>
      </c>
      <c r="G7463" s="13"/>
    </row>
    <row r="7464" spans="1:7" hidden="1" x14ac:dyDescent="0.75">
      <c r="A7464" s="51">
        <v>44957</v>
      </c>
      <c r="B7464" s="52">
        <v>417</v>
      </c>
      <c r="C7464" s="8" t="s">
        <v>3597</v>
      </c>
      <c r="D7464" s="8" t="s">
        <v>766</v>
      </c>
      <c r="E7464" s="52">
        <v>1523</v>
      </c>
      <c r="F7464" s="13">
        <v>2.2999999999999998</v>
      </c>
      <c r="G7464" s="13"/>
    </row>
    <row r="7465" spans="1:7" hidden="1" x14ac:dyDescent="0.75">
      <c r="A7465" s="51">
        <v>44957</v>
      </c>
      <c r="B7465" s="52">
        <v>417</v>
      </c>
      <c r="C7465" s="8" t="s">
        <v>3598</v>
      </c>
      <c r="D7465" s="8" t="s">
        <v>766</v>
      </c>
      <c r="E7465" s="52">
        <v>1523</v>
      </c>
      <c r="F7465" s="13">
        <v>6.9</v>
      </c>
      <c r="G7465" s="13"/>
    </row>
    <row r="7466" spans="1:7" hidden="1" x14ac:dyDescent="0.75">
      <c r="A7466" s="51">
        <v>44957</v>
      </c>
      <c r="B7466" s="52">
        <v>417</v>
      </c>
      <c r="C7466" s="8" t="s">
        <v>3599</v>
      </c>
      <c r="D7466" s="8" t="s">
        <v>766</v>
      </c>
      <c r="E7466" s="52">
        <v>1523</v>
      </c>
      <c r="F7466" s="13">
        <v>7.5</v>
      </c>
      <c r="G7466" s="13"/>
    </row>
    <row r="7467" spans="1:7" hidden="1" x14ac:dyDescent="0.75">
      <c r="A7467" s="51">
        <v>44957</v>
      </c>
      <c r="B7467" s="52">
        <v>417</v>
      </c>
      <c r="C7467" s="8" t="s">
        <v>3600</v>
      </c>
      <c r="D7467" s="8" t="s">
        <v>766</v>
      </c>
      <c r="E7467" s="52">
        <v>1523</v>
      </c>
      <c r="F7467" s="13">
        <v>7.5</v>
      </c>
      <c r="G7467" s="13"/>
    </row>
    <row r="7468" spans="1:7" hidden="1" x14ac:dyDescent="0.75">
      <c r="A7468" s="51">
        <v>44957</v>
      </c>
      <c r="B7468" s="52">
        <v>417</v>
      </c>
      <c r="C7468" s="8" t="s">
        <v>3601</v>
      </c>
      <c r="D7468" s="8" t="s">
        <v>766</v>
      </c>
      <c r="E7468" s="52">
        <v>1523</v>
      </c>
      <c r="F7468" s="13">
        <v>56.8</v>
      </c>
      <c r="G7468" s="13"/>
    </row>
    <row r="7469" spans="1:7" hidden="1" x14ac:dyDescent="0.75">
      <c r="A7469" s="51">
        <v>44957</v>
      </c>
      <c r="B7469" s="52">
        <v>417</v>
      </c>
      <c r="C7469" s="8" t="s">
        <v>3602</v>
      </c>
      <c r="D7469" s="8" t="s">
        <v>766</v>
      </c>
      <c r="E7469" s="52">
        <v>1523</v>
      </c>
      <c r="F7469" s="13">
        <v>172</v>
      </c>
      <c r="G7469" s="13"/>
    </row>
    <row r="7470" spans="1:7" hidden="1" x14ac:dyDescent="0.75">
      <c r="A7470" s="51">
        <v>44957</v>
      </c>
      <c r="B7470" s="52">
        <v>417</v>
      </c>
      <c r="C7470" s="8" t="s">
        <v>3603</v>
      </c>
      <c r="D7470" s="8" t="s">
        <v>766</v>
      </c>
      <c r="E7470" s="52">
        <v>1523</v>
      </c>
      <c r="F7470" s="13">
        <v>28.5</v>
      </c>
      <c r="G7470" s="13"/>
    </row>
    <row r="7471" spans="1:7" hidden="1" x14ac:dyDescent="0.75">
      <c r="A7471" s="51">
        <v>44957</v>
      </c>
      <c r="B7471" s="52">
        <v>417</v>
      </c>
      <c r="C7471" s="8" t="s">
        <v>3604</v>
      </c>
      <c r="D7471" s="8" t="s">
        <v>766</v>
      </c>
      <c r="E7471" s="52">
        <v>1523</v>
      </c>
      <c r="F7471" s="13">
        <v>252</v>
      </c>
      <c r="G7471" s="13"/>
    </row>
    <row r="7472" spans="1:7" hidden="1" x14ac:dyDescent="0.75">
      <c r="A7472" s="51">
        <v>44957</v>
      </c>
      <c r="B7472" s="52">
        <v>417</v>
      </c>
      <c r="C7472" s="8" t="s">
        <v>3605</v>
      </c>
      <c r="D7472" s="8" t="s">
        <v>766</v>
      </c>
      <c r="E7472" s="52">
        <v>1523</v>
      </c>
      <c r="F7472" s="13">
        <v>333.8</v>
      </c>
      <c r="G7472" s="13"/>
    </row>
    <row r="7473" spans="1:7" hidden="1" x14ac:dyDescent="0.75">
      <c r="A7473" s="51">
        <v>44957</v>
      </c>
      <c r="B7473" s="52">
        <v>417</v>
      </c>
      <c r="C7473" s="8" t="s">
        <v>3606</v>
      </c>
      <c r="D7473" s="8" t="s">
        <v>766</v>
      </c>
      <c r="E7473" s="52">
        <v>1523</v>
      </c>
      <c r="F7473" s="13">
        <v>176.6</v>
      </c>
      <c r="G7473" s="13"/>
    </row>
    <row r="7474" spans="1:7" hidden="1" x14ac:dyDescent="0.75">
      <c r="A7474" s="51">
        <v>44957</v>
      </c>
      <c r="B7474" s="52">
        <v>417</v>
      </c>
      <c r="C7474" s="8" t="s">
        <v>2959</v>
      </c>
      <c r="D7474" s="8" t="s">
        <v>766</v>
      </c>
      <c r="E7474" s="52">
        <v>1508</v>
      </c>
      <c r="F7474" s="13">
        <v>35</v>
      </c>
      <c r="G7474" s="13"/>
    </row>
    <row r="7475" spans="1:7" hidden="1" x14ac:dyDescent="0.75">
      <c r="A7475" s="51">
        <v>44957</v>
      </c>
      <c r="B7475" s="52">
        <v>417</v>
      </c>
      <c r="C7475" s="8" t="s">
        <v>2960</v>
      </c>
      <c r="D7475" s="8" t="s">
        <v>766</v>
      </c>
      <c r="E7475" s="52">
        <v>1508</v>
      </c>
      <c r="F7475" s="13">
        <v>2.2000000000000002</v>
      </c>
      <c r="G7475" s="13"/>
    </row>
    <row r="7476" spans="1:7" hidden="1" x14ac:dyDescent="0.75">
      <c r="A7476" s="51">
        <v>44957</v>
      </c>
      <c r="B7476" s="52">
        <v>417</v>
      </c>
      <c r="C7476" s="8" t="s">
        <v>2961</v>
      </c>
      <c r="D7476" s="8" t="s">
        <v>766</v>
      </c>
      <c r="E7476" s="52">
        <v>1508</v>
      </c>
      <c r="F7476" s="13">
        <v>16.95</v>
      </c>
      <c r="G7476" s="13"/>
    </row>
    <row r="7477" spans="1:7" hidden="1" x14ac:dyDescent="0.75">
      <c r="A7477" s="51">
        <v>44957</v>
      </c>
      <c r="B7477" s="52">
        <v>417</v>
      </c>
      <c r="C7477" s="8" t="s">
        <v>2962</v>
      </c>
      <c r="D7477" s="8" t="s">
        <v>766</v>
      </c>
      <c r="E7477" s="52">
        <v>1508</v>
      </c>
      <c r="F7477" s="13">
        <v>34.200000000000003</v>
      </c>
      <c r="G7477" s="13"/>
    </row>
    <row r="7478" spans="1:7" hidden="1" x14ac:dyDescent="0.75">
      <c r="A7478" s="51">
        <v>44957</v>
      </c>
      <c r="B7478" s="52">
        <v>417</v>
      </c>
      <c r="C7478" s="8" t="s">
        <v>3411</v>
      </c>
      <c r="D7478" s="8" t="s">
        <v>766</v>
      </c>
      <c r="E7478" s="52">
        <v>1434</v>
      </c>
      <c r="F7478" s="13">
        <v>97.3</v>
      </c>
      <c r="G7478" s="13"/>
    </row>
    <row r="7479" spans="1:7" hidden="1" x14ac:dyDescent="0.75">
      <c r="A7479" s="51">
        <v>44957</v>
      </c>
      <c r="B7479" s="52">
        <v>417</v>
      </c>
      <c r="C7479" s="8" t="s">
        <v>3412</v>
      </c>
      <c r="D7479" s="8" t="s">
        <v>766</v>
      </c>
      <c r="E7479" s="52">
        <v>1434</v>
      </c>
      <c r="F7479" s="13">
        <v>84.5</v>
      </c>
      <c r="G7479" s="13"/>
    </row>
    <row r="7480" spans="1:7" hidden="1" x14ac:dyDescent="0.75">
      <c r="A7480" s="51">
        <v>44957</v>
      </c>
      <c r="B7480" s="52">
        <v>417</v>
      </c>
      <c r="C7480" s="8" t="s">
        <v>3413</v>
      </c>
      <c r="D7480" s="8" t="s">
        <v>766</v>
      </c>
      <c r="E7480" s="52">
        <v>1434</v>
      </c>
      <c r="F7480" s="13">
        <v>80</v>
      </c>
      <c r="G7480" s="13"/>
    </row>
    <row r="7481" spans="1:7" hidden="1" x14ac:dyDescent="0.75">
      <c r="A7481" s="51">
        <v>44957</v>
      </c>
      <c r="B7481" s="52">
        <v>417</v>
      </c>
      <c r="C7481" s="8" t="s">
        <v>3414</v>
      </c>
      <c r="D7481" s="8" t="s">
        <v>766</v>
      </c>
      <c r="E7481" s="52">
        <v>1434</v>
      </c>
      <c r="F7481" s="13">
        <v>112.74</v>
      </c>
      <c r="G7481" s="13"/>
    </row>
    <row r="7482" spans="1:7" hidden="1" x14ac:dyDescent="0.75">
      <c r="A7482" s="51">
        <v>44957</v>
      </c>
      <c r="B7482" s="52">
        <v>426</v>
      </c>
      <c r="C7482" s="8" t="s">
        <v>998</v>
      </c>
      <c r="D7482" s="8" t="s">
        <v>770</v>
      </c>
      <c r="E7482" s="52"/>
      <c r="F7482" s="13">
        <v>33019.089999999997</v>
      </c>
      <c r="G7482" s="13"/>
    </row>
    <row r="7483" spans="1:7" hidden="1" x14ac:dyDescent="0.75">
      <c r="A7483" s="51">
        <v>44957</v>
      </c>
      <c r="B7483" s="52">
        <v>428</v>
      </c>
      <c r="C7483" s="8" t="s">
        <v>998</v>
      </c>
      <c r="D7483" s="8" t="s">
        <v>772</v>
      </c>
      <c r="E7483" s="52">
        <v>180</v>
      </c>
      <c r="F7483" s="13">
        <v>2028.89</v>
      </c>
      <c r="G7483" s="13"/>
    </row>
    <row r="7484" spans="1:7" hidden="1" x14ac:dyDescent="0.75">
      <c r="A7484" s="51">
        <v>44957</v>
      </c>
      <c r="B7484" s="52">
        <v>429</v>
      </c>
      <c r="C7484" s="8" t="s">
        <v>998</v>
      </c>
      <c r="D7484" s="8" t="s">
        <v>774</v>
      </c>
      <c r="E7484" s="52">
        <v>179</v>
      </c>
      <c r="F7484" s="13">
        <v>440.48</v>
      </c>
      <c r="G7484" s="13"/>
    </row>
    <row r="7485" spans="1:7" hidden="1" x14ac:dyDescent="0.75">
      <c r="A7485" s="51">
        <v>44956</v>
      </c>
      <c r="B7485" s="52">
        <v>432</v>
      </c>
      <c r="C7485" s="8" t="s">
        <v>1950</v>
      </c>
      <c r="D7485" s="8" t="s">
        <v>780</v>
      </c>
      <c r="E7485" s="52">
        <v>1949</v>
      </c>
      <c r="F7485" s="13"/>
      <c r="G7485" s="13">
        <v>384.23</v>
      </c>
    </row>
    <row r="7486" spans="1:7" hidden="1" x14ac:dyDescent="0.75">
      <c r="A7486" s="51">
        <v>44957</v>
      </c>
      <c r="B7486" s="52">
        <v>432</v>
      </c>
      <c r="C7486" s="8" t="s">
        <v>992</v>
      </c>
      <c r="D7486" s="8" t="s">
        <v>780</v>
      </c>
      <c r="E7486" s="52">
        <v>1463</v>
      </c>
      <c r="F7486" s="13"/>
      <c r="G7486" s="13">
        <v>357.1</v>
      </c>
    </row>
    <row r="7487" spans="1:7" hidden="1" x14ac:dyDescent="0.75">
      <c r="A7487" s="51">
        <v>44957</v>
      </c>
      <c r="B7487" s="52">
        <v>432</v>
      </c>
      <c r="C7487" s="8" t="s">
        <v>991</v>
      </c>
      <c r="D7487" s="8" t="s">
        <v>780</v>
      </c>
      <c r="E7487" s="52">
        <v>1462</v>
      </c>
      <c r="F7487" s="13"/>
      <c r="G7487" s="13">
        <v>53.74</v>
      </c>
    </row>
    <row r="7488" spans="1:7" hidden="1" x14ac:dyDescent="0.75">
      <c r="A7488" s="51">
        <v>44957</v>
      </c>
      <c r="B7488" s="52">
        <v>432</v>
      </c>
      <c r="C7488" s="8" t="s">
        <v>993</v>
      </c>
      <c r="D7488" s="8" t="s">
        <v>780</v>
      </c>
      <c r="E7488" s="52">
        <v>1599</v>
      </c>
      <c r="F7488" s="13"/>
      <c r="G7488" s="13">
        <v>76.17</v>
      </c>
    </row>
    <row r="7489" spans="1:7" hidden="1" x14ac:dyDescent="0.75">
      <c r="A7489" s="51">
        <v>44928</v>
      </c>
      <c r="B7489" s="52">
        <v>1362</v>
      </c>
      <c r="C7489" s="8" t="s">
        <v>2288</v>
      </c>
      <c r="D7489" s="8" t="s">
        <v>788</v>
      </c>
      <c r="E7489" s="52">
        <v>717</v>
      </c>
      <c r="F7489" s="13">
        <v>1781.4</v>
      </c>
      <c r="G7489" s="13"/>
    </row>
    <row r="7490" spans="1:7" hidden="1" x14ac:dyDescent="0.75">
      <c r="A7490" s="51">
        <v>44928</v>
      </c>
      <c r="B7490" s="52">
        <v>1362</v>
      </c>
      <c r="C7490" s="8" t="s">
        <v>2438</v>
      </c>
      <c r="D7490" s="8" t="s">
        <v>788</v>
      </c>
      <c r="E7490" s="52">
        <v>714</v>
      </c>
      <c r="F7490" s="13">
        <v>784.3</v>
      </c>
      <c r="G7490" s="13"/>
    </row>
    <row r="7491" spans="1:7" hidden="1" x14ac:dyDescent="0.75">
      <c r="A7491" s="51">
        <v>44928</v>
      </c>
      <c r="B7491" s="52">
        <v>1362</v>
      </c>
      <c r="C7491" s="8" t="s">
        <v>2412</v>
      </c>
      <c r="D7491" s="8" t="s">
        <v>788</v>
      </c>
      <c r="E7491" s="52">
        <v>1821</v>
      </c>
      <c r="F7491" s="13">
        <v>103.6</v>
      </c>
      <c r="G7491" s="13"/>
    </row>
    <row r="7492" spans="1:7" hidden="1" x14ac:dyDescent="0.75">
      <c r="A7492" s="51">
        <v>44928</v>
      </c>
      <c r="B7492" s="52">
        <v>1362</v>
      </c>
      <c r="C7492" s="8" t="s">
        <v>2336</v>
      </c>
      <c r="D7492" s="8" t="s">
        <v>788</v>
      </c>
      <c r="E7492" s="52">
        <v>1818</v>
      </c>
      <c r="F7492" s="13">
        <v>1879.9</v>
      </c>
      <c r="G7492" s="13"/>
    </row>
    <row r="7493" spans="1:7" hidden="1" x14ac:dyDescent="0.75">
      <c r="A7493" s="51">
        <v>44928</v>
      </c>
      <c r="B7493" s="52">
        <v>1362</v>
      </c>
      <c r="C7493" s="8" t="s">
        <v>2390</v>
      </c>
      <c r="D7493" s="8" t="s">
        <v>788</v>
      </c>
      <c r="E7493" s="52">
        <v>719</v>
      </c>
      <c r="F7493" s="13">
        <v>322</v>
      </c>
      <c r="G7493" s="13"/>
    </row>
    <row r="7494" spans="1:7" hidden="1" x14ac:dyDescent="0.75">
      <c r="A7494" s="51">
        <v>44928</v>
      </c>
      <c r="B7494" s="52">
        <v>1362</v>
      </c>
      <c r="C7494" s="8" t="s">
        <v>2289</v>
      </c>
      <c r="D7494" s="8" t="s">
        <v>788</v>
      </c>
      <c r="E7494" s="52">
        <v>717</v>
      </c>
      <c r="F7494" s="13">
        <v>2367.35</v>
      </c>
      <c r="G7494" s="13"/>
    </row>
    <row r="7495" spans="1:7" hidden="1" x14ac:dyDescent="0.75">
      <c r="A7495" s="51">
        <v>44928</v>
      </c>
      <c r="B7495" s="52">
        <v>1362</v>
      </c>
      <c r="C7495" s="8" t="s">
        <v>2439</v>
      </c>
      <c r="D7495" s="8" t="s">
        <v>788</v>
      </c>
      <c r="E7495" s="52">
        <v>714</v>
      </c>
      <c r="F7495" s="13">
        <v>493.5</v>
      </c>
      <c r="G7495" s="13"/>
    </row>
    <row r="7496" spans="1:7" hidden="1" x14ac:dyDescent="0.75">
      <c r="A7496" s="51">
        <v>44928</v>
      </c>
      <c r="B7496" s="52">
        <v>1362</v>
      </c>
      <c r="C7496" s="8" t="s">
        <v>2337</v>
      </c>
      <c r="D7496" s="8" t="s">
        <v>788</v>
      </c>
      <c r="E7496" s="52">
        <v>1818</v>
      </c>
      <c r="F7496" s="13">
        <v>2104.1</v>
      </c>
      <c r="G7496" s="13"/>
    </row>
    <row r="7497" spans="1:7" hidden="1" x14ac:dyDescent="0.75">
      <c r="A7497" s="51">
        <v>44928</v>
      </c>
      <c r="B7497" s="52">
        <v>1362</v>
      </c>
      <c r="C7497" s="8" t="s">
        <v>2492</v>
      </c>
      <c r="D7497" s="8" t="s">
        <v>788</v>
      </c>
      <c r="E7497" s="52">
        <v>1024</v>
      </c>
      <c r="F7497" s="13">
        <v>2564.5</v>
      </c>
      <c r="G7497" s="13"/>
    </row>
    <row r="7498" spans="1:7" hidden="1" x14ac:dyDescent="0.75">
      <c r="A7498" s="51">
        <v>44928</v>
      </c>
      <c r="B7498" s="52">
        <v>1362</v>
      </c>
      <c r="C7498" s="8" t="s">
        <v>2493</v>
      </c>
      <c r="D7498" s="8" t="s">
        <v>788</v>
      </c>
      <c r="E7498" s="52">
        <v>1024</v>
      </c>
      <c r="F7498" s="13">
        <v>2320</v>
      </c>
      <c r="G7498" s="13"/>
    </row>
    <row r="7499" spans="1:7" hidden="1" x14ac:dyDescent="0.75">
      <c r="A7499" s="51">
        <v>44928</v>
      </c>
      <c r="B7499" s="52">
        <v>1362</v>
      </c>
      <c r="C7499" s="8" t="s">
        <v>2494</v>
      </c>
      <c r="D7499" s="8" t="s">
        <v>788</v>
      </c>
      <c r="E7499" s="52">
        <v>1024</v>
      </c>
      <c r="F7499" s="13">
        <v>538.75</v>
      </c>
      <c r="G7499" s="13"/>
    </row>
    <row r="7500" spans="1:7" hidden="1" x14ac:dyDescent="0.75">
      <c r="A7500" s="51">
        <v>44928</v>
      </c>
      <c r="B7500" s="52">
        <v>1362</v>
      </c>
      <c r="C7500" s="8" t="s">
        <v>2290</v>
      </c>
      <c r="D7500" s="8" t="s">
        <v>788</v>
      </c>
      <c r="E7500" s="52">
        <v>717</v>
      </c>
      <c r="F7500" s="13">
        <v>1455.25</v>
      </c>
      <c r="G7500" s="13"/>
    </row>
    <row r="7501" spans="1:7" hidden="1" x14ac:dyDescent="0.75">
      <c r="A7501" s="51">
        <v>44928</v>
      </c>
      <c r="B7501" s="52">
        <v>1362</v>
      </c>
      <c r="C7501" s="8" t="s">
        <v>2413</v>
      </c>
      <c r="D7501" s="8" t="s">
        <v>788</v>
      </c>
      <c r="E7501" s="52">
        <v>1821</v>
      </c>
      <c r="F7501" s="13">
        <v>118.7</v>
      </c>
      <c r="G7501" s="13"/>
    </row>
    <row r="7502" spans="1:7" hidden="1" x14ac:dyDescent="0.75">
      <c r="A7502" s="51">
        <v>44928</v>
      </c>
      <c r="B7502" s="52">
        <v>1362</v>
      </c>
      <c r="C7502" s="8" t="s">
        <v>2338</v>
      </c>
      <c r="D7502" s="8" t="s">
        <v>788</v>
      </c>
      <c r="E7502" s="52">
        <v>1818</v>
      </c>
      <c r="F7502" s="13">
        <v>1089.4000000000001</v>
      </c>
      <c r="G7502" s="13"/>
    </row>
    <row r="7503" spans="1:7" hidden="1" x14ac:dyDescent="0.75">
      <c r="A7503" s="51">
        <v>44928</v>
      </c>
      <c r="B7503" s="52">
        <v>1362</v>
      </c>
      <c r="C7503" s="8" t="s">
        <v>2440</v>
      </c>
      <c r="D7503" s="8" t="s">
        <v>788</v>
      </c>
      <c r="E7503" s="52">
        <v>714</v>
      </c>
      <c r="F7503" s="13">
        <v>994.56</v>
      </c>
      <c r="G7503" s="13"/>
    </row>
    <row r="7504" spans="1:7" hidden="1" x14ac:dyDescent="0.75">
      <c r="A7504" s="51">
        <v>44928</v>
      </c>
      <c r="B7504" s="52">
        <v>1362</v>
      </c>
      <c r="C7504" s="8" t="s">
        <v>2495</v>
      </c>
      <c r="D7504" s="8" t="s">
        <v>788</v>
      </c>
      <c r="E7504" s="52">
        <v>1024</v>
      </c>
      <c r="F7504" s="13">
        <v>1754</v>
      </c>
      <c r="G7504" s="13"/>
    </row>
    <row r="7505" spans="1:7" hidden="1" x14ac:dyDescent="0.75">
      <c r="A7505" s="51">
        <v>44928</v>
      </c>
      <c r="B7505" s="52">
        <v>1362</v>
      </c>
      <c r="C7505" s="8" t="s">
        <v>2496</v>
      </c>
      <c r="D7505" s="8" t="s">
        <v>788</v>
      </c>
      <c r="E7505" s="52">
        <v>1024</v>
      </c>
      <c r="F7505" s="13">
        <v>3131</v>
      </c>
      <c r="G7505" s="13"/>
    </row>
    <row r="7506" spans="1:7" hidden="1" x14ac:dyDescent="0.75">
      <c r="A7506" s="51">
        <v>44928</v>
      </c>
      <c r="B7506" s="52">
        <v>1362</v>
      </c>
      <c r="C7506" s="8" t="s">
        <v>2497</v>
      </c>
      <c r="D7506" s="8" t="s">
        <v>788</v>
      </c>
      <c r="E7506" s="52">
        <v>1024</v>
      </c>
      <c r="F7506" s="13">
        <v>26352</v>
      </c>
      <c r="G7506" s="13"/>
    </row>
    <row r="7507" spans="1:7" hidden="1" x14ac:dyDescent="0.75">
      <c r="A7507" s="51">
        <v>44928</v>
      </c>
      <c r="B7507" s="52">
        <v>1362</v>
      </c>
      <c r="C7507" s="8" t="s">
        <v>2498</v>
      </c>
      <c r="D7507" s="8" t="s">
        <v>788</v>
      </c>
      <c r="E7507" s="52">
        <v>1024</v>
      </c>
      <c r="F7507" s="13">
        <v>2285</v>
      </c>
      <c r="G7507" s="13"/>
    </row>
    <row r="7508" spans="1:7" hidden="1" x14ac:dyDescent="0.75">
      <c r="A7508" s="51">
        <v>44928</v>
      </c>
      <c r="B7508" s="52">
        <v>1362</v>
      </c>
      <c r="C7508" s="8" t="s">
        <v>2499</v>
      </c>
      <c r="D7508" s="8" t="s">
        <v>788</v>
      </c>
      <c r="E7508" s="52">
        <v>1024</v>
      </c>
      <c r="F7508" s="13">
        <v>150</v>
      </c>
      <c r="G7508" s="13"/>
    </row>
    <row r="7509" spans="1:7" hidden="1" x14ac:dyDescent="0.75">
      <c r="A7509" s="51">
        <v>44928</v>
      </c>
      <c r="B7509" s="52">
        <v>1362</v>
      </c>
      <c r="C7509" s="8" t="s">
        <v>2291</v>
      </c>
      <c r="D7509" s="8" t="s">
        <v>788</v>
      </c>
      <c r="E7509" s="52">
        <v>717</v>
      </c>
      <c r="F7509" s="13">
        <v>78</v>
      </c>
      <c r="G7509" s="13"/>
    </row>
    <row r="7510" spans="1:7" hidden="1" x14ac:dyDescent="0.75">
      <c r="A7510" s="51">
        <v>44928</v>
      </c>
      <c r="B7510" s="52">
        <v>1362</v>
      </c>
      <c r="C7510" s="8" t="s">
        <v>2292</v>
      </c>
      <c r="D7510" s="8" t="s">
        <v>788</v>
      </c>
      <c r="E7510" s="52">
        <v>717</v>
      </c>
      <c r="F7510" s="13">
        <v>1147</v>
      </c>
      <c r="G7510" s="13"/>
    </row>
    <row r="7511" spans="1:7" hidden="1" x14ac:dyDescent="0.75">
      <c r="A7511" s="51">
        <v>44928</v>
      </c>
      <c r="B7511" s="52">
        <v>1362</v>
      </c>
      <c r="C7511" s="8" t="s">
        <v>2441</v>
      </c>
      <c r="D7511" s="8" t="s">
        <v>788</v>
      </c>
      <c r="E7511" s="52">
        <v>714</v>
      </c>
      <c r="F7511" s="13">
        <v>562.6</v>
      </c>
      <c r="G7511" s="13"/>
    </row>
    <row r="7512" spans="1:7" hidden="1" x14ac:dyDescent="0.75">
      <c r="A7512" s="51">
        <v>44928</v>
      </c>
      <c r="B7512" s="52">
        <v>1362</v>
      </c>
      <c r="C7512" s="8" t="s">
        <v>2391</v>
      </c>
      <c r="D7512" s="8" t="s">
        <v>788</v>
      </c>
      <c r="E7512" s="52">
        <v>719</v>
      </c>
      <c r="F7512" s="13">
        <v>530.54999999999995</v>
      </c>
      <c r="G7512" s="13"/>
    </row>
    <row r="7513" spans="1:7" hidden="1" x14ac:dyDescent="0.75">
      <c r="A7513" s="51">
        <v>44928</v>
      </c>
      <c r="B7513" s="52">
        <v>1362</v>
      </c>
      <c r="C7513" s="8" t="s">
        <v>2500</v>
      </c>
      <c r="D7513" s="8" t="s">
        <v>788</v>
      </c>
      <c r="E7513" s="52">
        <v>1024</v>
      </c>
      <c r="F7513" s="13">
        <v>984</v>
      </c>
      <c r="G7513" s="13"/>
    </row>
    <row r="7514" spans="1:7" hidden="1" x14ac:dyDescent="0.75">
      <c r="A7514" s="51">
        <v>44928</v>
      </c>
      <c r="B7514" s="52">
        <v>1362</v>
      </c>
      <c r="C7514" s="8" t="s">
        <v>2339</v>
      </c>
      <c r="D7514" s="8" t="s">
        <v>788</v>
      </c>
      <c r="E7514" s="52">
        <v>1818</v>
      </c>
      <c r="F7514" s="13">
        <v>2146.35</v>
      </c>
      <c r="G7514" s="13"/>
    </row>
    <row r="7515" spans="1:7" hidden="1" x14ac:dyDescent="0.75">
      <c r="A7515" s="51">
        <v>44928</v>
      </c>
      <c r="B7515" s="52">
        <v>1362</v>
      </c>
      <c r="C7515" s="8" t="s">
        <v>2442</v>
      </c>
      <c r="D7515" s="8" t="s">
        <v>788</v>
      </c>
      <c r="E7515" s="52">
        <v>714</v>
      </c>
      <c r="F7515" s="13">
        <v>392</v>
      </c>
      <c r="G7515" s="13"/>
    </row>
    <row r="7516" spans="1:7" hidden="1" x14ac:dyDescent="0.75">
      <c r="A7516" s="51">
        <v>44928</v>
      </c>
      <c r="B7516" s="52">
        <v>1362</v>
      </c>
      <c r="C7516" s="8" t="s">
        <v>2340</v>
      </c>
      <c r="D7516" s="8" t="s">
        <v>788</v>
      </c>
      <c r="E7516" s="52">
        <v>1818</v>
      </c>
      <c r="F7516" s="13">
        <v>2288.6</v>
      </c>
      <c r="G7516" s="13"/>
    </row>
    <row r="7517" spans="1:7" hidden="1" x14ac:dyDescent="0.75">
      <c r="A7517" s="51">
        <v>44928</v>
      </c>
      <c r="B7517" s="52">
        <v>1362</v>
      </c>
      <c r="C7517" s="8" t="s">
        <v>2501</v>
      </c>
      <c r="D7517" s="8" t="s">
        <v>788</v>
      </c>
      <c r="E7517" s="52">
        <v>1024</v>
      </c>
      <c r="F7517" s="13">
        <v>736</v>
      </c>
      <c r="G7517" s="13"/>
    </row>
    <row r="7518" spans="1:7" hidden="1" x14ac:dyDescent="0.75">
      <c r="A7518" s="51">
        <v>44928</v>
      </c>
      <c r="B7518" s="52">
        <v>1362</v>
      </c>
      <c r="C7518" s="8" t="s">
        <v>2502</v>
      </c>
      <c r="D7518" s="8" t="s">
        <v>788</v>
      </c>
      <c r="E7518" s="52">
        <v>1024</v>
      </c>
      <c r="F7518" s="13">
        <v>2530</v>
      </c>
      <c r="G7518" s="13"/>
    </row>
    <row r="7519" spans="1:7" hidden="1" x14ac:dyDescent="0.75">
      <c r="A7519" s="51">
        <v>44928</v>
      </c>
      <c r="B7519" s="52">
        <v>1362</v>
      </c>
      <c r="C7519" s="8" t="s">
        <v>2293</v>
      </c>
      <c r="D7519" s="8" t="s">
        <v>788</v>
      </c>
      <c r="E7519" s="52">
        <v>717</v>
      </c>
      <c r="F7519" s="13">
        <v>2395.25</v>
      </c>
      <c r="G7519" s="13"/>
    </row>
    <row r="7520" spans="1:7" hidden="1" x14ac:dyDescent="0.75">
      <c r="A7520" s="51">
        <v>44928</v>
      </c>
      <c r="B7520" s="52">
        <v>1362</v>
      </c>
      <c r="C7520" s="8" t="s">
        <v>2392</v>
      </c>
      <c r="D7520" s="8" t="s">
        <v>788</v>
      </c>
      <c r="E7520" s="52">
        <v>719</v>
      </c>
      <c r="F7520" s="13">
        <v>127.5</v>
      </c>
      <c r="G7520" s="13"/>
    </row>
    <row r="7521" spans="1:7" hidden="1" x14ac:dyDescent="0.75">
      <c r="A7521" s="51">
        <v>44928</v>
      </c>
      <c r="B7521" s="52">
        <v>1362</v>
      </c>
      <c r="C7521" s="8" t="s">
        <v>2341</v>
      </c>
      <c r="D7521" s="8" t="s">
        <v>788</v>
      </c>
      <c r="E7521" s="52">
        <v>1818</v>
      </c>
      <c r="F7521" s="13">
        <v>2601.9</v>
      </c>
      <c r="G7521" s="13"/>
    </row>
    <row r="7522" spans="1:7" hidden="1" x14ac:dyDescent="0.75">
      <c r="A7522" s="51">
        <v>44928</v>
      </c>
      <c r="B7522" s="52">
        <v>1362</v>
      </c>
      <c r="C7522" s="8" t="s">
        <v>2443</v>
      </c>
      <c r="D7522" s="8" t="s">
        <v>788</v>
      </c>
      <c r="E7522" s="52">
        <v>714</v>
      </c>
      <c r="F7522" s="13">
        <v>1314.66</v>
      </c>
      <c r="G7522" s="13"/>
    </row>
    <row r="7523" spans="1:7" hidden="1" x14ac:dyDescent="0.75">
      <c r="A7523" s="51">
        <v>44928</v>
      </c>
      <c r="B7523" s="52">
        <v>1362</v>
      </c>
      <c r="C7523" s="8" t="s">
        <v>2503</v>
      </c>
      <c r="D7523" s="8" t="s">
        <v>788</v>
      </c>
      <c r="E7523" s="52">
        <v>1024</v>
      </c>
      <c r="F7523" s="13">
        <v>14376</v>
      </c>
      <c r="G7523" s="13"/>
    </row>
    <row r="7524" spans="1:7" hidden="1" x14ac:dyDescent="0.75">
      <c r="A7524" s="51">
        <v>44928</v>
      </c>
      <c r="B7524" s="52">
        <v>1362</v>
      </c>
      <c r="C7524" s="8" t="s">
        <v>2504</v>
      </c>
      <c r="D7524" s="8" t="s">
        <v>788</v>
      </c>
      <c r="E7524" s="52">
        <v>1024</v>
      </c>
      <c r="F7524" s="13">
        <v>2318</v>
      </c>
      <c r="G7524" s="13"/>
    </row>
    <row r="7525" spans="1:7" hidden="1" x14ac:dyDescent="0.75">
      <c r="A7525" s="51">
        <v>44928</v>
      </c>
      <c r="B7525" s="52">
        <v>1362</v>
      </c>
      <c r="C7525" s="8" t="s">
        <v>2505</v>
      </c>
      <c r="D7525" s="8" t="s">
        <v>788</v>
      </c>
      <c r="E7525" s="52">
        <v>1024</v>
      </c>
      <c r="F7525" s="13">
        <v>460</v>
      </c>
      <c r="G7525" s="13"/>
    </row>
    <row r="7526" spans="1:7" hidden="1" x14ac:dyDescent="0.75">
      <c r="A7526" s="51">
        <v>44928</v>
      </c>
      <c r="B7526" s="52">
        <v>1362</v>
      </c>
      <c r="C7526" s="8" t="s">
        <v>2444</v>
      </c>
      <c r="D7526" s="8" t="s">
        <v>788</v>
      </c>
      <c r="E7526" s="52">
        <v>714</v>
      </c>
      <c r="F7526" s="13">
        <v>673.9</v>
      </c>
      <c r="G7526" s="13"/>
    </row>
    <row r="7527" spans="1:7" hidden="1" x14ac:dyDescent="0.75">
      <c r="A7527" s="51">
        <v>44928</v>
      </c>
      <c r="B7527" s="52">
        <v>1362</v>
      </c>
      <c r="C7527" s="8" t="s">
        <v>2414</v>
      </c>
      <c r="D7527" s="8" t="s">
        <v>788</v>
      </c>
      <c r="E7527" s="52">
        <v>1821</v>
      </c>
      <c r="F7527" s="13">
        <v>143.9</v>
      </c>
      <c r="G7527" s="13"/>
    </row>
    <row r="7528" spans="1:7" hidden="1" x14ac:dyDescent="0.75">
      <c r="A7528" s="51">
        <v>44928</v>
      </c>
      <c r="B7528" s="52">
        <v>1362</v>
      </c>
      <c r="C7528" s="8" t="s">
        <v>2342</v>
      </c>
      <c r="D7528" s="8" t="s">
        <v>788</v>
      </c>
      <c r="E7528" s="52">
        <v>1818</v>
      </c>
      <c r="F7528" s="13">
        <v>1362.7</v>
      </c>
      <c r="G7528" s="13"/>
    </row>
    <row r="7529" spans="1:7" hidden="1" x14ac:dyDescent="0.75">
      <c r="A7529" s="51">
        <v>44928</v>
      </c>
      <c r="B7529" s="52">
        <v>1362</v>
      </c>
      <c r="C7529" s="8" t="s">
        <v>2506</v>
      </c>
      <c r="D7529" s="8" t="s">
        <v>788</v>
      </c>
      <c r="E7529" s="52">
        <v>1024</v>
      </c>
      <c r="F7529" s="13">
        <v>3616</v>
      </c>
      <c r="G7529" s="13"/>
    </row>
    <row r="7530" spans="1:7" hidden="1" x14ac:dyDescent="0.75">
      <c r="A7530" s="51">
        <v>44928</v>
      </c>
      <c r="B7530" s="52">
        <v>1362</v>
      </c>
      <c r="C7530" s="8" t="s">
        <v>2507</v>
      </c>
      <c r="D7530" s="8" t="s">
        <v>788</v>
      </c>
      <c r="E7530" s="52">
        <v>1024</v>
      </c>
      <c r="F7530" s="13">
        <v>3079</v>
      </c>
      <c r="G7530" s="13"/>
    </row>
    <row r="7531" spans="1:7" hidden="1" x14ac:dyDescent="0.75">
      <c r="A7531" s="51">
        <v>44928</v>
      </c>
      <c r="B7531" s="52">
        <v>1362</v>
      </c>
      <c r="C7531" s="8" t="s">
        <v>2294</v>
      </c>
      <c r="D7531" s="8" t="s">
        <v>788</v>
      </c>
      <c r="E7531" s="52">
        <v>717</v>
      </c>
      <c r="F7531" s="13">
        <v>2570.5500000000002</v>
      </c>
      <c r="G7531" s="13"/>
    </row>
    <row r="7532" spans="1:7" hidden="1" x14ac:dyDescent="0.75">
      <c r="A7532" s="51">
        <v>44928</v>
      </c>
      <c r="B7532" s="52">
        <v>1362</v>
      </c>
      <c r="C7532" s="8" t="s">
        <v>2295</v>
      </c>
      <c r="D7532" s="8" t="s">
        <v>788</v>
      </c>
      <c r="E7532" s="52">
        <v>717</v>
      </c>
      <c r="F7532" s="13">
        <v>78</v>
      </c>
      <c r="G7532" s="13"/>
    </row>
    <row r="7533" spans="1:7" hidden="1" x14ac:dyDescent="0.75">
      <c r="A7533" s="51">
        <v>44928</v>
      </c>
      <c r="B7533" s="52">
        <v>1362</v>
      </c>
      <c r="C7533" s="8" t="s">
        <v>2393</v>
      </c>
      <c r="D7533" s="8" t="s">
        <v>788</v>
      </c>
      <c r="E7533" s="52">
        <v>719</v>
      </c>
      <c r="F7533" s="13">
        <v>541.49</v>
      </c>
      <c r="G7533" s="13"/>
    </row>
    <row r="7534" spans="1:7" hidden="1" x14ac:dyDescent="0.75">
      <c r="A7534" s="51">
        <v>44928</v>
      </c>
      <c r="B7534" s="52">
        <v>1362</v>
      </c>
      <c r="C7534" s="8" t="s">
        <v>2445</v>
      </c>
      <c r="D7534" s="8" t="s">
        <v>788</v>
      </c>
      <c r="E7534" s="52">
        <v>714</v>
      </c>
      <c r="F7534" s="13">
        <v>983.7</v>
      </c>
      <c r="G7534" s="13"/>
    </row>
    <row r="7535" spans="1:7" hidden="1" x14ac:dyDescent="0.75">
      <c r="A7535" s="51">
        <v>44928</v>
      </c>
      <c r="B7535" s="52">
        <v>1362</v>
      </c>
      <c r="C7535" s="8" t="s">
        <v>2343</v>
      </c>
      <c r="D7535" s="8" t="s">
        <v>788</v>
      </c>
      <c r="E7535" s="52">
        <v>1818</v>
      </c>
      <c r="F7535" s="13">
        <v>2582.65</v>
      </c>
      <c r="G7535" s="13"/>
    </row>
    <row r="7536" spans="1:7" hidden="1" x14ac:dyDescent="0.75">
      <c r="A7536" s="51">
        <v>44928</v>
      </c>
      <c r="B7536" s="52">
        <v>1362</v>
      </c>
      <c r="C7536" s="8" t="s">
        <v>2415</v>
      </c>
      <c r="D7536" s="8" t="s">
        <v>788</v>
      </c>
      <c r="E7536" s="52">
        <v>1821</v>
      </c>
      <c r="F7536" s="13">
        <v>114.5</v>
      </c>
      <c r="G7536" s="13"/>
    </row>
    <row r="7537" spans="1:7" hidden="1" x14ac:dyDescent="0.75">
      <c r="A7537" s="51">
        <v>44928</v>
      </c>
      <c r="B7537" s="52">
        <v>1362</v>
      </c>
      <c r="C7537" s="8" t="s">
        <v>2508</v>
      </c>
      <c r="D7537" s="8" t="s">
        <v>788</v>
      </c>
      <c r="E7537" s="52">
        <v>1024</v>
      </c>
      <c r="F7537" s="13">
        <v>2106</v>
      </c>
      <c r="G7537" s="13"/>
    </row>
    <row r="7538" spans="1:7" hidden="1" x14ac:dyDescent="0.75">
      <c r="A7538" s="51">
        <v>44928</v>
      </c>
      <c r="B7538" s="52">
        <v>1362</v>
      </c>
      <c r="C7538" s="8" t="s">
        <v>2509</v>
      </c>
      <c r="D7538" s="8" t="s">
        <v>788</v>
      </c>
      <c r="E7538" s="52">
        <v>1024</v>
      </c>
      <c r="F7538" s="13">
        <v>2549</v>
      </c>
      <c r="G7538" s="13"/>
    </row>
    <row r="7539" spans="1:7" hidden="1" x14ac:dyDescent="0.75">
      <c r="A7539" s="51">
        <v>44928</v>
      </c>
      <c r="B7539" s="52">
        <v>1362</v>
      </c>
      <c r="C7539" s="8" t="s">
        <v>2296</v>
      </c>
      <c r="D7539" s="8" t="s">
        <v>788</v>
      </c>
      <c r="E7539" s="52">
        <v>717</v>
      </c>
      <c r="F7539" s="13">
        <v>1560.25</v>
      </c>
      <c r="G7539" s="13"/>
    </row>
    <row r="7540" spans="1:7" hidden="1" x14ac:dyDescent="0.75">
      <c r="A7540" s="51">
        <v>44928</v>
      </c>
      <c r="B7540" s="52">
        <v>1362</v>
      </c>
      <c r="C7540" s="8" t="s">
        <v>2446</v>
      </c>
      <c r="D7540" s="8" t="s">
        <v>788</v>
      </c>
      <c r="E7540" s="52">
        <v>714</v>
      </c>
      <c r="F7540" s="13">
        <v>916.4</v>
      </c>
      <c r="G7540" s="13"/>
    </row>
    <row r="7541" spans="1:7" hidden="1" x14ac:dyDescent="0.75">
      <c r="A7541" s="51">
        <v>44928</v>
      </c>
      <c r="B7541" s="52">
        <v>1362</v>
      </c>
      <c r="C7541" s="8" t="s">
        <v>2344</v>
      </c>
      <c r="D7541" s="8" t="s">
        <v>788</v>
      </c>
      <c r="E7541" s="52">
        <v>1818</v>
      </c>
      <c r="F7541" s="13">
        <v>1901.15</v>
      </c>
      <c r="G7541" s="13"/>
    </row>
    <row r="7542" spans="1:7" hidden="1" x14ac:dyDescent="0.75">
      <c r="A7542" s="51">
        <v>44928</v>
      </c>
      <c r="B7542" s="52">
        <v>1362</v>
      </c>
      <c r="C7542" s="8" t="s">
        <v>2510</v>
      </c>
      <c r="D7542" s="8" t="s">
        <v>788</v>
      </c>
      <c r="E7542" s="52">
        <v>1024</v>
      </c>
      <c r="F7542" s="13">
        <v>3570</v>
      </c>
      <c r="G7542" s="13"/>
    </row>
    <row r="7543" spans="1:7" hidden="1" x14ac:dyDescent="0.75">
      <c r="A7543" s="51">
        <v>44928</v>
      </c>
      <c r="B7543" s="52">
        <v>1362</v>
      </c>
      <c r="C7543" s="8" t="s">
        <v>2511</v>
      </c>
      <c r="D7543" s="8" t="s">
        <v>788</v>
      </c>
      <c r="E7543" s="52">
        <v>1024</v>
      </c>
      <c r="F7543" s="13">
        <v>2380</v>
      </c>
      <c r="G7543" s="13"/>
    </row>
    <row r="7544" spans="1:7" hidden="1" x14ac:dyDescent="0.75">
      <c r="A7544" s="51">
        <v>44928</v>
      </c>
      <c r="B7544" s="52">
        <v>1362</v>
      </c>
      <c r="C7544" s="8" t="s">
        <v>2297</v>
      </c>
      <c r="D7544" s="8" t="s">
        <v>788</v>
      </c>
      <c r="E7544" s="52">
        <v>717</v>
      </c>
      <c r="F7544" s="13">
        <v>902.5</v>
      </c>
      <c r="G7544" s="13"/>
    </row>
    <row r="7545" spans="1:7" hidden="1" x14ac:dyDescent="0.75">
      <c r="A7545" s="51">
        <v>44928</v>
      </c>
      <c r="B7545" s="52">
        <v>1362</v>
      </c>
      <c r="C7545" s="8" t="s">
        <v>2447</v>
      </c>
      <c r="D7545" s="8" t="s">
        <v>788</v>
      </c>
      <c r="E7545" s="52">
        <v>714</v>
      </c>
      <c r="F7545" s="13">
        <v>1316.3</v>
      </c>
      <c r="G7545" s="13"/>
    </row>
    <row r="7546" spans="1:7" hidden="1" x14ac:dyDescent="0.75">
      <c r="A7546" s="51">
        <v>44928</v>
      </c>
      <c r="B7546" s="52">
        <v>1362</v>
      </c>
      <c r="C7546" s="8" t="s">
        <v>2416</v>
      </c>
      <c r="D7546" s="8" t="s">
        <v>788</v>
      </c>
      <c r="E7546" s="52">
        <v>1821</v>
      </c>
      <c r="F7546" s="13">
        <v>113.7</v>
      </c>
      <c r="G7546" s="13"/>
    </row>
    <row r="7547" spans="1:7" hidden="1" x14ac:dyDescent="0.75">
      <c r="A7547" s="51">
        <v>44928</v>
      </c>
      <c r="B7547" s="52">
        <v>1362</v>
      </c>
      <c r="C7547" s="8" t="s">
        <v>2345</v>
      </c>
      <c r="D7547" s="8" t="s">
        <v>788</v>
      </c>
      <c r="E7547" s="52">
        <v>1818</v>
      </c>
      <c r="F7547" s="13">
        <v>1844.45</v>
      </c>
      <c r="G7547" s="13"/>
    </row>
    <row r="7548" spans="1:7" hidden="1" x14ac:dyDescent="0.75">
      <c r="A7548" s="51">
        <v>44928</v>
      </c>
      <c r="B7548" s="52">
        <v>1362</v>
      </c>
      <c r="C7548" s="8" t="s">
        <v>2512</v>
      </c>
      <c r="D7548" s="8" t="s">
        <v>788</v>
      </c>
      <c r="E7548" s="52">
        <v>1024</v>
      </c>
      <c r="F7548" s="13">
        <v>28752</v>
      </c>
      <c r="G7548" s="13"/>
    </row>
    <row r="7549" spans="1:7" hidden="1" x14ac:dyDescent="0.75">
      <c r="A7549" s="51">
        <v>44928</v>
      </c>
      <c r="B7549" s="52">
        <v>1362</v>
      </c>
      <c r="C7549" s="8" t="s">
        <v>2513</v>
      </c>
      <c r="D7549" s="8" t="s">
        <v>788</v>
      </c>
      <c r="E7549" s="52">
        <v>1024</v>
      </c>
      <c r="F7549" s="13">
        <v>2104</v>
      </c>
      <c r="G7549" s="13"/>
    </row>
    <row r="7550" spans="1:7" hidden="1" x14ac:dyDescent="0.75">
      <c r="A7550" s="51">
        <v>44928</v>
      </c>
      <c r="B7550" s="52">
        <v>1362</v>
      </c>
      <c r="C7550" s="8" t="s">
        <v>2514</v>
      </c>
      <c r="D7550" s="8" t="s">
        <v>788</v>
      </c>
      <c r="E7550" s="52">
        <v>1024</v>
      </c>
      <c r="F7550" s="13">
        <v>2188</v>
      </c>
      <c r="G7550" s="13"/>
    </row>
    <row r="7551" spans="1:7" hidden="1" x14ac:dyDescent="0.75">
      <c r="A7551" s="51">
        <v>44928</v>
      </c>
      <c r="B7551" s="52">
        <v>1362</v>
      </c>
      <c r="C7551" s="8" t="s">
        <v>2298</v>
      </c>
      <c r="D7551" s="8" t="s">
        <v>788</v>
      </c>
      <c r="E7551" s="52">
        <v>717</v>
      </c>
      <c r="F7551" s="13">
        <v>1380.85</v>
      </c>
      <c r="G7551" s="13"/>
    </row>
    <row r="7552" spans="1:7" hidden="1" x14ac:dyDescent="0.75">
      <c r="A7552" s="51">
        <v>44928</v>
      </c>
      <c r="B7552" s="52">
        <v>1362</v>
      </c>
      <c r="C7552" s="8" t="s">
        <v>2299</v>
      </c>
      <c r="D7552" s="8" t="s">
        <v>788</v>
      </c>
      <c r="E7552" s="52">
        <v>717</v>
      </c>
      <c r="F7552" s="13">
        <v>110</v>
      </c>
      <c r="G7552" s="13"/>
    </row>
    <row r="7553" spans="1:7" hidden="1" x14ac:dyDescent="0.75">
      <c r="A7553" s="51">
        <v>44928</v>
      </c>
      <c r="B7553" s="52">
        <v>1362</v>
      </c>
      <c r="C7553" s="8" t="s">
        <v>2448</v>
      </c>
      <c r="D7553" s="8" t="s">
        <v>788</v>
      </c>
      <c r="E7553" s="52">
        <v>714</v>
      </c>
      <c r="F7553" s="13">
        <v>763.9</v>
      </c>
      <c r="G7553" s="13"/>
    </row>
    <row r="7554" spans="1:7" hidden="1" x14ac:dyDescent="0.75">
      <c r="A7554" s="51">
        <v>44928</v>
      </c>
      <c r="B7554" s="52">
        <v>1362</v>
      </c>
      <c r="C7554" s="8" t="s">
        <v>2417</v>
      </c>
      <c r="D7554" s="8" t="s">
        <v>788</v>
      </c>
      <c r="E7554" s="52">
        <v>1821</v>
      </c>
      <c r="F7554" s="13">
        <v>127.8</v>
      </c>
      <c r="G7554" s="13"/>
    </row>
    <row r="7555" spans="1:7" hidden="1" x14ac:dyDescent="0.75">
      <c r="A7555" s="51">
        <v>44928</v>
      </c>
      <c r="B7555" s="52">
        <v>1362</v>
      </c>
      <c r="C7555" s="8" t="s">
        <v>2346</v>
      </c>
      <c r="D7555" s="8" t="s">
        <v>788</v>
      </c>
      <c r="E7555" s="52">
        <v>1818</v>
      </c>
      <c r="F7555" s="13">
        <v>2166.35</v>
      </c>
      <c r="G7555" s="13"/>
    </row>
    <row r="7556" spans="1:7" hidden="1" x14ac:dyDescent="0.75">
      <c r="A7556" s="51">
        <v>44928</v>
      </c>
      <c r="B7556" s="52">
        <v>1362</v>
      </c>
      <c r="C7556" s="8" t="s">
        <v>2515</v>
      </c>
      <c r="D7556" s="8" t="s">
        <v>788</v>
      </c>
      <c r="E7556" s="52">
        <v>1024</v>
      </c>
      <c r="F7556" s="13">
        <v>770.75</v>
      </c>
      <c r="G7556" s="13"/>
    </row>
    <row r="7557" spans="1:7" hidden="1" x14ac:dyDescent="0.75">
      <c r="A7557" s="51">
        <v>44928</v>
      </c>
      <c r="B7557" s="52">
        <v>1362</v>
      </c>
      <c r="C7557" s="8" t="s">
        <v>2516</v>
      </c>
      <c r="D7557" s="8" t="s">
        <v>788</v>
      </c>
      <c r="E7557" s="52">
        <v>1024</v>
      </c>
      <c r="F7557" s="13">
        <v>1519</v>
      </c>
      <c r="G7557" s="13"/>
    </row>
    <row r="7558" spans="1:7" hidden="1" x14ac:dyDescent="0.75">
      <c r="A7558" s="51">
        <v>44928</v>
      </c>
      <c r="B7558" s="52">
        <v>1362</v>
      </c>
      <c r="C7558" s="8" t="s">
        <v>2517</v>
      </c>
      <c r="D7558" s="8" t="s">
        <v>788</v>
      </c>
      <c r="E7558" s="52">
        <v>1024</v>
      </c>
      <c r="F7558" s="13">
        <v>2904</v>
      </c>
      <c r="G7558" s="13"/>
    </row>
    <row r="7559" spans="1:7" hidden="1" x14ac:dyDescent="0.75">
      <c r="A7559" s="51">
        <v>44928</v>
      </c>
      <c r="B7559" s="52">
        <v>1362</v>
      </c>
      <c r="C7559" s="8" t="s">
        <v>2300</v>
      </c>
      <c r="D7559" s="8" t="s">
        <v>788</v>
      </c>
      <c r="E7559" s="52">
        <v>717</v>
      </c>
      <c r="F7559" s="13">
        <v>1542.15</v>
      </c>
      <c r="G7559" s="13"/>
    </row>
    <row r="7560" spans="1:7" hidden="1" x14ac:dyDescent="0.75">
      <c r="A7560" s="51">
        <v>44928</v>
      </c>
      <c r="B7560" s="52">
        <v>1362</v>
      </c>
      <c r="C7560" s="8" t="s">
        <v>2418</v>
      </c>
      <c r="D7560" s="8" t="s">
        <v>788</v>
      </c>
      <c r="E7560" s="52">
        <v>1821</v>
      </c>
      <c r="F7560" s="13">
        <v>148.5</v>
      </c>
      <c r="G7560" s="13"/>
    </row>
    <row r="7561" spans="1:7" hidden="1" x14ac:dyDescent="0.75">
      <c r="A7561" s="51">
        <v>44928</v>
      </c>
      <c r="B7561" s="52">
        <v>1362</v>
      </c>
      <c r="C7561" s="8" t="s">
        <v>2394</v>
      </c>
      <c r="D7561" s="8" t="s">
        <v>788</v>
      </c>
      <c r="E7561" s="52">
        <v>719</v>
      </c>
      <c r="F7561" s="13">
        <v>448.18</v>
      </c>
      <c r="G7561" s="13"/>
    </row>
    <row r="7562" spans="1:7" hidden="1" x14ac:dyDescent="0.75">
      <c r="A7562" s="51">
        <v>44928</v>
      </c>
      <c r="B7562" s="52">
        <v>1362</v>
      </c>
      <c r="C7562" s="8" t="s">
        <v>2347</v>
      </c>
      <c r="D7562" s="8" t="s">
        <v>788</v>
      </c>
      <c r="E7562" s="52">
        <v>1818</v>
      </c>
      <c r="F7562" s="13">
        <v>2529.25</v>
      </c>
      <c r="G7562" s="13"/>
    </row>
    <row r="7563" spans="1:7" hidden="1" x14ac:dyDescent="0.75">
      <c r="A7563" s="51">
        <v>44928</v>
      </c>
      <c r="B7563" s="52">
        <v>1362</v>
      </c>
      <c r="C7563" s="8" t="s">
        <v>2449</v>
      </c>
      <c r="D7563" s="8" t="s">
        <v>788</v>
      </c>
      <c r="E7563" s="52">
        <v>714</v>
      </c>
      <c r="F7563" s="13">
        <v>435.2</v>
      </c>
      <c r="G7563" s="13"/>
    </row>
    <row r="7564" spans="1:7" hidden="1" x14ac:dyDescent="0.75">
      <c r="A7564" s="51">
        <v>44928</v>
      </c>
      <c r="B7564" s="52">
        <v>1362</v>
      </c>
      <c r="C7564" s="8" t="s">
        <v>2395</v>
      </c>
      <c r="D7564" s="8" t="s">
        <v>788</v>
      </c>
      <c r="E7564" s="52">
        <v>719</v>
      </c>
      <c r="F7564" s="13">
        <v>633.5</v>
      </c>
      <c r="G7564" s="13"/>
    </row>
    <row r="7565" spans="1:7" hidden="1" x14ac:dyDescent="0.75">
      <c r="A7565" s="51">
        <v>44928</v>
      </c>
      <c r="B7565" s="52">
        <v>1362</v>
      </c>
      <c r="C7565" s="8" t="s">
        <v>2518</v>
      </c>
      <c r="D7565" s="8" t="s">
        <v>788</v>
      </c>
      <c r="E7565" s="52">
        <v>1024</v>
      </c>
      <c r="F7565" s="13">
        <v>1817</v>
      </c>
      <c r="G7565" s="13"/>
    </row>
    <row r="7566" spans="1:7" hidden="1" x14ac:dyDescent="0.75">
      <c r="A7566" s="51">
        <v>44928</v>
      </c>
      <c r="B7566" s="52">
        <v>1362</v>
      </c>
      <c r="C7566" s="8" t="s">
        <v>2519</v>
      </c>
      <c r="D7566" s="8" t="s">
        <v>788</v>
      </c>
      <c r="E7566" s="52">
        <v>1024</v>
      </c>
      <c r="F7566" s="13">
        <v>2659</v>
      </c>
      <c r="G7566" s="13"/>
    </row>
    <row r="7567" spans="1:7" hidden="1" x14ac:dyDescent="0.75">
      <c r="A7567" s="51">
        <v>44928</v>
      </c>
      <c r="B7567" s="52">
        <v>1362</v>
      </c>
      <c r="C7567" s="8" t="s">
        <v>2348</v>
      </c>
      <c r="D7567" s="8" t="s">
        <v>788</v>
      </c>
      <c r="E7567" s="52">
        <v>1818</v>
      </c>
      <c r="F7567" s="13">
        <v>1381.8</v>
      </c>
      <c r="G7567" s="13"/>
    </row>
    <row r="7568" spans="1:7" hidden="1" x14ac:dyDescent="0.75">
      <c r="A7568" s="51">
        <v>44928</v>
      </c>
      <c r="B7568" s="52">
        <v>1362</v>
      </c>
      <c r="C7568" s="8" t="s">
        <v>2301</v>
      </c>
      <c r="D7568" s="8" t="s">
        <v>788</v>
      </c>
      <c r="E7568" s="52">
        <v>717</v>
      </c>
      <c r="F7568" s="13">
        <v>1062.7</v>
      </c>
      <c r="G7568" s="13"/>
    </row>
    <row r="7569" spans="1:7" hidden="1" x14ac:dyDescent="0.75">
      <c r="A7569" s="51">
        <v>44928</v>
      </c>
      <c r="B7569" s="52">
        <v>1362</v>
      </c>
      <c r="C7569" s="8" t="s">
        <v>2349</v>
      </c>
      <c r="D7569" s="8" t="s">
        <v>788</v>
      </c>
      <c r="E7569" s="52">
        <v>1818</v>
      </c>
      <c r="F7569" s="13">
        <v>38</v>
      </c>
      <c r="G7569" s="13"/>
    </row>
    <row r="7570" spans="1:7" hidden="1" x14ac:dyDescent="0.75">
      <c r="A7570" s="51">
        <v>44928</v>
      </c>
      <c r="B7570" s="52">
        <v>1362</v>
      </c>
      <c r="C7570" s="8" t="s">
        <v>2520</v>
      </c>
      <c r="D7570" s="8" t="s">
        <v>788</v>
      </c>
      <c r="E7570" s="52">
        <v>1024</v>
      </c>
      <c r="F7570" s="13">
        <v>3784</v>
      </c>
      <c r="G7570" s="13"/>
    </row>
    <row r="7571" spans="1:7" hidden="1" x14ac:dyDescent="0.75">
      <c r="A7571" s="51">
        <v>44928</v>
      </c>
      <c r="B7571" s="52">
        <v>1362</v>
      </c>
      <c r="C7571" s="8" t="s">
        <v>2521</v>
      </c>
      <c r="D7571" s="8" t="s">
        <v>788</v>
      </c>
      <c r="E7571" s="52">
        <v>1024</v>
      </c>
      <c r="F7571" s="13">
        <v>4046</v>
      </c>
      <c r="G7571" s="13"/>
    </row>
    <row r="7572" spans="1:7" hidden="1" x14ac:dyDescent="0.75">
      <c r="A7572" s="51">
        <v>44928</v>
      </c>
      <c r="B7572" s="52">
        <v>1362</v>
      </c>
      <c r="C7572" s="8" t="s">
        <v>1481</v>
      </c>
      <c r="D7572" s="8" t="s">
        <v>788</v>
      </c>
      <c r="E7572" s="52">
        <v>8</v>
      </c>
      <c r="F7572" s="13"/>
      <c r="G7572" s="13">
        <v>158267.87</v>
      </c>
    </row>
    <row r="7573" spans="1:7" hidden="1" x14ac:dyDescent="0.75">
      <c r="A7573" s="51">
        <v>44928</v>
      </c>
      <c r="B7573" s="52">
        <v>1362</v>
      </c>
      <c r="C7573" s="8" t="s">
        <v>3220</v>
      </c>
      <c r="D7573" s="8" t="s">
        <v>788</v>
      </c>
      <c r="E7573" s="52">
        <v>1434</v>
      </c>
      <c r="F7573" s="13"/>
      <c r="G7573" s="13">
        <v>50.7</v>
      </c>
    </row>
    <row r="7574" spans="1:7" hidden="1" x14ac:dyDescent="0.75">
      <c r="A7574" s="51">
        <v>44928</v>
      </c>
      <c r="B7574" s="52">
        <v>1362</v>
      </c>
      <c r="C7574" s="8" t="s">
        <v>3221</v>
      </c>
      <c r="D7574" s="8" t="s">
        <v>788</v>
      </c>
      <c r="E7574" s="52">
        <v>1434</v>
      </c>
      <c r="F7574" s="13"/>
      <c r="G7574" s="13">
        <v>64.599999999999994</v>
      </c>
    </row>
    <row r="7575" spans="1:7" hidden="1" x14ac:dyDescent="0.75">
      <c r="A7575" s="51">
        <v>44928</v>
      </c>
      <c r="B7575" s="52">
        <v>1362</v>
      </c>
      <c r="C7575" s="8" t="s">
        <v>3222</v>
      </c>
      <c r="D7575" s="8" t="s">
        <v>788</v>
      </c>
      <c r="E7575" s="52">
        <v>1434</v>
      </c>
      <c r="F7575" s="13"/>
      <c r="G7575" s="13">
        <v>31.4</v>
      </c>
    </row>
    <row r="7576" spans="1:7" hidden="1" x14ac:dyDescent="0.75">
      <c r="A7576" s="51">
        <v>44928</v>
      </c>
      <c r="B7576" s="52">
        <v>1362</v>
      </c>
      <c r="C7576" s="8" t="s">
        <v>3223</v>
      </c>
      <c r="D7576" s="8" t="s">
        <v>788</v>
      </c>
      <c r="E7576" s="52">
        <v>1434</v>
      </c>
      <c r="F7576" s="13"/>
      <c r="G7576" s="13">
        <v>28.5</v>
      </c>
    </row>
    <row r="7577" spans="1:7" hidden="1" x14ac:dyDescent="0.75">
      <c r="A7577" s="51">
        <v>44928</v>
      </c>
      <c r="B7577" s="52">
        <v>1362</v>
      </c>
      <c r="C7577" s="8" t="s">
        <v>3224</v>
      </c>
      <c r="D7577" s="8" t="s">
        <v>788</v>
      </c>
      <c r="E7577" s="52">
        <v>1434</v>
      </c>
      <c r="F7577" s="13"/>
      <c r="G7577" s="13">
        <v>94.7</v>
      </c>
    </row>
    <row r="7578" spans="1:7" hidden="1" x14ac:dyDescent="0.75">
      <c r="A7578" s="51">
        <v>44928</v>
      </c>
      <c r="B7578" s="52">
        <v>1362</v>
      </c>
      <c r="C7578" s="8" t="s">
        <v>3225</v>
      </c>
      <c r="D7578" s="8" t="s">
        <v>788</v>
      </c>
      <c r="E7578" s="52">
        <v>1434</v>
      </c>
      <c r="F7578" s="13"/>
      <c r="G7578" s="13">
        <v>49.8</v>
      </c>
    </row>
    <row r="7579" spans="1:7" hidden="1" x14ac:dyDescent="0.75">
      <c r="A7579" s="51">
        <v>44928</v>
      </c>
      <c r="B7579" s="52">
        <v>1362</v>
      </c>
      <c r="C7579" s="8" t="s">
        <v>3226</v>
      </c>
      <c r="D7579" s="8" t="s">
        <v>788</v>
      </c>
      <c r="E7579" s="52">
        <v>1434</v>
      </c>
      <c r="F7579" s="13"/>
      <c r="G7579" s="13">
        <v>71.8</v>
      </c>
    </row>
    <row r="7580" spans="1:7" hidden="1" x14ac:dyDescent="0.75">
      <c r="A7580" s="51">
        <v>44928</v>
      </c>
      <c r="B7580" s="52">
        <v>1362</v>
      </c>
      <c r="C7580" s="8" t="s">
        <v>3227</v>
      </c>
      <c r="D7580" s="8" t="s">
        <v>788</v>
      </c>
      <c r="E7580" s="52">
        <v>1434</v>
      </c>
      <c r="F7580" s="13"/>
      <c r="G7580" s="13">
        <v>43.8</v>
      </c>
    </row>
    <row r="7581" spans="1:7" hidden="1" x14ac:dyDescent="0.75">
      <c r="A7581" s="51">
        <v>44928</v>
      </c>
      <c r="B7581" s="52">
        <v>1362</v>
      </c>
      <c r="C7581" s="8" t="s">
        <v>3228</v>
      </c>
      <c r="D7581" s="8" t="s">
        <v>788</v>
      </c>
      <c r="E7581" s="52">
        <v>1434</v>
      </c>
      <c r="F7581" s="13"/>
      <c r="G7581" s="13">
        <v>68.5</v>
      </c>
    </row>
    <row r="7582" spans="1:7" hidden="1" x14ac:dyDescent="0.75">
      <c r="A7582" s="51">
        <v>44928</v>
      </c>
      <c r="B7582" s="52">
        <v>1362</v>
      </c>
      <c r="C7582" s="8" t="s">
        <v>3229</v>
      </c>
      <c r="D7582" s="8" t="s">
        <v>788</v>
      </c>
      <c r="E7582" s="52">
        <v>1434</v>
      </c>
      <c r="F7582" s="13"/>
      <c r="G7582" s="13">
        <v>51</v>
      </c>
    </row>
    <row r="7583" spans="1:7" hidden="1" x14ac:dyDescent="0.75">
      <c r="A7583" s="51">
        <v>44928</v>
      </c>
      <c r="B7583" s="52">
        <v>1362</v>
      </c>
      <c r="C7583" s="8" t="s">
        <v>3230</v>
      </c>
      <c r="D7583" s="8" t="s">
        <v>788</v>
      </c>
      <c r="E7583" s="52">
        <v>1434</v>
      </c>
      <c r="F7583" s="13"/>
      <c r="G7583" s="13">
        <v>128.1</v>
      </c>
    </row>
    <row r="7584" spans="1:7" hidden="1" x14ac:dyDescent="0.75">
      <c r="A7584" s="51">
        <v>44928</v>
      </c>
      <c r="B7584" s="52">
        <v>1362</v>
      </c>
      <c r="C7584" s="8" t="s">
        <v>3231</v>
      </c>
      <c r="D7584" s="8" t="s">
        <v>788</v>
      </c>
      <c r="E7584" s="52">
        <v>1434</v>
      </c>
      <c r="F7584" s="13"/>
      <c r="G7584" s="13">
        <v>30.1</v>
      </c>
    </row>
    <row r="7585" spans="1:7" hidden="1" x14ac:dyDescent="0.75">
      <c r="A7585" s="51">
        <v>44928</v>
      </c>
      <c r="B7585" s="52">
        <v>1362</v>
      </c>
      <c r="C7585" s="8" t="s">
        <v>3232</v>
      </c>
      <c r="D7585" s="8" t="s">
        <v>788</v>
      </c>
      <c r="E7585" s="52">
        <v>1434</v>
      </c>
      <c r="F7585" s="13"/>
      <c r="G7585" s="13">
        <v>54.2</v>
      </c>
    </row>
    <row r="7586" spans="1:7" hidden="1" x14ac:dyDescent="0.75">
      <c r="A7586" s="51">
        <v>44928</v>
      </c>
      <c r="B7586" s="52">
        <v>1362</v>
      </c>
      <c r="C7586" s="8" t="s">
        <v>3233</v>
      </c>
      <c r="D7586" s="8" t="s">
        <v>788</v>
      </c>
      <c r="E7586" s="52">
        <v>1434</v>
      </c>
      <c r="F7586" s="13"/>
      <c r="G7586" s="13">
        <v>87</v>
      </c>
    </row>
    <row r="7587" spans="1:7" hidden="1" x14ac:dyDescent="0.75">
      <c r="A7587" s="51">
        <v>44928</v>
      </c>
      <c r="B7587" s="52">
        <v>1362</v>
      </c>
      <c r="C7587" s="8" t="s">
        <v>3234</v>
      </c>
      <c r="D7587" s="8" t="s">
        <v>788</v>
      </c>
      <c r="E7587" s="52">
        <v>1434</v>
      </c>
      <c r="F7587" s="13"/>
      <c r="G7587" s="13">
        <v>255.26</v>
      </c>
    </row>
    <row r="7588" spans="1:7" hidden="1" x14ac:dyDescent="0.75">
      <c r="A7588" s="51">
        <v>44928</v>
      </c>
      <c r="B7588" s="52">
        <v>1362</v>
      </c>
      <c r="C7588" s="8" t="s">
        <v>3235</v>
      </c>
      <c r="D7588" s="8" t="s">
        <v>788</v>
      </c>
      <c r="E7588" s="52">
        <v>1434</v>
      </c>
      <c r="F7588" s="13"/>
      <c r="G7588" s="13">
        <v>345.92</v>
      </c>
    </row>
    <row r="7589" spans="1:7" hidden="1" x14ac:dyDescent="0.75">
      <c r="A7589" s="51">
        <v>44928</v>
      </c>
      <c r="B7589" s="52">
        <v>1362</v>
      </c>
      <c r="C7589" s="8" t="s">
        <v>3236</v>
      </c>
      <c r="D7589" s="8" t="s">
        <v>788</v>
      </c>
      <c r="E7589" s="52">
        <v>1434</v>
      </c>
      <c r="F7589" s="13"/>
      <c r="G7589" s="13">
        <v>135.19999999999999</v>
      </c>
    </row>
    <row r="7590" spans="1:7" hidden="1" x14ac:dyDescent="0.75">
      <c r="A7590" s="51">
        <v>44928</v>
      </c>
      <c r="B7590" s="52">
        <v>1362</v>
      </c>
      <c r="C7590" s="8" t="s">
        <v>3237</v>
      </c>
      <c r="D7590" s="8" t="s">
        <v>788</v>
      </c>
      <c r="E7590" s="52">
        <v>1434</v>
      </c>
      <c r="F7590" s="13"/>
      <c r="G7590" s="13">
        <v>191.28</v>
      </c>
    </row>
    <row r="7591" spans="1:7" hidden="1" x14ac:dyDescent="0.75">
      <c r="A7591" s="51">
        <v>44928</v>
      </c>
      <c r="B7591" s="52">
        <v>1362</v>
      </c>
      <c r="C7591" s="8" t="s">
        <v>3238</v>
      </c>
      <c r="D7591" s="8" t="s">
        <v>788</v>
      </c>
      <c r="E7591" s="52">
        <v>1434</v>
      </c>
      <c r="F7591" s="13"/>
      <c r="G7591" s="13">
        <v>281.89999999999998</v>
      </c>
    </row>
    <row r="7592" spans="1:7" hidden="1" x14ac:dyDescent="0.75">
      <c r="A7592" s="51">
        <v>44928</v>
      </c>
      <c r="B7592" s="52">
        <v>1362</v>
      </c>
      <c r="C7592" s="8" t="s">
        <v>3239</v>
      </c>
      <c r="D7592" s="8" t="s">
        <v>788</v>
      </c>
      <c r="E7592" s="52">
        <v>1434</v>
      </c>
      <c r="F7592" s="13"/>
      <c r="G7592" s="13">
        <v>201.18</v>
      </c>
    </row>
    <row r="7593" spans="1:7" hidden="1" x14ac:dyDescent="0.75">
      <c r="A7593" s="51">
        <v>44928</v>
      </c>
      <c r="B7593" s="52">
        <v>1362</v>
      </c>
      <c r="C7593" s="8" t="s">
        <v>3240</v>
      </c>
      <c r="D7593" s="8" t="s">
        <v>788</v>
      </c>
      <c r="E7593" s="52">
        <v>1434</v>
      </c>
      <c r="F7593" s="13"/>
      <c r="G7593" s="13">
        <v>658.14</v>
      </c>
    </row>
    <row r="7594" spans="1:7" hidden="1" x14ac:dyDescent="0.75">
      <c r="A7594" s="51">
        <v>44928</v>
      </c>
      <c r="B7594" s="52">
        <v>1362</v>
      </c>
      <c r="C7594" s="8" t="s">
        <v>3241</v>
      </c>
      <c r="D7594" s="8" t="s">
        <v>788</v>
      </c>
      <c r="E7594" s="52">
        <v>1434</v>
      </c>
      <c r="F7594" s="13"/>
      <c r="G7594" s="13">
        <v>209.82</v>
      </c>
    </row>
    <row r="7595" spans="1:7" hidden="1" x14ac:dyDescent="0.75">
      <c r="A7595" s="51">
        <v>44928</v>
      </c>
      <c r="B7595" s="52">
        <v>1362</v>
      </c>
      <c r="C7595" s="8" t="s">
        <v>3242</v>
      </c>
      <c r="D7595" s="8" t="s">
        <v>788</v>
      </c>
      <c r="E7595" s="52">
        <v>1434</v>
      </c>
      <c r="F7595" s="13"/>
      <c r="G7595" s="13">
        <v>233.78</v>
      </c>
    </row>
    <row r="7596" spans="1:7" hidden="1" x14ac:dyDescent="0.75">
      <c r="A7596" s="51">
        <v>44928</v>
      </c>
      <c r="B7596" s="52">
        <v>1362</v>
      </c>
      <c r="C7596" s="8" t="s">
        <v>3243</v>
      </c>
      <c r="D7596" s="8" t="s">
        <v>788</v>
      </c>
      <c r="E7596" s="52">
        <v>1434</v>
      </c>
      <c r="F7596" s="13"/>
      <c r="G7596" s="13">
        <v>60.1</v>
      </c>
    </row>
    <row r="7597" spans="1:7" hidden="1" x14ac:dyDescent="0.75">
      <c r="A7597" s="51">
        <v>44928</v>
      </c>
      <c r="B7597" s="52">
        <v>1362</v>
      </c>
      <c r="C7597" s="8" t="s">
        <v>3244</v>
      </c>
      <c r="D7597" s="8" t="s">
        <v>788</v>
      </c>
      <c r="E7597" s="52">
        <v>1434</v>
      </c>
      <c r="F7597" s="13"/>
      <c r="G7597" s="13">
        <v>34.4</v>
      </c>
    </row>
    <row r="7598" spans="1:7" hidden="1" x14ac:dyDescent="0.75">
      <c r="A7598" s="51">
        <v>44928</v>
      </c>
      <c r="B7598" s="52">
        <v>1362</v>
      </c>
      <c r="C7598" s="8" t="s">
        <v>3245</v>
      </c>
      <c r="D7598" s="8" t="s">
        <v>788</v>
      </c>
      <c r="E7598" s="52">
        <v>1434</v>
      </c>
      <c r="F7598" s="13"/>
      <c r="G7598" s="13">
        <v>64.099999999999994</v>
      </c>
    </row>
    <row r="7599" spans="1:7" hidden="1" x14ac:dyDescent="0.75">
      <c r="A7599" s="51">
        <v>44928</v>
      </c>
      <c r="B7599" s="52">
        <v>1362</v>
      </c>
      <c r="C7599" s="8" t="s">
        <v>3246</v>
      </c>
      <c r="D7599" s="8" t="s">
        <v>788</v>
      </c>
      <c r="E7599" s="52">
        <v>1434</v>
      </c>
      <c r="F7599" s="13"/>
      <c r="G7599" s="13">
        <v>82.9</v>
      </c>
    </row>
    <row r="7600" spans="1:7" hidden="1" x14ac:dyDescent="0.75">
      <c r="A7600" s="51">
        <v>44928</v>
      </c>
      <c r="B7600" s="52">
        <v>1362</v>
      </c>
      <c r="C7600" s="8" t="s">
        <v>3247</v>
      </c>
      <c r="D7600" s="8" t="s">
        <v>788</v>
      </c>
      <c r="E7600" s="52">
        <v>1434</v>
      </c>
      <c r="F7600" s="13"/>
      <c r="G7600" s="13">
        <v>64.099999999999994</v>
      </c>
    </row>
    <row r="7601" spans="1:7" hidden="1" x14ac:dyDescent="0.75">
      <c r="A7601" s="51">
        <v>44928</v>
      </c>
      <c r="B7601" s="52">
        <v>1362</v>
      </c>
      <c r="C7601" s="8" t="s">
        <v>3248</v>
      </c>
      <c r="D7601" s="8" t="s">
        <v>788</v>
      </c>
      <c r="E7601" s="52">
        <v>1434</v>
      </c>
      <c r="F7601" s="13"/>
      <c r="G7601" s="13">
        <v>71.5</v>
      </c>
    </row>
    <row r="7602" spans="1:7" hidden="1" x14ac:dyDescent="0.75">
      <c r="A7602" s="51">
        <v>44928</v>
      </c>
      <c r="B7602" s="52">
        <v>1362</v>
      </c>
      <c r="C7602" s="8" t="s">
        <v>3249</v>
      </c>
      <c r="D7602" s="8" t="s">
        <v>788</v>
      </c>
      <c r="E7602" s="52">
        <v>1434</v>
      </c>
      <c r="F7602" s="13"/>
      <c r="G7602" s="13">
        <v>58.7</v>
      </c>
    </row>
    <row r="7603" spans="1:7" hidden="1" x14ac:dyDescent="0.75">
      <c r="A7603" s="51">
        <v>44928</v>
      </c>
      <c r="B7603" s="52">
        <v>1362</v>
      </c>
      <c r="C7603" s="8" t="s">
        <v>3250</v>
      </c>
      <c r="D7603" s="8" t="s">
        <v>788</v>
      </c>
      <c r="E7603" s="52">
        <v>1434</v>
      </c>
      <c r="F7603" s="13"/>
      <c r="G7603" s="13">
        <v>154</v>
      </c>
    </row>
    <row r="7604" spans="1:7" hidden="1" x14ac:dyDescent="0.75">
      <c r="A7604" s="51">
        <v>44928</v>
      </c>
      <c r="B7604" s="52">
        <v>1362</v>
      </c>
      <c r="C7604" s="8" t="s">
        <v>3251</v>
      </c>
      <c r="D7604" s="8" t="s">
        <v>788</v>
      </c>
      <c r="E7604" s="52">
        <v>1434</v>
      </c>
      <c r="F7604" s="13"/>
      <c r="G7604" s="13">
        <v>94.2</v>
      </c>
    </row>
    <row r="7605" spans="1:7" hidden="1" x14ac:dyDescent="0.75">
      <c r="A7605" s="51">
        <v>44928</v>
      </c>
      <c r="B7605" s="52">
        <v>1362</v>
      </c>
      <c r="C7605" s="8" t="s">
        <v>3252</v>
      </c>
      <c r="D7605" s="8" t="s">
        <v>788</v>
      </c>
      <c r="E7605" s="52">
        <v>1434</v>
      </c>
      <c r="F7605" s="13"/>
      <c r="G7605" s="13">
        <v>189.1</v>
      </c>
    </row>
    <row r="7606" spans="1:7" hidden="1" x14ac:dyDescent="0.75">
      <c r="A7606" s="51">
        <v>44928</v>
      </c>
      <c r="B7606" s="52">
        <v>1362</v>
      </c>
      <c r="C7606" s="8" t="s">
        <v>3253</v>
      </c>
      <c r="D7606" s="8" t="s">
        <v>788</v>
      </c>
      <c r="E7606" s="52">
        <v>1434</v>
      </c>
      <c r="F7606" s="13"/>
      <c r="G7606" s="13">
        <v>94.9</v>
      </c>
    </row>
    <row r="7607" spans="1:7" hidden="1" x14ac:dyDescent="0.75">
      <c r="A7607" s="51">
        <v>44928</v>
      </c>
      <c r="B7607" s="52">
        <v>1362</v>
      </c>
      <c r="C7607" s="8" t="s">
        <v>3254</v>
      </c>
      <c r="D7607" s="8" t="s">
        <v>788</v>
      </c>
      <c r="E7607" s="52">
        <v>1434</v>
      </c>
      <c r="F7607" s="13"/>
      <c r="G7607" s="13">
        <v>66.7</v>
      </c>
    </row>
    <row r="7608" spans="1:7" hidden="1" x14ac:dyDescent="0.75">
      <c r="A7608" s="51">
        <v>44928</v>
      </c>
      <c r="B7608" s="52">
        <v>1362</v>
      </c>
      <c r="C7608" s="8" t="s">
        <v>3255</v>
      </c>
      <c r="D7608" s="8" t="s">
        <v>788</v>
      </c>
      <c r="E7608" s="52">
        <v>1434</v>
      </c>
      <c r="F7608" s="13"/>
      <c r="G7608" s="13">
        <v>160</v>
      </c>
    </row>
    <row r="7609" spans="1:7" hidden="1" x14ac:dyDescent="0.75">
      <c r="A7609" s="51">
        <v>44928</v>
      </c>
      <c r="B7609" s="52">
        <v>1362</v>
      </c>
      <c r="C7609" s="8" t="s">
        <v>3256</v>
      </c>
      <c r="D7609" s="8" t="s">
        <v>788</v>
      </c>
      <c r="E7609" s="52">
        <v>1434</v>
      </c>
      <c r="F7609" s="13"/>
      <c r="G7609" s="13">
        <v>480</v>
      </c>
    </row>
    <row r="7610" spans="1:7" hidden="1" x14ac:dyDescent="0.75">
      <c r="A7610" s="51">
        <v>44928</v>
      </c>
      <c r="B7610" s="52">
        <v>1362</v>
      </c>
      <c r="C7610" s="8" t="s">
        <v>3257</v>
      </c>
      <c r="D7610" s="8" t="s">
        <v>788</v>
      </c>
      <c r="E7610" s="52">
        <v>1434</v>
      </c>
      <c r="F7610" s="13"/>
      <c r="G7610" s="13">
        <v>1080</v>
      </c>
    </row>
    <row r="7611" spans="1:7" hidden="1" x14ac:dyDescent="0.75">
      <c r="A7611" s="51">
        <v>44928</v>
      </c>
      <c r="B7611" s="52">
        <v>1362</v>
      </c>
      <c r="C7611" s="8" t="s">
        <v>3258</v>
      </c>
      <c r="D7611" s="8" t="s">
        <v>788</v>
      </c>
      <c r="E7611" s="52">
        <v>1434</v>
      </c>
      <c r="F7611" s="13"/>
      <c r="G7611" s="13">
        <v>1190</v>
      </c>
    </row>
    <row r="7612" spans="1:7" hidden="1" x14ac:dyDescent="0.75">
      <c r="A7612" s="51">
        <v>44928</v>
      </c>
      <c r="B7612" s="52">
        <v>1362</v>
      </c>
      <c r="C7612" s="8" t="s">
        <v>3259</v>
      </c>
      <c r="D7612" s="8" t="s">
        <v>788</v>
      </c>
      <c r="E7612" s="52">
        <v>1434</v>
      </c>
      <c r="F7612" s="13"/>
      <c r="G7612" s="13">
        <v>12555</v>
      </c>
    </row>
    <row r="7613" spans="1:7" hidden="1" x14ac:dyDescent="0.75">
      <c r="A7613" s="51">
        <v>44928</v>
      </c>
      <c r="B7613" s="52">
        <v>1362</v>
      </c>
      <c r="C7613" s="8" t="s">
        <v>4601</v>
      </c>
      <c r="D7613" s="8" t="s">
        <v>788</v>
      </c>
      <c r="E7613" s="52">
        <v>1292</v>
      </c>
      <c r="F7613" s="13"/>
      <c r="G7613" s="13">
        <v>65.06</v>
      </c>
    </row>
    <row r="7614" spans="1:7" hidden="1" x14ac:dyDescent="0.75">
      <c r="A7614" s="51">
        <v>44928</v>
      </c>
      <c r="B7614" s="52">
        <v>1362</v>
      </c>
      <c r="C7614" s="8" t="s">
        <v>4602</v>
      </c>
      <c r="D7614" s="8" t="s">
        <v>788</v>
      </c>
      <c r="E7614" s="52">
        <v>1292</v>
      </c>
      <c r="F7614" s="13"/>
      <c r="G7614" s="13">
        <v>32.53</v>
      </c>
    </row>
    <row r="7615" spans="1:7" hidden="1" x14ac:dyDescent="0.75">
      <c r="A7615" s="51">
        <v>44928</v>
      </c>
      <c r="B7615" s="52">
        <v>1362</v>
      </c>
      <c r="C7615" s="8" t="s">
        <v>4603</v>
      </c>
      <c r="D7615" s="8" t="s">
        <v>788</v>
      </c>
      <c r="E7615" s="52">
        <v>1292</v>
      </c>
      <c r="F7615" s="13"/>
      <c r="G7615" s="13">
        <v>65.06</v>
      </c>
    </row>
    <row r="7616" spans="1:7" hidden="1" x14ac:dyDescent="0.75">
      <c r="A7616" s="51">
        <v>44928</v>
      </c>
      <c r="B7616" s="52">
        <v>1362</v>
      </c>
      <c r="C7616" s="8" t="s">
        <v>4604</v>
      </c>
      <c r="D7616" s="8" t="s">
        <v>788</v>
      </c>
      <c r="E7616" s="52">
        <v>1292</v>
      </c>
      <c r="F7616" s="13"/>
      <c r="G7616" s="13">
        <v>65.06</v>
      </c>
    </row>
    <row r="7617" spans="1:7" hidden="1" x14ac:dyDescent="0.75">
      <c r="A7617" s="51">
        <v>44928</v>
      </c>
      <c r="B7617" s="52">
        <v>1362</v>
      </c>
      <c r="C7617" s="8" t="s">
        <v>4605</v>
      </c>
      <c r="D7617" s="8" t="s">
        <v>788</v>
      </c>
      <c r="E7617" s="52">
        <v>1292</v>
      </c>
      <c r="F7617" s="13"/>
      <c r="G7617" s="13">
        <v>32.53</v>
      </c>
    </row>
    <row r="7618" spans="1:7" hidden="1" x14ac:dyDescent="0.75">
      <c r="A7618" s="51">
        <v>44928</v>
      </c>
      <c r="B7618" s="52">
        <v>1362</v>
      </c>
      <c r="C7618" s="8" t="s">
        <v>4606</v>
      </c>
      <c r="D7618" s="8" t="s">
        <v>788</v>
      </c>
      <c r="E7618" s="52">
        <v>1292</v>
      </c>
      <c r="F7618" s="13"/>
      <c r="G7618" s="13">
        <v>65.06</v>
      </c>
    </row>
    <row r="7619" spans="1:7" hidden="1" x14ac:dyDescent="0.75">
      <c r="A7619" s="51">
        <v>44928</v>
      </c>
      <c r="B7619" s="52">
        <v>1362</v>
      </c>
      <c r="C7619" s="8" t="s">
        <v>4607</v>
      </c>
      <c r="D7619" s="8" t="s">
        <v>788</v>
      </c>
      <c r="E7619" s="52">
        <v>1292</v>
      </c>
      <c r="F7619" s="13"/>
      <c r="G7619" s="13">
        <v>32.53</v>
      </c>
    </row>
    <row r="7620" spans="1:7" hidden="1" x14ac:dyDescent="0.75">
      <c r="A7620" s="51">
        <v>44928</v>
      </c>
      <c r="B7620" s="52">
        <v>1362</v>
      </c>
      <c r="C7620" s="8" t="s">
        <v>4608</v>
      </c>
      <c r="D7620" s="8" t="s">
        <v>788</v>
      </c>
      <c r="E7620" s="52">
        <v>1292</v>
      </c>
      <c r="F7620" s="13"/>
      <c r="G7620" s="13">
        <v>65.06</v>
      </c>
    </row>
    <row r="7621" spans="1:7" hidden="1" x14ac:dyDescent="0.75">
      <c r="A7621" s="51">
        <v>44928</v>
      </c>
      <c r="B7621" s="52">
        <v>1362</v>
      </c>
      <c r="C7621" s="8" t="s">
        <v>4609</v>
      </c>
      <c r="D7621" s="8" t="s">
        <v>788</v>
      </c>
      <c r="E7621" s="52">
        <v>1292</v>
      </c>
      <c r="F7621" s="13"/>
      <c r="G7621" s="13">
        <v>65.06</v>
      </c>
    </row>
    <row r="7622" spans="1:7" hidden="1" x14ac:dyDescent="0.75">
      <c r="A7622" s="51">
        <v>44928</v>
      </c>
      <c r="B7622" s="52">
        <v>1362</v>
      </c>
      <c r="C7622" s="8" t="s">
        <v>4610</v>
      </c>
      <c r="D7622" s="8" t="s">
        <v>788</v>
      </c>
      <c r="E7622" s="52">
        <v>1292</v>
      </c>
      <c r="F7622" s="13"/>
      <c r="G7622" s="13">
        <v>32.53</v>
      </c>
    </row>
    <row r="7623" spans="1:7" hidden="1" x14ac:dyDescent="0.75">
      <c r="A7623" s="51">
        <v>44928</v>
      </c>
      <c r="B7623" s="52">
        <v>1362</v>
      </c>
      <c r="C7623" s="8" t="s">
        <v>4611</v>
      </c>
      <c r="D7623" s="8" t="s">
        <v>788</v>
      </c>
      <c r="E7623" s="52">
        <v>1292</v>
      </c>
      <c r="F7623" s="13"/>
      <c r="G7623" s="13">
        <v>32.53</v>
      </c>
    </row>
    <row r="7624" spans="1:7" hidden="1" x14ac:dyDescent="0.75">
      <c r="A7624" s="51">
        <v>44928</v>
      </c>
      <c r="B7624" s="52">
        <v>1362</v>
      </c>
      <c r="C7624" s="8" t="s">
        <v>4612</v>
      </c>
      <c r="D7624" s="8" t="s">
        <v>788</v>
      </c>
      <c r="E7624" s="52">
        <v>1292</v>
      </c>
      <c r="F7624" s="13"/>
      <c r="G7624" s="13">
        <v>65.06</v>
      </c>
    </row>
    <row r="7625" spans="1:7" hidden="1" x14ac:dyDescent="0.75">
      <c r="A7625" s="51">
        <v>44928</v>
      </c>
      <c r="B7625" s="52">
        <v>1362</v>
      </c>
      <c r="C7625" s="8" t="s">
        <v>4613</v>
      </c>
      <c r="D7625" s="8" t="s">
        <v>788</v>
      </c>
      <c r="E7625" s="52">
        <v>1292</v>
      </c>
      <c r="F7625" s="13"/>
      <c r="G7625" s="13">
        <v>32.53</v>
      </c>
    </row>
    <row r="7626" spans="1:7" hidden="1" x14ac:dyDescent="0.75">
      <c r="A7626" s="51">
        <v>44928</v>
      </c>
      <c r="B7626" s="52">
        <v>1362</v>
      </c>
      <c r="C7626" s="8" t="s">
        <v>4614</v>
      </c>
      <c r="D7626" s="8" t="s">
        <v>788</v>
      </c>
      <c r="E7626" s="52">
        <v>1292</v>
      </c>
      <c r="F7626" s="13"/>
      <c r="G7626" s="13">
        <v>65.06</v>
      </c>
    </row>
    <row r="7627" spans="1:7" hidden="1" x14ac:dyDescent="0.75">
      <c r="A7627" s="51">
        <v>44928</v>
      </c>
      <c r="B7627" s="52">
        <v>1362</v>
      </c>
      <c r="C7627" s="8" t="s">
        <v>4615</v>
      </c>
      <c r="D7627" s="8" t="s">
        <v>788</v>
      </c>
      <c r="E7627" s="52">
        <v>1292</v>
      </c>
      <c r="F7627" s="13"/>
      <c r="G7627" s="13">
        <v>32.53</v>
      </c>
    </row>
    <row r="7628" spans="1:7" hidden="1" x14ac:dyDescent="0.75">
      <c r="A7628" s="51">
        <v>44928</v>
      </c>
      <c r="B7628" s="52">
        <v>1362</v>
      </c>
      <c r="C7628" s="8" t="s">
        <v>3155</v>
      </c>
      <c r="D7628" s="8" t="s">
        <v>788</v>
      </c>
      <c r="E7628" s="52">
        <v>1427</v>
      </c>
      <c r="F7628" s="13"/>
      <c r="G7628" s="13">
        <v>6913.35</v>
      </c>
    </row>
    <row r="7629" spans="1:7" hidden="1" x14ac:dyDescent="0.75">
      <c r="A7629" s="51">
        <v>44930</v>
      </c>
      <c r="B7629" s="52">
        <v>1362</v>
      </c>
      <c r="C7629" s="8" t="s">
        <v>2876</v>
      </c>
      <c r="D7629" s="8" t="s">
        <v>788</v>
      </c>
      <c r="E7629" s="52">
        <v>1508</v>
      </c>
      <c r="F7629" s="13">
        <v>2368.9</v>
      </c>
      <c r="G7629" s="13"/>
    </row>
    <row r="7630" spans="1:7" hidden="1" x14ac:dyDescent="0.75">
      <c r="A7630" s="51">
        <v>44930</v>
      </c>
      <c r="B7630" s="52">
        <v>1362</v>
      </c>
      <c r="C7630" s="8" t="s">
        <v>2876</v>
      </c>
      <c r="D7630" s="8" t="s">
        <v>788</v>
      </c>
      <c r="E7630" s="52">
        <v>1508</v>
      </c>
      <c r="F7630" s="13">
        <v>2102.1999999999998</v>
      </c>
      <c r="G7630" s="13"/>
    </row>
    <row r="7631" spans="1:7" hidden="1" x14ac:dyDescent="0.75">
      <c r="A7631" s="51">
        <v>44930</v>
      </c>
      <c r="B7631" s="52">
        <v>1362</v>
      </c>
      <c r="C7631" s="8" t="s">
        <v>2876</v>
      </c>
      <c r="D7631" s="8" t="s">
        <v>788</v>
      </c>
      <c r="E7631" s="52">
        <v>1508</v>
      </c>
      <c r="F7631" s="13">
        <v>2774.7</v>
      </c>
      <c r="G7631" s="13"/>
    </row>
    <row r="7632" spans="1:7" hidden="1" x14ac:dyDescent="0.75">
      <c r="A7632" s="51">
        <v>44930</v>
      </c>
      <c r="B7632" s="52">
        <v>1362</v>
      </c>
      <c r="C7632" s="8" t="s">
        <v>2876</v>
      </c>
      <c r="D7632" s="8" t="s">
        <v>788</v>
      </c>
      <c r="E7632" s="52">
        <v>1508</v>
      </c>
      <c r="F7632" s="13">
        <v>2527</v>
      </c>
      <c r="G7632" s="13"/>
    </row>
    <row r="7633" spans="1:7" hidden="1" x14ac:dyDescent="0.75">
      <c r="A7633" s="51">
        <v>44930</v>
      </c>
      <c r="B7633" s="52">
        <v>1362</v>
      </c>
      <c r="C7633" s="8" t="s">
        <v>2877</v>
      </c>
      <c r="D7633" s="8" t="s">
        <v>788</v>
      </c>
      <c r="E7633" s="52">
        <v>1508</v>
      </c>
      <c r="F7633" s="13">
        <v>1614.53</v>
      </c>
      <c r="G7633" s="13"/>
    </row>
    <row r="7634" spans="1:7" hidden="1" x14ac:dyDescent="0.75">
      <c r="A7634" s="51">
        <v>44930</v>
      </c>
      <c r="B7634" s="52">
        <v>1362</v>
      </c>
      <c r="C7634" s="8" t="s">
        <v>2878</v>
      </c>
      <c r="D7634" s="8" t="s">
        <v>788</v>
      </c>
      <c r="E7634" s="52">
        <v>1508</v>
      </c>
      <c r="F7634" s="13">
        <v>2618.1999999999998</v>
      </c>
      <c r="G7634" s="13"/>
    </row>
    <row r="7635" spans="1:7" hidden="1" x14ac:dyDescent="0.75">
      <c r="A7635" s="51">
        <v>44930</v>
      </c>
      <c r="B7635" s="52">
        <v>1362</v>
      </c>
      <c r="C7635" s="8" t="s">
        <v>2879</v>
      </c>
      <c r="D7635" s="8" t="s">
        <v>788</v>
      </c>
      <c r="E7635" s="52">
        <v>1508</v>
      </c>
      <c r="F7635" s="13">
        <v>1160.33</v>
      </c>
      <c r="G7635" s="13"/>
    </row>
    <row r="7636" spans="1:7" hidden="1" x14ac:dyDescent="0.75">
      <c r="A7636" s="51">
        <v>44930</v>
      </c>
      <c r="B7636" s="52">
        <v>1362</v>
      </c>
      <c r="C7636" s="8" t="s">
        <v>2880</v>
      </c>
      <c r="D7636" s="8" t="s">
        <v>788</v>
      </c>
      <c r="E7636" s="52">
        <v>1508</v>
      </c>
      <c r="F7636" s="13">
        <v>1780.78</v>
      </c>
      <c r="G7636" s="13"/>
    </row>
    <row r="7637" spans="1:7" hidden="1" x14ac:dyDescent="0.75">
      <c r="A7637" s="51">
        <v>44930</v>
      </c>
      <c r="B7637" s="52">
        <v>1362</v>
      </c>
      <c r="C7637" s="8" t="s">
        <v>2881</v>
      </c>
      <c r="D7637" s="8" t="s">
        <v>788</v>
      </c>
      <c r="E7637" s="52">
        <v>1508</v>
      </c>
      <c r="F7637" s="13">
        <v>975.37</v>
      </c>
      <c r="G7637" s="13"/>
    </row>
    <row r="7638" spans="1:7" hidden="1" x14ac:dyDescent="0.75">
      <c r="A7638" s="51">
        <v>44930</v>
      </c>
      <c r="B7638" s="52">
        <v>1362</v>
      </c>
      <c r="C7638" s="8" t="s">
        <v>3188</v>
      </c>
      <c r="D7638" s="8" t="s">
        <v>788</v>
      </c>
      <c r="E7638" s="52">
        <v>1946</v>
      </c>
      <c r="F7638" s="13">
        <v>110.83</v>
      </c>
      <c r="G7638" s="13"/>
    </row>
    <row r="7639" spans="1:7" hidden="1" x14ac:dyDescent="0.75">
      <c r="A7639" s="51">
        <v>44930</v>
      </c>
      <c r="B7639" s="52">
        <v>1362</v>
      </c>
      <c r="C7639" s="8" t="s">
        <v>1481</v>
      </c>
      <c r="D7639" s="8" t="s">
        <v>788</v>
      </c>
      <c r="E7639" s="52">
        <v>8</v>
      </c>
      <c r="F7639" s="13"/>
      <c r="G7639" s="13">
        <v>14145.09</v>
      </c>
    </row>
    <row r="7640" spans="1:7" hidden="1" x14ac:dyDescent="0.75">
      <c r="A7640" s="51">
        <v>44930</v>
      </c>
      <c r="B7640" s="52">
        <v>1362</v>
      </c>
      <c r="C7640" s="8" t="s">
        <v>3427</v>
      </c>
      <c r="D7640" s="8" t="s">
        <v>788</v>
      </c>
      <c r="E7640" s="52">
        <v>1523</v>
      </c>
      <c r="F7640" s="13"/>
      <c r="G7640" s="13">
        <v>54</v>
      </c>
    </row>
    <row r="7641" spans="1:7" hidden="1" x14ac:dyDescent="0.75">
      <c r="A7641" s="51">
        <v>44930</v>
      </c>
      <c r="B7641" s="52">
        <v>1362</v>
      </c>
      <c r="C7641" s="8" t="s">
        <v>3428</v>
      </c>
      <c r="D7641" s="8" t="s">
        <v>788</v>
      </c>
      <c r="E7641" s="52">
        <v>1523</v>
      </c>
      <c r="F7641" s="13"/>
      <c r="G7641" s="13">
        <v>75</v>
      </c>
    </row>
    <row r="7642" spans="1:7" hidden="1" x14ac:dyDescent="0.75">
      <c r="A7642" s="51">
        <v>44930</v>
      </c>
      <c r="B7642" s="52">
        <v>1362</v>
      </c>
      <c r="C7642" s="8" t="s">
        <v>3429</v>
      </c>
      <c r="D7642" s="8" t="s">
        <v>788</v>
      </c>
      <c r="E7642" s="52">
        <v>1523</v>
      </c>
      <c r="F7642" s="13"/>
      <c r="G7642" s="13">
        <v>267</v>
      </c>
    </row>
    <row r="7643" spans="1:7" hidden="1" x14ac:dyDescent="0.75">
      <c r="A7643" s="51">
        <v>44930</v>
      </c>
      <c r="B7643" s="52">
        <v>1362</v>
      </c>
      <c r="C7643" s="8" t="s">
        <v>3430</v>
      </c>
      <c r="D7643" s="8" t="s">
        <v>788</v>
      </c>
      <c r="E7643" s="52">
        <v>1523</v>
      </c>
      <c r="F7643" s="13"/>
      <c r="G7643" s="13">
        <v>68.099999999999994</v>
      </c>
    </row>
    <row r="7644" spans="1:7" hidden="1" x14ac:dyDescent="0.75">
      <c r="A7644" s="51">
        <v>44930</v>
      </c>
      <c r="B7644" s="52">
        <v>1362</v>
      </c>
      <c r="C7644" s="8" t="s">
        <v>3431</v>
      </c>
      <c r="D7644" s="8" t="s">
        <v>788</v>
      </c>
      <c r="E7644" s="52">
        <v>1523</v>
      </c>
      <c r="F7644" s="13"/>
      <c r="G7644" s="13">
        <v>74.3</v>
      </c>
    </row>
    <row r="7645" spans="1:7" hidden="1" x14ac:dyDescent="0.75">
      <c r="A7645" s="51">
        <v>44930</v>
      </c>
      <c r="B7645" s="52">
        <v>1362</v>
      </c>
      <c r="C7645" s="8" t="s">
        <v>3432</v>
      </c>
      <c r="D7645" s="8" t="s">
        <v>788</v>
      </c>
      <c r="E7645" s="52">
        <v>1523</v>
      </c>
      <c r="F7645" s="13"/>
      <c r="G7645" s="13">
        <v>367.1</v>
      </c>
    </row>
    <row r="7646" spans="1:7" hidden="1" x14ac:dyDescent="0.75">
      <c r="A7646" s="51">
        <v>44930</v>
      </c>
      <c r="B7646" s="52">
        <v>1362</v>
      </c>
      <c r="C7646" s="8" t="s">
        <v>3433</v>
      </c>
      <c r="D7646" s="8" t="s">
        <v>788</v>
      </c>
      <c r="E7646" s="52">
        <v>1523</v>
      </c>
      <c r="F7646" s="13"/>
      <c r="G7646" s="13">
        <v>4.8</v>
      </c>
    </row>
    <row r="7647" spans="1:7" hidden="1" x14ac:dyDescent="0.75">
      <c r="A7647" s="51">
        <v>44930</v>
      </c>
      <c r="B7647" s="52">
        <v>1362</v>
      </c>
      <c r="C7647" s="8" t="s">
        <v>3434</v>
      </c>
      <c r="D7647" s="8" t="s">
        <v>788</v>
      </c>
      <c r="E7647" s="52">
        <v>1523</v>
      </c>
      <c r="F7647" s="13"/>
      <c r="G7647" s="13">
        <v>91.6</v>
      </c>
    </row>
    <row r="7648" spans="1:7" hidden="1" x14ac:dyDescent="0.75">
      <c r="A7648" s="51">
        <v>44930</v>
      </c>
      <c r="B7648" s="52">
        <v>1362</v>
      </c>
      <c r="C7648" s="8" t="s">
        <v>3435</v>
      </c>
      <c r="D7648" s="8" t="s">
        <v>788</v>
      </c>
      <c r="E7648" s="52">
        <v>1523</v>
      </c>
      <c r="F7648" s="13"/>
      <c r="G7648" s="13">
        <v>43</v>
      </c>
    </row>
    <row r="7649" spans="1:7" hidden="1" x14ac:dyDescent="0.75">
      <c r="A7649" s="51">
        <v>44930</v>
      </c>
      <c r="B7649" s="52">
        <v>1362</v>
      </c>
      <c r="C7649" s="8" t="s">
        <v>3436</v>
      </c>
      <c r="D7649" s="8" t="s">
        <v>788</v>
      </c>
      <c r="E7649" s="52">
        <v>1523</v>
      </c>
      <c r="F7649" s="13"/>
      <c r="G7649" s="13">
        <v>139.1</v>
      </c>
    </row>
    <row r="7650" spans="1:7" hidden="1" x14ac:dyDescent="0.75">
      <c r="A7650" s="51">
        <v>44930</v>
      </c>
      <c r="B7650" s="52">
        <v>1362</v>
      </c>
      <c r="C7650" s="8" t="s">
        <v>3437</v>
      </c>
      <c r="D7650" s="8" t="s">
        <v>788</v>
      </c>
      <c r="E7650" s="52">
        <v>1523</v>
      </c>
      <c r="F7650" s="13"/>
      <c r="G7650" s="13">
        <v>19.760000000000002</v>
      </c>
    </row>
    <row r="7651" spans="1:7" hidden="1" x14ac:dyDescent="0.75">
      <c r="A7651" s="51">
        <v>44930</v>
      </c>
      <c r="B7651" s="52">
        <v>1362</v>
      </c>
      <c r="C7651" s="8" t="s">
        <v>3438</v>
      </c>
      <c r="D7651" s="8" t="s">
        <v>788</v>
      </c>
      <c r="E7651" s="52">
        <v>1523</v>
      </c>
      <c r="F7651" s="13"/>
      <c r="G7651" s="13">
        <v>60</v>
      </c>
    </row>
    <row r="7652" spans="1:7" hidden="1" x14ac:dyDescent="0.75">
      <c r="A7652" s="51">
        <v>44930</v>
      </c>
      <c r="B7652" s="52">
        <v>1362</v>
      </c>
      <c r="C7652" s="8" t="s">
        <v>3439</v>
      </c>
      <c r="D7652" s="8" t="s">
        <v>788</v>
      </c>
      <c r="E7652" s="52">
        <v>1523</v>
      </c>
      <c r="F7652" s="13"/>
      <c r="G7652" s="13">
        <v>545.4</v>
      </c>
    </row>
    <row r="7653" spans="1:7" hidden="1" x14ac:dyDescent="0.75">
      <c r="A7653" s="51">
        <v>44930</v>
      </c>
      <c r="B7653" s="52">
        <v>1362</v>
      </c>
      <c r="C7653" s="8" t="s">
        <v>3440</v>
      </c>
      <c r="D7653" s="8" t="s">
        <v>788</v>
      </c>
      <c r="E7653" s="52">
        <v>1523</v>
      </c>
      <c r="F7653" s="13"/>
      <c r="G7653" s="13">
        <v>62</v>
      </c>
    </row>
    <row r="7654" spans="1:7" hidden="1" x14ac:dyDescent="0.75">
      <c r="A7654" s="51">
        <v>44930</v>
      </c>
      <c r="B7654" s="52">
        <v>1362</v>
      </c>
      <c r="C7654" s="8" t="s">
        <v>3441</v>
      </c>
      <c r="D7654" s="8" t="s">
        <v>788</v>
      </c>
      <c r="E7654" s="52">
        <v>1523</v>
      </c>
      <c r="F7654" s="13"/>
      <c r="G7654" s="13">
        <v>14</v>
      </c>
    </row>
    <row r="7655" spans="1:7" hidden="1" x14ac:dyDescent="0.75">
      <c r="A7655" s="51">
        <v>44930</v>
      </c>
      <c r="B7655" s="52">
        <v>1362</v>
      </c>
      <c r="C7655" s="8" t="s">
        <v>3442</v>
      </c>
      <c r="D7655" s="8" t="s">
        <v>788</v>
      </c>
      <c r="E7655" s="52">
        <v>1523</v>
      </c>
      <c r="F7655" s="13"/>
      <c r="G7655" s="13">
        <v>28.8</v>
      </c>
    </row>
    <row r="7656" spans="1:7" hidden="1" x14ac:dyDescent="0.75">
      <c r="A7656" s="51">
        <v>44930</v>
      </c>
      <c r="B7656" s="52">
        <v>1362</v>
      </c>
      <c r="C7656" s="8" t="s">
        <v>3443</v>
      </c>
      <c r="D7656" s="8" t="s">
        <v>788</v>
      </c>
      <c r="E7656" s="52">
        <v>1523</v>
      </c>
      <c r="F7656" s="13"/>
      <c r="G7656" s="13">
        <v>14.2</v>
      </c>
    </row>
    <row r="7657" spans="1:7" hidden="1" x14ac:dyDescent="0.75">
      <c r="A7657" s="51">
        <v>44930</v>
      </c>
      <c r="B7657" s="52">
        <v>1362</v>
      </c>
      <c r="C7657" s="8" t="s">
        <v>3444</v>
      </c>
      <c r="D7657" s="8" t="s">
        <v>788</v>
      </c>
      <c r="E7657" s="52">
        <v>1523</v>
      </c>
      <c r="F7657" s="13"/>
      <c r="G7657" s="13">
        <v>147.9</v>
      </c>
    </row>
    <row r="7658" spans="1:7" hidden="1" x14ac:dyDescent="0.75">
      <c r="A7658" s="51">
        <v>44930</v>
      </c>
      <c r="B7658" s="52">
        <v>1362</v>
      </c>
      <c r="C7658" s="8" t="s">
        <v>3445</v>
      </c>
      <c r="D7658" s="8" t="s">
        <v>788</v>
      </c>
      <c r="E7658" s="52">
        <v>1523</v>
      </c>
      <c r="F7658" s="13"/>
      <c r="G7658" s="13">
        <v>12</v>
      </c>
    </row>
    <row r="7659" spans="1:7" hidden="1" x14ac:dyDescent="0.75">
      <c r="A7659" s="51">
        <v>44930</v>
      </c>
      <c r="B7659" s="52">
        <v>1362</v>
      </c>
      <c r="C7659" s="8" t="s">
        <v>3446</v>
      </c>
      <c r="D7659" s="8" t="s">
        <v>788</v>
      </c>
      <c r="E7659" s="52">
        <v>1523</v>
      </c>
      <c r="F7659" s="13"/>
      <c r="G7659" s="13">
        <v>121.6</v>
      </c>
    </row>
    <row r="7660" spans="1:7" hidden="1" x14ac:dyDescent="0.75">
      <c r="A7660" s="51">
        <v>44930</v>
      </c>
      <c r="B7660" s="52">
        <v>1362</v>
      </c>
      <c r="C7660" s="8" t="s">
        <v>3447</v>
      </c>
      <c r="D7660" s="8" t="s">
        <v>788</v>
      </c>
      <c r="E7660" s="52">
        <v>1523</v>
      </c>
      <c r="F7660" s="13"/>
      <c r="G7660" s="13">
        <v>6.9</v>
      </c>
    </row>
    <row r="7661" spans="1:7" hidden="1" x14ac:dyDescent="0.75">
      <c r="A7661" s="51">
        <v>44930</v>
      </c>
      <c r="B7661" s="52">
        <v>1362</v>
      </c>
      <c r="C7661" s="8" t="s">
        <v>3448</v>
      </c>
      <c r="D7661" s="8" t="s">
        <v>788</v>
      </c>
      <c r="E7661" s="52">
        <v>1523</v>
      </c>
      <c r="F7661" s="13"/>
      <c r="G7661" s="13">
        <v>8.64</v>
      </c>
    </row>
    <row r="7662" spans="1:7" hidden="1" x14ac:dyDescent="0.75">
      <c r="A7662" s="51">
        <v>44930</v>
      </c>
      <c r="B7662" s="52">
        <v>1362</v>
      </c>
      <c r="C7662" s="8" t="s">
        <v>3186</v>
      </c>
      <c r="D7662" s="8" t="s">
        <v>788</v>
      </c>
      <c r="E7662" s="52">
        <v>1946</v>
      </c>
      <c r="F7662" s="13"/>
      <c r="G7662" s="13">
        <v>1077.3499999999999</v>
      </c>
    </row>
    <row r="7663" spans="1:7" hidden="1" x14ac:dyDescent="0.75">
      <c r="A7663" s="51">
        <v>44930</v>
      </c>
      <c r="B7663" s="52">
        <v>1362</v>
      </c>
      <c r="C7663" s="8" t="s">
        <v>3187</v>
      </c>
      <c r="D7663" s="8" t="s">
        <v>788</v>
      </c>
      <c r="E7663" s="52">
        <v>1946</v>
      </c>
      <c r="F7663" s="13"/>
      <c r="G7663" s="13">
        <v>585.20000000000005</v>
      </c>
    </row>
    <row r="7664" spans="1:7" hidden="1" x14ac:dyDescent="0.75">
      <c r="A7664" s="51">
        <v>44931</v>
      </c>
      <c r="B7664" s="52">
        <v>1362</v>
      </c>
      <c r="C7664" s="8" t="s">
        <v>2703</v>
      </c>
      <c r="D7664" s="8" t="s">
        <v>788</v>
      </c>
      <c r="E7664" s="52">
        <v>885</v>
      </c>
      <c r="F7664" s="13">
        <v>1139.3399999999999</v>
      </c>
      <c r="G7664" s="13"/>
    </row>
    <row r="7665" spans="1:7" hidden="1" x14ac:dyDescent="0.75">
      <c r="A7665" s="51">
        <v>44931</v>
      </c>
      <c r="B7665" s="52">
        <v>1362</v>
      </c>
      <c r="C7665" s="8" t="s">
        <v>2787</v>
      </c>
      <c r="D7665" s="8" t="s">
        <v>788</v>
      </c>
      <c r="E7665" s="52">
        <v>1025</v>
      </c>
      <c r="F7665" s="13">
        <v>2339.46</v>
      </c>
      <c r="G7665" s="13"/>
    </row>
    <row r="7666" spans="1:7" hidden="1" x14ac:dyDescent="0.75">
      <c r="A7666" s="51">
        <v>44931</v>
      </c>
      <c r="B7666" s="52">
        <v>1362</v>
      </c>
      <c r="C7666" s="8" t="s">
        <v>2788</v>
      </c>
      <c r="D7666" s="8" t="s">
        <v>788</v>
      </c>
      <c r="E7666" s="52">
        <v>1025</v>
      </c>
      <c r="F7666" s="13">
        <v>407.58</v>
      </c>
      <c r="G7666" s="13"/>
    </row>
    <row r="7667" spans="1:7" hidden="1" x14ac:dyDescent="0.75">
      <c r="A7667" s="51">
        <v>44931</v>
      </c>
      <c r="B7667" s="52">
        <v>1362</v>
      </c>
      <c r="C7667" s="8" t="s">
        <v>2670</v>
      </c>
      <c r="D7667" s="8" t="s">
        <v>788</v>
      </c>
      <c r="E7667" s="52">
        <v>883</v>
      </c>
      <c r="F7667" s="13">
        <v>4424.17</v>
      </c>
      <c r="G7667" s="13"/>
    </row>
    <row r="7668" spans="1:7" hidden="1" x14ac:dyDescent="0.75">
      <c r="A7668" s="51">
        <v>44931</v>
      </c>
      <c r="B7668" s="52">
        <v>1362</v>
      </c>
      <c r="C7668" s="8" t="s">
        <v>2671</v>
      </c>
      <c r="D7668" s="8" t="s">
        <v>788</v>
      </c>
      <c r="E7668" s="52">
        <v>883</v>
      </c>
      <c r="F7668" s="13">
        <v>835.13</v>
      </c>
      <c r="G7668" s="13"/>
    </row>
    <row r="7669" spans="1:7" hidden="1" x14ac:dyDescent="0.75">
      <c r="A7669" s="51">
        <v>44931</v>
      </c>
      <c r="B7669" s="52">
        <v>1362</v>
      </c>
      <c r="C7669" s="8" t="s">
        <v>2741</v>
      </c>
      <c r="D7669" s="8" t="s">
        <v>788</v>
      </c>
      <c r="E7669" s="52">
        <v>884</v>
      </c>
      <c r="F7669" s="13">
        <v>3335.06</v>
      </c>
      <c r="G7669" s="13"/>
    </row>
    <row r="7670" spans="1:7" hidden="1" x14ac:dyDescent="0.75">
      <c r="A7670" s="51">
        <v>44931</v>
      </c>
      <c r="B7670" s="52">
        <v>1362</v>
      </c>
      <c r="C7670" s="8" t="s">
        <v>2742</v>
      </c>
      <c r="D7670" s="8" t="s">
        <v>788</v>
      </c>
      <c r="E7670" s="52">
        <v>884</v>
      </c>
      <c r="F7670" s="13">
        <v>982.18</v>
      </c>
      <c r="G7670" s="13"/>
    </row>
    <row r="7671" spans="1:7" hidden="1" x14ac:dyDescent="0.75">
      <c r="A7671" s="51">
        <v>44931</v>
      </c>
      <c r="B7671" s="52">
        <v>1362</v>
      </c>
      <c r="C7671" s="8" t="s">
        <v>2721</v>
      </c>
      <c r="D7671" s="8" t="s">
        <v>788</v>
      </c>
      <c r="E7671" s="52">
        <v>882</v>
      </c>
      <c r="F7671" s="13">
        <v>265.63</v>
      </c>
      <c r="G7671" s="13"/>
    </row>
    <row r="7672" spans="1:7" hidden="1" x14ac:dyDescent="0.75">
      <c r="A7672" s="51">
        <v>44931</v>
      </c>
      <c r="B7672" s="52">
        <v>1362</v>
      </c>
      <c r="C7672" s="8" t="s">
        <v>2704</v>
      </c>
      <c r="D7672" s="8" t="s">
        <v>788</v>
      </c>
      <c r="E7672" s="52">
        <v>885</v>
      </c>
      <c r="F7672" s="13">
        <v>158.1</v>
      </c>
      <c r="G7672" s="13"/>
    </row>
    <row r="7673" spans="1:7" hidden="1" x14ac:dyDescent="0.75">
      <c r="A7673" s="51">
        <v>44931</v>
      </c>
      <c r="B7673" s="52">
        <v>1362</v>
      </c>
      <c r="C7673" s="8" t="s">
        <v>2789</v>
      </c>
      <c r="D7673" s="8" t="s">
        <v>788</v>
      </c>
      <c r="E7673" s="52">
        <v>1025</v>
      </c>
      <c r="F7673" s="13">
        <v>1819</v>
      </c>
      <c r="G7673" s="13"/>
    </row>
    <row r="7674" spans="1:7" hidden="1" x14ac:dyDescent="0.75">
      <c r="A7674" s="51">
        <v>44931</v>
      </c>
      <c r="B7674" s="52">
        <v>1362</v>
      </c>
      <c r="C7674" s="8" t="s">
        <v>2790</v>
      </c>
      <c r="D7674" s="8" t="s">
        <v>788</v>
      </c>
      <c r="E7674" s="52">
        <v>1025</v>
      </c>
      <c r="F7674" s="13">
        <v>407.58</v>
      </c>
      <c r="G7674" s="13"/>
    </row>
    <row r="7675" spans="1:7" hidden="1" x14ac:dyDescent="0.75">
      <c r="A7675" s="51">
        <v>44931</v>
      </c>
      <c r="B7675" s="52">
        <v>1362</v>
      </c>
      <c r="C7675" s="8" t="s">
        <v>2672</v>
      </c>
      <c r="D7675" s="8" t="s">
        <v>788</v>
      </c>
      <c r="E7675" s="52">
        <v>883</v>
      </c>
      <c r="F7675" s="13">
        <v>4338.1400000000003</v>
      </c>
      <c r="G7675" s="13"/>
    </row>
    <row r="7676" spans="1:7" hidden="1" x14ac:dyDescent="0.75">
      <c r="A7676" s="51">
        <v>44931</v>
      </c>
      <c r="B7676" s="52">
        <v>1362</v>
      </c>
      <c r="C7676" s="8" t="s">
        <v>2673</v>
      </c>
      <c r="D7676" s="8" t="s">
        <v>788</v>
      </c>
      <c r="E7676" s="52">
        <v>883</v>
      </c>
      <c r="F7676" s="13">
        <v>761.6</v>
      </c>
      <c r="G7676" s="13"/>
    </row>
    <row r="7677" spans="1:7" hidden="1" x14ac:dyDescent="0.75">
      <c r="A7677" s="51">
        <v>44931</v>
      </c>
      <c r="B7677" s="52">
        <v>1362</v>
      </c>
      <c r="C7677" s="8" t="s">
        <v>2772</v>
      </c>
      <c r="D7677" s="8" t="s">
        <v>788</v>
      </c>
      <c r="E7677" s="52">
        <v>881</v>
      </c>
      <c r="F7677" s="13">
        <v>491.3</v>
      </c>
      <c r="G7677" s="13"/>
    </row>
    <row r="7678" spans="1:7" hidden="1" x14ac:dyDescent="0.75">
      <c r="A7678" s="51">
        <v>44931</v>
      </c>
      <c r="B7678" s="52">
        <v>1362</v>
      </c>
      <c r="C7678" s="8" t="s">
        <v>2722</v>
      </c>
      <c r="D7678" s="8" t="s">
        <v>788</v>
      </c>
      <c r="E7678" s="52">
        <v>882</v>
      </c>
      <c r="F7678" s="13">
        <v>281.52</v>
      </c>
      <c r="G7678" s="13"/>
    </row>
    <row r="7679" spans="1:7" hidden="1" x14ac:dyDescent="0.75">
      <c r="A7679" s="51">
        <v>44931</v>
      </c>
      <c r="B7679" s="52">
        <v>1362</v>
      </c>
      <c r="C7679" s="8" t="s">
        <v>2743</v>
      </c>
      <c r="D7679" s="8" t="s">
        <v>788</v>
      </c>
      <c r="E7679" s="52">
        <v>884</v>
      </c>
      <c r="F7679" s="13">
        <v>3050.65</v>
      </c>
      <c r="G7679" s="13"/>
    </row>
    <row r="7680" spans="1:7" hidden="1" x14ac:dyDescent="0.75">
      <c r="A7680" s="51">
        <v>44931</v>
      </c>
      <c r="B7680" s="52">
        <v>1362</v>
      </c>
      <c r="C7680" s="8" t="s">
        <v>2744</v>
      </c>
      <c r="D7680" s="8" t="s">
        <v>788</v>
      </c>
      <c r="E7680" s="52">
        <v>884</v>
      </c>
      <c r="F7680" s="13">
        <v>908.65</v>
      </c>
      <c r="G7680" s="13"/>
    </row>
    <row r="7681" spans="1:7" hidden="1" x14ac:dyDescent="0.75">
      <c r="A7681" s="51">
        <v>44931</v>
      </c>
      <c r="B7681" s="52">
        <v>1362</v>
      </c>
      <c r="C7681" s="8" t="s">
        <v>2705</v>
      </c>
      <c r="D7681" s="8" t="s">
        <v>788</v>
      </c>
      <c r="E7681" s="52">
        <v>885</v>
      </c>
      <c r="F7681" s="13">
        <v>1177.3399999999999</v>
      </c>
      <c r="G7681" s="13"/>
    </row>
    <row r="7682" spans="1:7" hidden="1" x14ac:dyDescent="0.75">
      <c r="A7682" s="51">
        <v>44931</v>
      </c>
      <c r="B7682" s="52">
        <v>1362</v>
      </c>
      <c r="C7682" s="8" t="s">
        <v>2791</v>
      </c>
      <c r="D7682" s="8" t="s">
        <v>788</v>
      </c>
      <c r="E7682" s="52">
        <v>1025</v>
      </c>
      <c r="F7682" s="13">
        <v>1961.54</v>
      </c>
      <c r="G7682" s="13"/>
    </row>
    <row r="7683" spans="1:7" hidden="1" x14ac:dyDescent="0.75">
      <c r="A7683" s="51">
        <v>44931</v>
      </c>
      <c r="B7683" s="52">
        <v>1362</v>
      </c>
      <c r="C7683" s="8" t="s">
        <v>2792</v>
      </c>
      <c r="D7683" s="8" t="s">
        <v>788</v>
      </c>
      <c r="E7683" s="52">
        <v>1025</v>
      </c>
      <c r="F7683" s="13">
        <v>501.08</v>
      </c>
      <c r="G7683" s="13"/>
    </row>
    <row r="7684" spans="1:7" hidden="1" x14ac:dyDescent="0.75">
      <c r="A7684" s="51">
        <v>44931</v>
      </c>
      <c r="B7684" s="52">
        <v>1362</v>
      </c>
      <c r="C7684" s="8" t="s">
        <v>2674</v>
      </c>
      <c r="D7684" s="8" t="s">
        <v>788</v>
      </c>
      <c r="E7684" s="52">
        <v>883</v>
      </c>
      <c r="F7684" s="13">
        <v>2863.4</v>
      </c>
      <c r="G7684" s="13"/>
    </row>
    <row r="7685" spans="1:7" hidden="1" x14ac:dyDescent="0.75">
      <c r="A7685" s="51">
        <v>44931</v>
      </c>
      <c r="B7685" s="52">
        <v>1362</v>
      </c>
      <c r="C7685" s="8" t="s">
        <v>2675</v>
      </c>
      <c r="D7685" s="8" t="s">
        <v>788</v>
      </c>
      <c r="E7685" s="52">
        <v>883</v>
      </c>
      <c r="F7685" s="13">
        <v>668.1</v>
      </c>
      <c r="G7685" s="13"/>
    </row>
    <row r="7686" spans="1:7" hidden="1" x14ac:dyDescent="0.75">
      <c r="A7686" s="51">
        <v>44931</v>
      </c>
      <c r="B7686" s="52">
        <v>1362</v>
      </c>
      <c r="C7686" s="8" t="s">
        <v>2773</v>
      </c>
      <c r="D7686" s="8" t="s">
        <v>788</v>
      </c>
      <c r="E7686" s="52">
        <v>881</v>
      </c>
      <c r="F7686" s="13">
        <v>382.5</v>
      </c>
      <c r="G7686" s="13"/>
    </row>
    <row r="7687" spans="1:7" hidden="1" x14ac:dyDescent="0.75">
      <c r="A7687" s="51">
        <v>44931</v>
      </c>
      <c r="B7687" s="52">
        <v>1362</v>
      </c>
      <c r="C7687" s="8" t="s">
        <v>2723</v>
      </c>
      <c r="D7687" s="8" t="s">
        <v>788</v>
      </c>
      <c r="E7687" s="52">
        <v>882</v>
      </c>
      <c r="F7687" s="13">
        <v>231.63</v>
      </c>
      <c r="G7687" s="13"/>
    </row>
    <row r="7688" spans="1:7" hidden="1" x14ac:dyDescent="0.75">
      <c r="A7688" s="51">
        <v>44931</v>
      </c>
      <c r="B7688" s="52">
        <v>1362</v>
      </c>
      <c r="C7688" s="8" t="s">
        <v>2745</v>
      </c>
      <c r="D7688" s="8" t="s">
        <v>788</v>
      </c>
      <c r="E7688" s="52">
        <v>884</v>
      </c>
      <c r="F7688" s="13">
        <v>2738.02</v>
      </c>
      <c r="G7688" s="13"/>
    </row>
    <row r="7689" spans="1:7" hidden="1" x14ac:dyDescent="0.75">
      <c r="A7689" s="51">
        <v>44931</v>
      </c>
      <c r="B7689" s="52">
        <v>1362</v>
      </c>
      <c r="C7689" s="8" t="s">
        <v>2746</v>
      </c>
      <c r="D7689" s="8" t="s">
        <v>788</v>
      </c>
      <c r="E7689" s="52">
        <v>884</v>
      </c>
      <c r="F7689" s="13">
        <v>908.65</v>
      </c>
      <c r="G7689" s="13"/>
    </row>
    <row r="7690" spans="1:7" hidden="1" x14ac:dyDescent="0.75">
      <c r="A7690" s="51">
        <v>44931</v>
      </c>
      <c r="B7690" s="52">
        <v>1362</v>
      </c>
      <c r="C7690" s="8" t="s">
        <v>2793</v>
      </c>
      <c r="D7690" s="8" t="s">
        <v>788</v>
      </c>
      <c r="E7690" s="52">
        <v>1025</v>
      </c>
      <c r="F7690" s="13">
        <v>2371.5</v>
      </c>
      <c r="G7690" s="13"/>
    </row>
    <row r="7691" spans="1:7" hidden="1" x14ac:dyDescent="0.75">
      <c r="A7691" s="51">
        <v>44931</v>
      </c>
      <c r="B7691" s="52">
        <v>1362</v>
      </c>
      <c r="C7691" s="8" t="s">
        <v>2794</v>
      </c>
      <c r="D7691" s="8" t="s">
        <v>788</v>
      </c>
      <c r="E7691" s="52">
        <v>1025</v>
      </c>
      <c r="F7691" s="13">
        <v>407.58</v>
      </c>
      <c r="G7691" s="13"/>
    </row>
    <row r="7692" spans="1:7" hidden="1" x14ac:dyDescent="0.75">
      <c r="A7692" s="51">
        <v>44931</v>
      </c>
      <c r="B7692" s="52">
        <v>1362</v>
      </c>
      <c r="C7692" s="8" t="s">
        <v>2676</v>
      </c>
      <c r="D7692" s="8" t="s">
        <v>788</v>
      </c>
      <c r="E7692" s="52">
        <v>883</v>
      </c>
      <c r="F7692" s="13">
        <v>3182.15</v>
      </c>
      <c r="G7692" s="13"/>
    </row>
    <row r="7693" spans="1:7" hidden="1" x14ac:dyDescent="0.75">
      <c r="A7693" s="51">
        <v>44931</v>
      </c>
      <c r="B7693" s="52">
        <v>1362</v>
      </c>
      <c r="C7693" s="8" t="s">
        <v>2677</v>
      </c>
      <c r="D7693" s="8" t="s">
        <v>788</v>
      </c>
      <c r="E7693" s="52">
        <v>883</v>
      </c>
      <c r="F7693" s="13">
        <v>294.10000000000002</v>
      </c>
      <c r="G7693" s="13"/>
    </row>
    <row r="7694" spans="1:7" hidden="1" x14ac:dyDescent="0.75">
      <c r="A7694" s="51">
        <v>44931</v>
      </c>
      <c r="B7694" s="52">
        <v>1362</v>
      </c>
      <c r="C7694" s="8" t="s">
        <v>2774</v>
      </c>
      <c r="D7694" s="8" t="s">
        <v>788</v>
      </c>
      <c r="E7694" s="52">
        <v>881</v>
      </c>
      <c r="F7694" s="13">
        <v>505.33</v>
      </c>
      <c r="G7694" s="13"/>
    </row>
    <row r="7695" spans="1:7" hidden="1" x14ac:dyDescent="0.75">
      <c r="A7695" s="51">
        <v>44931</v>
      </c>
      <c r="B7695" s="52">
        <v>1362</v>
      </c>
      <c r="C7695" s="8" t="s">
        <v>2724</v>
      </c>
      <c r="D7695" s="8" t="s">
        <v>788</v>
      </c>
      <c r="E7695" s="52">
        <v>882</v>
      </c>
      <c r="F7695" s="13">
        <v>220.49</v>
      </c>
      <c r="G7695" s="13"/>
    </row>
    <row r="7696" spans="1:7" hidden="1" x14ac:dyDescent="0.75">
      <c r="A7696" s="51">
        <v>44931</v>
      </c>
      <c r="B7696" s="52">
        <v>1362</v>
      </c>
      <c r="C7696" s="8" t="s">
        <v>2747</v>
      </c>
      <c r="D7696" s="8" t="s">
        <v>788</v>
      </c>
      <c r="E7696" s="52">
        <v>884</v>
      </c>
      <c r="F7696" s="13">
        <v>3066.55</v>
      </c>
      <c r="G7696" s="13"/>
    </row>
    <row r="7697" spans="1:7" hidden="1" x14ac:dyDescent="0.75">
      <c r="A7697" s="51">
        <v>44931</v>
      </c>
      <c r="B7697" s="52">
        <v>1362</v>
      </c>
      <c r="C7697" s="8" t="s">
        <v>2748</v>
      </c>
      <c r="D7697" s="8" t="s">
        <v>788</v>
      </c>
      <c r="E7697" s="52">
        <v>884</v>
      </c>
      <c r="F7697" s="13">
        <v>815.15</v>
      </c>
      <c r="G7697" s="13"/>
    </row>
    <row r="7698" spans="1:7" hidden="1" x14ac:dyDescent="0.75">
      <c r="A7698" s="51">
        <v>44931</v>
      </c>
      <c r="B7698" s="52">
        <v>1362</v>
      </c>
      <c r="C7698" s="8" t="s">
        <v>2706</v>
      </c>
      <c r="D7698" s="8" t="s">
        <v>788</v>
      </c>
      <c r="E7698" s="52">
        <v>885</v>
      </c>
      <c r="F7698" s="13">
        <v>1034.45</v>
      </c>
      <c r="G7698" s="13"/>
    </row>
    <row r="7699" spans="1:7" hidden="1" x14ac:dyDescent="0.75">
      <c r="A7699" s="51">
        <v>44931</v>
      </c>
      <c r="B7699" s="52">
        <v>1362</v>
      </c>
      <c r="C7699" s="8" t="s">
        <v>1481</v>
      </c>
      <c r="D7699" s="8" t="s">
        <v>788</v>
      </c>
      <c r="E7699" s="52">
        <v>8</v>
      </c>
      <c r="F7699" s="13"/>
      <c r="G7699" s="13">
        <v>48024.02</v>
      </c>
    </row>
    <row r="7700" spans="1:7" hidden="1" x14ac:dyDescent="0.75">
      <c r="A7700" s="51">
        <v>44931</v>
      </c>
      <c r="B7700" s="52">
        <v>1362</v>
      </c>
      <c r="C7700" s="8" t="s">
        <v>3610</v>
      </c>
      <c r="D7700" s="8" t="s">
        <v>788</v>
      </c>
      <c r="E7700" s="52">
        <v>1429</v>
      </c>
      <c r="F7700" s="13"/>
      <c r="G7700" s="13">
        <v>1250.6300000000001</v>
      </c>
    </row>
    <row r="7701" spans="1:7" hidden="1" x14ac:dyDescent="0.75">
      <c r="A7701" s="51">
        <v>44936</v>
      </c>
      <c r="B7701" s="52">
        <v>1362</v>
      </c>
      <c r="C7701" s="8" t="s">
        <v>2457</v>
      </c>
      <c r="D7701" s="8" t="s">
        <v>788</v>
      </c>
      <c r="E7701" s="52">
        <v>714</v>
      </c>
      <c r="F7701" s="13">
        <v>553.29999999999995</v>
      </c>
      <c r="G7701" s="13"/>
    </row>
    <row r="7702" spans="1:7" hidden="1" x14ac:dyDescent="0.75">
      <c r="A7702" s="51">
        <v>44936</v>
      </c>
      <c r="B7702" s="52">
        <v>1362</v>
      </c>
      <c r="C7702" s="8" t="s">
        <v>2422</v>
      </c>
      <c r="D7702" s="8" t="s">
        <v>788</v>
      </c>
      <c r="E7702" s="52">
        <v>1821</v>
      </c>
      <c r="F7702" s="13">
        <v>139.69999999999999</v>
      </c>
      <c r="G7702" s="13"/>
    </row>
    <row r="7703" spans="1:7" hidden="1" x14ac:dyDescent="0.75">
      <c r="A7703" s="51">
        <v>44936</v>
      </c>
      <c r="B7703" s="52">
        <v>1362</v>
      </c>
      <c r="C7703" s="8" t="s">
        <v>2310</v>
      </c>
      <c r="D7703" s="8" t="s">
        <v>788</v>
      </c>
      <c r="E7703" s="52">
        <v>717</v>
      </c>
      <c r="F7703" s="13">
        <v>1854.95</v>
      </c>
      <c r="G7703" s="13"/>
    </row>
    <row r="7704" spans="1:7" hidden="1" x14ac:dyDescent="0.75">
      <c r="A7704" s="51">
        <v>44936</v>
      </c>
      <c r="B7704" s="52">
        <v>1362</v>
      </c>
      <c r="C7704" s="8" t="s">
        <v>2399</v>
      </c>
      <c r="D7704" s="8" t="s">
        <v>788</v>
      </c>
      <c r="E7704" s="52">
        <v>719</v>
      </c>
      <c r="F7704" s="13">
        <v>438.98</v>
      </c>
      <c r="G7704" s="13"/>
    </row>
    <row r="7705" spans="1:7" hidden="1" x14ac:dyDescent="0.75">
      <c r="A7705" s="51">
        <v>44936</v>
      </c>
      <c r="B7705" s="52">
        <v>1362</v>
      </c>
      <c r="C7705" s="8" t="s">
        <v>2360</v>
      </c>
      <c r="D7705" s="8" t="s">
        <v>788</v>
      </c>
      <c r="E7705" s="52">
        <v>1818</v>
      </c>
      <c r="F7705" s="13">
        <v>1207.2</v>
      </c>
      <c r="G7705" s="13"/>
    </row>
    <row r="7706" spans="1:7" hidden="1" x14ac:dyDescent="0.75">
      <c r="A7706" s="51">
        <v>44936</v>
      </c>
      <c r="B7706" s="52">
        <v>1362</v>
      </c>
      <c r="C7706" s="8" t="s">
        <v>2458</v>
      </c>
      <c r="D7706" s="8" t="s">
        <v>788</v>
      </c>
      <c r="E7706" s="52">
        <v>714</v>
      </c>
      <c r="F7706" s="13">
        <v>615</v>
      </c>
      <c r="G7706" s="13"/>
    </row>
    <row r="7707" spans="1:7" hidden="1" x14ac:dyDescent="0.75">
      <c r="A7707" s="51">
        <v>44936</v>
      </c>
      <c r="B7707" s="52">
        <v>1362</v>
      </c>
      <c r="C7707" s="8" t="s">
        <v>2550</v>
      </c>
      <c r="D7707" s="8" t="s">
        <v>788</v>
      </c>
      <c r="E7707" s="52">
        <v>1024</v>
      </c>
      <c r="F7707" s="13">
        <v>2216</v>
      </c>
      <c r="G7707" s="13"/>
    </row>
    <row r="7708" spans="1:7" hidden="1" x14ac:dyDescent="0.75">
      <c r="A7708" s="51">
        <v>44936</v>
      </c>
      <c r="B7708" s="52">
        <v>1362</v>
      </c>
      <c r="C7708" s="8" t="s">
        <v>2551</v>
      </c>
      <c r="D7708" s="8" t="s">
        <v>788</v>
      </c>
      <c r="E7708" s="52">
        <v>1024</v>
      </c>
      <c r="F7708" s="13">
        <v>2195</v>
      </c>
      <c r="G7708" s="13"/>
    </row>
    <row r="7709" spans="1:7" hidden="1" x14ac:dyDescent="0.75">
      <c r="A7709" s="51">
        <v>44936</v>
      </c>
      <c r="B7709" s="52">
        <v>1362</v>
      </c>
      <c r="C7709" s="8" t="s">
        <v>2423</v>
      </c>
      <c r="D7709" s="8" t="s">
        <v>788</v>
      </c>
      <c r="E7709" s="52">
        <v>1821</v>
      </c>
      <c r="F7709" s="13">
        <v>129.30000000000001</v>
      </c>
      <c r="G7709" s="13"/>
    </row>
    <row r="7710" spans="1:7" hidden="1" x14ac:dyDescent="0.75">
      <c r="A7710" s="51">
        <v>44936</v>
      </c>
      <c r="B7710" s="52">
        <v>1362</v>
      </c>
      <c r="C7710" s="8" t="s">
        <v>2311</v>
      </c>
      <c r="D7710" s="8" t="s">
        <v>788</v>
      </c>
      <c r="E7710" s="52">
        <v>717</v>
      </c>
      <c r="F7710" s="13">
        <v>714.9</v>
      </c>
      <c r="G7710" s="13"/>
    </row>
    <row r="7711" spans="1:7" hidden="1" x14ac:dyDescent="0.75">
      <c r="A7711" s="51">
        <v>44936</v>
      </c>
      <c r="B7711" s="52">
        <v>1362</v>
      </c>
      <c r="C7711" s="8" t="s">
        <v>2459</v>
      </c>
      <c r="D7711" s="8" t="s">
        <v>788</v>
      </c>
      <c r="E7711" s="52">
        <v>714</v>
      </c>
      <c r="F7711" s="13">
        <v>1550.17</v>
      </c>
      <c r="G7711" s="13"/>
    </row>
    <row r="7712" spans="1:7" hidden="1" x14ac:dyDescent="0.75">
      <c r="A7712" s="51">
        <v>44936</v>
      </c>
      <c r="B7712" s="52">
        <v>1362</v>
      </c>
      <c r="C7712" s="8" t="s">
        <v>2552</v>
      </c>
      <c r="D7712" s="8" t="s">
        <v>788</v>
      </c>
      <c r="E7712" s="52">
        <v>1024</v>
      </c>
      <c r="F7712" s="13">
        <v>3227</v>
      </c>
      <c r="G7712" s="13"/>
    </row>
    <row r="7713" spans="1:7" hidden="1" x14ac:dyDescent="0.75">
      <c r="A7713" s="51">
        <v>44936</v>
      </c>
      <c r="B7713" s="52">
        <v>1362</v>
      </c>
      <c r="C7713" s="8" t="s">
        <v>2553</v>
      </c>
      <c r="D7713" s="8" t="s">
        <v>788</v>
      </c>
      <c r="E7713" s="52">
        <v>1024</v>
      </c>
      <c r="F7713" s="13">
        <v>2102</v>
      </c>
      <c r="G7713" s="13"/>
    </row>
    <row r="7714" spans="1:7" hidden="1" x14ac:dyDescent="0.75">
      <c r="A7714" s="51">
        <v>44936</v>
      </c>
      <c r="B7714" s="52">
        <v>1362</v>
      </c>
      <c r="C7714" s="8" t="s">
        <v>2400</v>
      </c>
      <c r="D7714" s="8" t="s">
        <v>788</v>
      </c>
      <c r="E7714" s="52">
        <v>719</v>
      </c>
      <c r="F7714" s="13">
        <v>284.89999999999998</v>
      </c>
      <c r="G7714" s="13"/>
    </row>
    <row r="7715" spans="1:7" hidden="1" x14ac:dyDescent="0.75">
      <c r="A7715" s="51">
        <v>44936</v>
      </c>
      <c r="B7715" s="52">
        <v>1362</v>
      </c>
      <c r="C7715" s="8" t="s">
        <v>2361</v>
      </c>
      <c r="D7715" s="8" t="s">
        <v>788</v>
      </c>
      <c r="E7715" s="52">
        <v>1818</v>
      </c>
      <c r="F7715" s="13">
        <v>2031.45</v>
      </c>
      <c r="G7715" s="13"/>
    </row>
    <row r="7716" spans="1:7" hidden="1" x14ac:dyDescent="0.75">
      <c r="A7716" s="51">
        <v>44936</v>
      </c>
      <c r="B7716" s="52">
        <v>1362</v>
      </c>
      <c r="C7716" s="8" t="s">
        <v>2460</v>
      </c>
      <c r="D7716" s="8" t="s">
        <v>788</v>
      </c>
      <c r="E7716" s="52">
        <v>714</v>
      </c>
      <c r="F7716" s="13">
        <v>990.4</v>
      </c>
      <c r="G7716" s="13"/>
    </row>
    <row r="7717" spans="1:7" hidden="1" x14ac:dyDescent="0.75">
      <c r="A7717" s="51">
        <v>44936</v>
      </c>
      <c r="B7717" s="52">
        <v>1362</v>
      </c>
      <c r="C7717" s="8" t="s">
        <v>2554</v>
      </c>
      <c r="D7717" s="8" t="s">
        <v>788</v>
      </c>
      <c r="E7717" s="52">
        <v>1024</v>
      </c>
      <c r="F7717" s="13">
        <v>16740</v>
      </c>
      <c r="G7717" s="13"/>
    </row>
    <row r="7718" spans="1:7" hidden="1" x14ac:dyDescent="0.75">
      <c r="A7718" s="51">
        <v>44936</v>
      </c>
      <c r="B7718" s="52">
        <v>1362</v>
      </c>
      <c r="C7718" s="8" t="s">
        <v>2555</v>
      </c>
      <c r="D7718" s="8" t="s">
        <v>788</v>
      </c>
      <c r="E7718" s="52">
        <v>1024</v>
      </c>
      <c r="F7718" s="13">
        <v>8370</v>
      </c>
      <c r="G7718" s="13"/>
    </row>
    <row r="7719" spans="1:7" hidden="1" x14ac:dyDescent="0.75">
      <c r="A7719" s="51">
        <v>44936</v>
      </c>
      <c r="B7719" s="52">
        <v>1362</v>
      </c>
      <c r="C7719" s="8" t="s">
        <v>2556</v>
      </c>
      <c r="D7719" s="8" t="s">
        <v>788</v>
      </c>
      <c r="E7719" s="52">
        <v>1024</v>
      </c>
      <c r="F7719" s="13">
        <v>1844</v>
      </c>
      <c r="G7719" s="13"/>
    </row>
    <row r="7720" spans="1:7" hidden="1" x14ac:dyDescent="0.75">
      <c r="A7720" s="51">
        <v>44936</v>
      </c>
      <c r="B7720" s="52">
        <v>1362</v>
      </c>
      <c r="C7720" s="8" t="s">
        <v>2312</v>
      </c>
      <c r="D7720" s="8" t="s">
        <v>788</v>
      </c>
      <c r="E7720" s="52">
        <v>717</v>
      </c>
      <c r="F7720" s="13">
        <v>1370.5</v>
      </c>
      <c r="G7720" s="13"/>
    </row>
    <row r="7721" spans="1:7" hidden="1" x14ac:dyDescent="0.75">
      <c r="A7721" s="51">
        <v>44936</v>
      </c>
      <c r="B7721" s="52">
        <v>1362</v>
      </c>
      <c r="C7721" s="8" t="s">
        <v>2461</v>
      </c>
      <c r="D7721" s="8" t="s">
        <v>788</v>
      </c>
      <c r="E7721" s="52">
        <v>714</v>
      </c>
      <c r="F7721" s="13">
        <v>1049.9000000000001</v>
      </c>
      <c r="G7721" s="13"/>
    </row>
    <row r="7722" spans="1:7" hidden="1" x14ac:dyDescent="0.75">
      <c r="A7722" s="51">
        <v>44936</v>
      </c>
      <c r="B7722" s="52">
        <v>1362</v>
      </c>
      <c r="C7722" s="8" t="s">
        <v>2424</v>
      </c>
      <c r="D7722" s="8" t="s">
        <v>788</v>
      </c>
      <c r="E7722" s="52">
        <v>1821</v>
      </c>
      <c r="F7722" s="13">
        <v>124.7</v>
      </c>
      <c r="G7722" s="13"/>
    </row>
    <row r="7723" spans="1:7" hidden="1" x14ac:dyDescent="0.75">
      <c r="A7723" s="51">
        <v>44936</v>
      </c>
      <c r="B7723" s="52">
        <v>1362</v>
      </c>
      <c r="C7723" s="8" t="s">
        <v>2362</v>
      </c>
      <c r="D7723" s="8" t="s">
        <v>788</v>
      </c>
      <c r="E7723" s="52">
        <v>1818</v>
      </c>
      <c r="F7723" s="13">
        <v>2124.62</v>
      </c>
      <c r="G7723" s="13"/>
    </row>
    <row r="7724" spans="1:7" hidden="1" x14ac:dyDescent="0.75">
      <c r="A7724" s="51">
        <v>44936</v>
      </c>
      <c r="B7724" s="52">
        <v>1362</v>
      </c>
      <c r="C7724" s="8" t="s">
        <v>2557</v>
      </c>
      <c r="D7724" s="8" t="s">
        <v>788</v>
      </c>
      <c r="E7724" s="52">
        <v>1024</v>
      </c>
      <c r="F7724" s="13">
        <v>3110</v>
      </c>
      <c r="G7724" s="13"/>
    </row>
    <row r="7725" spans="1:7" hidden="1" x14ac:dyDescent="0.75">
      <c r="A7725" s="51">
        <v>44936</v>
      </c>
      <c r="B7725" s="52">
        <v>1362</v>
      </c>
      <c r="C7725" s="8" t="s">
        <v>2558</v>
      </c>
      <c r="D7725" s="8" t="s">
        <v>788</v>
      </c>
      <c r="E7725" s="52">
        <v>1024</v>
      </c>
      <c r="F7725" s="13">
        <v>272</v>
      </c>
      <c r="G7725" s="13"/>
    </row>
    <row r="7726" spans="1:7" hidden="1" x14ac:dyDescent="0.75">
      <c r="A7726" s="51">
        <v>44936</v>
      </c>
      <c r="B7726" s="52">
        <v>1362</v>
      </c>
      <c r="C7726" s="8" t="s">
        <v>2559</v>
      </c>
      <c r="D7726" s="8" t="s">
        <v>788</v>
      </c>
      <c r="E7726" s="52">
        <v>1024</v>
      </c>
      <c r="F7726" s="13">
        <v>252</v>
      </c>
      <c r="G7726" s="13"/>
    </row>
    <row r="7727" spans="1:7" hidden="1" x14ac:dyDescent="0.75">
      <c r="A7727" s="51">
        <v>44936</v>
      </c>
      <c r="B7727" s="52">
        <v>1362</v>
      </c>
      <c r="C7727" s="8" t="s">
        <v>2560</v>
      </c>
      <c r="D7727" s="8" t="s">
        <v>788</v>
      </c>
      <c r="E7727" s="52">
        <v>1024</v>
      </c>
      <c r="F7727" s="13">
        <v>1946</v>
      </c>
      <c r="G7727" s="13"/>
    </row>
    <row r="7728" spans="1:7" hidden="1" x14ac:dyDescent="0.75">
      <c r="A7728" s="51">
        <v>44936</v>
      </c>
      <c r="B7728" s="52">
        <v>1362</v>
      </c>
      <c r="C7728" s="8" t="s">
        <v>2561</v>
      </c>
      <c r="D7728" s="8" t="s">
        <v>788</v>
      </c>
      <c r="E7728" s="52">
        <v>1024</v>
      </c>
      <c r="F7728" s="13">
        <v>969</v>
      </c>
      <c r="G7728" s="13"/>
    </row>
    <row r="7729" spans="1:7" hidden="1" x14ac:dyDescent="0.75">
      <c r="A7729" s="51">
        <v>44936</v>
      </c>
      <c r="B7729" s="52">
        <v>1362</v>
      </c>
      <c r="C7729" s="8" t="s">
        <v>2425</v>
      </c>
      <c r="D7729" s="8" t="s">
        <v>788</v>
      </c>
      <c r="E7729" s="52">
        <v>1821</v>
      </c>
      <c r="F7729" s="13">
        <v>149.6</v>
      </c>
      <c r="G7729" s="13"/>
    </row>
    <row r="7730" spans="1:7" hidden="1" x14ac:dyDescent="0.75">
      <c r="A7730" s="51">
        <v>44936</v>
      </c>
      <c r="B7730" s="52">
        <v>1362</v>
      </c>
      <c r="C7730" s="8" t="s">
        <v>2313</v>
      </c>
      <c r="D7730" s="8" t="s">
        <v>788</v>
      </c>
      <c r="E7730" s="52">
        <v>717</v>
      </c>
      <c r="F7730" s="13">
        <v>1390.8</v>
      </c>
      <c r="G7730" s="13"/>
    </row>
    <row r="7731" spans="1:7" hidden="1" x14ac:dyDescent="0.75">
      <c r="A7731" s="51">
        <v>44936</v>
      </c>
      <c r="B7731" s="52">
        <v>1362</v>
      </c>
      <c r="C7731" s="8" t="s">
        <v>2462</v>
      </c>
      <c r="D7731" s="8" t="s">
        <v>788</v>
      </c>
      <c r="E7731" s="52">
        <v>714</v>
      </c>
      <c r="F7731" s="13">
        <v>624.29999999999995</v>
      </c>
      <c r="G7731" s="13"/>
    </row>
    <row r="7732" spans="1:7" hidden="1" x14ac:dyDescent="0.75">
      <c r="A7732" s="51">
        <v>44936</v>
      </c>
      <c r="B7732" s="52">
        <v>1362</v>
      </c>
      <c r="C7732" s="8" t="s">
        <v>2562</v>
      </c>
      <c r="D7732" s="8" t="s">
        <v>788</v>
      </c>
      <c r="E7732" s="52">
        <v>1024</v>
      </c>
      <c r="F7732" s="13">
        <v>3494</v>
      </c>
      <c r="G7732" s="13"/>
    </row>
    <row r="7733" spans="1:7" hidden="1" x14ac:dyDescent="0.75">
      <c r="A7733" s="51">
        <v>44936</v>
      </c>
      <c r="B7733" s="52">
        <v>1362</v>
      </c>
      <c r="C7733" s="8" t="s">
        <v>2563</v>
      </c>
      <c r="D7733" s="8" t="s">
        <v>788</v>
      </c>
      <c r="E7733" s="52">
        <v>1024</v>
      </c>
      <c r="F7733" s="13">
        <v>2539</v>
      </c>
      <c r="G7733" s="13"/>
    </row>
    <row r="7734" spans="1:7" hidden="1" x14ac:dyDescent="0.75">
      <c r="A7734" s="51">
        <v>44936</v>
      </c>
      <c r="B7734" s="52">
        <v>1362</v>
      </c>
      <c r="C7734" s="8" t="s">
        <v>2314</v>
      </c>
      <c r="D7734" s="8" t="s">
        <v>788</v>
      </c>
      <c r="E7734" s="52">
        <v>717</v>
      </c>
      <c r="F7734" s="13">
        <v>1335.6</v>
      </c>
      <c r="G7734" s="13"/>
    </row>
    <row r="7735" spans="1:7" hidden="1" x14ac:dyDescent="0.75">
      <c r="A7735" s="51">
        <v>44936</v>
      </c>
      <c r="B7735" s="52">
        <v>1362</v>
      </c>
      <c r="C7735" s="8" t="s">
        <v>2564</v>
      </c>
      <c r="D7735" s="8" t="s">
        <v>788</v>
      </c>
      <c r="E7735" s="52">
        <v>1024</v>
      </c>
      <c r="F7735" s="13">
        <v>4468</v>
      </c>
      <c r="G7735" s="13"/>
    </row>
    <row r="7736" spans="1:7" hidden="1" x14ac:dyDescent="0.75">
      <c r="A7736" s="51">
        <v>44936</v>
      </c>
      <c r="B7736" s="52">
        <v>1362</v>
      </c>
      <c r="C7736" s="8" t="s">
        <v>2565</v>
      </c>
      <c r="D7736" s="8" t="s">
        <v>788</v>
      </c>
      <c r="E7736" s="52">
        <v>1024</v>
      </c>
      <c r="F7736" s="13">
        <v>3674</v>
      </c>
      <c r="G7736" s="13"/>
    </row>
    <row r="7737" spans="1:7" hidden="1" x14ac:dyDescent="0.75">
      <c r="A7737" s="51">
        <v>44936</v>
      </c>
      <c r="B7737" s="52">
        <v>1362</v>
      </c>
      <c r="C7737" s="8" t="s">
        <v>2827</v>
      </c>
      <c r="D7737" s="8" t="s">
        <v>788</v>
      </c>
      <c r="E7737" s="52">
        <v>707</v>
      </c>
      <c r="F7737" s="13">
        <v>2375.9499999999998</v>
      </c>
      <c r="G7737" s="13"/>
    </row>
    <row r="7738" spans="1:7" hidden="1" x14ac:dyDescent="0.75">
      <c r="A7738" s="51">
        <v>44936</v>
      </c>
      <c r="B7738" s="52">
        <v>1362</v>
      </c>
      <c r="C7738" s="8" t="s">
        <v>2827</v>
      </c>
      <c r="D7738" s="8" t="s">
        <v>788</v>
      </c>
      <c r="E7738" s="52">
        <v>707</v>
      </c>
      <c r="F7738" s="13">
        <v>2260.3000000000002</v>
      </c>
      <c r="G7738" s="13"/>
    </row>
    <row r="7739" spans="1:7" hidden="1" x14ac:dyDescent="0.75">
      <c r="A7739" s="51">
        <v>44936</v>
      </c>
      <c r="B7739" s="52">
        <v>1362</v>
      </c>
      <c r="C7739" s="8" t="s">
        <v>2827</v>
      </c>
      <c r="D7739" s="8" t="s">
        <v>788</v>
      </c>
      <c r="E7739" s="52">
        <v>707</v>
      </c>
      <c r="F7739" s="13">
        <v>2765.65</v>
      </c>
      <c r="G7739" s="13"/>
    </row>
    <row r="7740" spans="1:7" hidden="1" x14ac:dyDescent="0.75">
      <c r="A7740" s="51">
        <v>44936</v>
      </c>
      <c r="B7740" s="52">
        <v>1362</v>
      </c>
      <c r="C7740" s="8" t="s">
        <v>2827</v>
      </c>
      <c r="D7740" s="8" t="s">
        <v>788</v>
      </c>
      <c r="E7740" s="52">
        <v>707</v>
      </c>
      <c r="F7740" s="13">
        <v>3813.5</v>
      </c>
      <c r="G7740" s="13"/>
    </row>
    <row r="7741" spans="1:7" hidden="1" x14ac:dyDescent="0.75">
      <c r="A7741" s="51">
        <v>44936</v>
      </c>
      <c r="B7741" s="52">
        <v>1362</v>
      </c>
      <c r="C7741" s="8" t="s">
        <v>2827</v>
      </c>
      <c r="D7741" s="8" t="s">
        <v>788</v>
      </c>
      <c r="E7741" s="52">
        <v>707</v>
      </c>
      <c r="F7741" s="13">
        <v>2583.9499999999998</v>
      </c>
      <c r="G7741" s="13"/>
    </row>
    <row r="7742" spans="1:7" hidden="1" x14ac:dyDescent="0.75">
      <c r="A7742" s="51">
        <v>44936</v>
      </c>
      <c r="B7742" s="52">
        <v>1362</v>
      </c>
      <c r="C7742" s="8" t="s">
        <v>2827</v>
      </c>
      <c r="D7742" s="8" t="s">
        <v>788</v>
      </c>
      <c r="E7742" s="52">
        <v>707</v>
      </c>
      <c r="F7742" s="13">
        <v>1780</v>
      </c>
      <c r="G7742" s="13"/>
    </row>
    <row r="7743" spans="1:7" hidden="1" x14ac:dyDescent="0.75">
      <c r="A7743" s="51">
        <v>44936</v>
      </c>
      <c r="B7743" s="52">
        <v>1362</v>
      </c>
      <c r="C7743" s="8" t="s">
        <v>2827</v>
      </c>
      <c r="D7743" s="8" t="s">
        <v>788</v>
      </c>
      <c r="E7743" s="52">
        <v>707</v>
      </c>
      <c r="F7743" s="13">
        <v>5196.6000000000004</v>
      </c>
      <c r="G7743" s="13"/>
    </row>
    <row r="7744" spans="1:7" hidden="1" x14ac:dyDescent="0.75">
      <c r="A7744" s="51">
        <v>44936</v>
      </c>
      <c r="B7744" s="52">
        <v>1362</v>
      </c>
      <c r="C7744" s="8" t="s">
        <v>2827</v>
      </c>
      <c r="D7744" s="8" t="s">
        <v>788</v>
      </c>
      <c r="E7744" s="52">
        <v>707</v>
      </c>
      <c r="F7744" s="13">
        <v>4745.25</v>
      </c>
      <c r="G7744" s="13"/>
    </row>
    <row r="7745" spans="1:7" hidden="1" x14ac:dyDescent="0.75">
      <c r="A7745" s="51">
        <v>44936</v>
      </c>
      <c r="B7745" s="52">
        <v>1362</v>
      </c>
      <c r="C7745" s="8" t="s">
        <v>2827</v>
      </c>
      <c r="D7745" s="8" t="s">
        <v>788</v>
      </c>
      <c r="E7745" s="52">
        <v>707</v>
      </c>
      <c r="F7745" s="13">
        <v>1000.8</v>
      </c>
      <c r="G7745" s="13"/>
    </row>
    <row r="7746" spans="1:7" hidden="1" x14ac:dyDescent="0.75">
      <c r="A7746" s="51">
        <v>44936</v>
      </c>
      <c r="B7746" s="52">
        <v>1362</v>
      </c>
      <c r="C7746" s="8" t="s">
        <v>2827</v>
      </c>
      <c r="D7746" s="8" t="s">
        <v>788</v>
      </c>
      <c r="E7746" s="52">
        <v>707</v>
      </c>
      <c r="F7746" s="13">
        <v>2694.55</v>
      </c>
      <c r="G7746" s="13"/>
    </row>
    <row r="7747" spans="1:7" hidden="1" x14ac:dyDescent="0.75">
      <c r="A7747" s="51">
        <v>44936</v>
      </c>
      <c r="B7747" s="52">
        <v>1362</v>
      </c>
      <c r="C7747" s="8" t="s">
        <v>2827</v>
      </c>
      <c r="D7747" s="8" t="s">
        <v>788</v>
      </c>
      <c r="E7747" s="52">
        <v>707</v>
      </c>
      <c r="F7747" s="13">
        <v>2074.85</v>
      </c>
      <c r="G7747" s="13"/>
    </row>
    <row r="7748" spans="1:7" hidden="1" x14ac:dyDescent="0.75">
      <c r="A7748" s="51">
        <v>44936</v>
      </c>
      <c r="B7748" s="52">
        <v>1362</v>
      </c>
      <c r="C7748" s="8" t="s">
        <v>2827</v>
      </c>
      <c r="D7748" s="8" t="s">
        <v>788</v>
      </c>
      <c r="E7748" s="52">
        <v>707</v>
      </c>
      <c r="F7748" s="13">
        <v>2224</v>
      </c>
      <c r="G7748" s="13"/>
    </row>
    <row r="7749" spans="1:7" hidden="1" x14ac:dyDescent="0.75">
      <c r="A7749" s="51">
        <v>44936</v>
      </c>
      <c r="B7749" s="52">
        <v>1362</v>
      </c>
      <c r="C7749" s="8" t="s">
        <v>2827</v>
      </c>
      <c r="D7749" s="8" t="s">
        <v>788</v>
      </c>
      <c r="E7749" s="52">
        <v>707</v>
      </c>
      <c r="F7749" s="13">
        <v>2383.3000000000002</v>
      </c>
      <c r="G7749" s="13"/>
    </row>
    <row r="7750" spans="1:7" hidden="1" x14ac:dyDescent="0.75">
      <c r="A7750" s="51">
        <v>44936</v>
      </c>
      <c r="B7750" s="52">
        <v>1362</v>
      </c>
      <c r="C7750" s="8" t="s">
        <v>2827</v>
      </c>
      <c r="D7750" s="8" t="s">
        <v>788</v>
      </c>
      <c r="E7750" s="52">
        <v>707</v>
      </c>
      <c r="F7750" s="13">
        <v>1954.45</v>
      </c>
      <c r="G7750" s="13"/>
    </row>
    <row r="7751" spans="1:7" hidden="1" x14ac:dyDescent="0.75">
      <c r="A7751" s="51">
        <v>44936</v>
      </c>
      <c r="B7751" s="52">
        <v>1362</v>
      </c>
      <c r="C7751" s="8" t="s">
        <v>2827</v>
      </c>
      <c r="D7751" s="8" t="s">
        <v>788</v>
      </c>
      <c r="E7751" s="52">
        <v>707</v>
      </c>
      <c r="F7751" s="13">
        <v>4254.1000000000004</v>
      </c>
      <c r="G7751" s="13"/>
    </row>
    <row r="7752" spans="1:7" hidden="1" x14ac:dyDescent="0.75">
      <c r="A7752" s="51">
        <v>44936</v>
      </c>
      <c r="B7752" s="52">
        <v>1362</v>
      </c>
      <c r="C7752" s="8" t="s">
        <v>2827</v>
      </c>
      <c r="D7752" s="8" t="s">
        <v>788</v>
      </c>
      <c r="E7752" s="52">
        <v>707</v>
      </c>
      <c r="F7752" s="13">
        <v>1305</v>
      </c>
      <c r="G7752" s="13"/>
    </row>
    <row r="7753" spans="1:7" hidden="1" x14ac:dyDescent="0.75">
      <c r="A7753" s="51">
        <v>44936</v>
      </c>
      <c r="B7753" s="52">
        <v>1362</v>
      </c>
      <c r="C7753" s="8" t="s">
        <v>2827</v>
      </c>
      <c r="D7753" s="8" t="s">
        <v>788</v>
      </c>
      <c r="E7753" s="52">
        <v>707</v>
      </c>
      <c r="F7753" s="13">
        <v>3146.4</v>
      </c>
      <c r="G7753" s="13"/>
    </row>
    <row r="7754" spans="1:7" hidden="1" x14ac:dyDescent="0.75">
      <c r="A7754" s="51">
        <v>44936</v>
      </c>
      <c r="B7754" s="52">
        <v>1362</v>
      </c>
      <c r="C7754" s="8" t="s">
        <v>2827</v>
      </c>
      <c r="D7754" s="8" t="s">
        <v>788</v>
      </c>
      <c r="E7754" s="52">
        <v>707</v>
      </c>
      <c r="F7754" s="13">
        <v>3361.27</v>
      </c>
      <c r="G7754" s="13"/>
    </row>
    <row r="7755" spans="1:7" hidden="1" x14ac:dyDescent="0.75">
      <c r="A7755" s="51">
        <v>44936</v>
      </c>
      <c r="B7755" s="52">
        <v>1362</v>
      </c>
      <c r="C7755" s="8" t="s">
        <v>2827</v>
      </c>
      <c r="D7755" s="8" t="s">
        <v>788</v>
      </c>
      <c r="E7755" s="52">
        <v>707</v>
      </c>
      <c r="F7755" s="13">
        <v>846.75</v>
      </c>
      <c r="G7755" s="13"/>
    </row>
    <row r="7756" spans="1:7" hidden="1" x14ac:dyDescent="0.75">
      <c r="A7756" s="51">
        <v>44936</v>
      </c>
      <c r="B7756" s="52">
        <v>1362</v>
      </c>
      <c r="C7756" s="8" t="s">
        <v>2827</v>
      </c>
      <c r="D7756" s="8" t="s">
        <v>788</v>
      </c>
      <c r="E7756" s="52">
        <v>707</v>
      </c>
      <c r="F7756" s="13">
        <v>1744</v>
      </c>
      <c r="G7756" s="13"/>
    </row>
    <row r="7757" spans="1:7" hidden="1" x14ac:dyDescent="0.75">
      <c r="A7757" s="51">
        <v>44936</v>
      </c>
      <c r="B7757" s="52">
        <v>1362</v>
      </c>
      <c r="C7757" s="8" t="s">
        <v>2827</v>
      </c>
      <c r="D7757" s="8" t="s">
        <v>788</v>
      </c>
      <c r="E7757" s="52">
        <v>707</v>
      </c>
      <c r="F7757" s="13">
        <v>5340</v>
      </c>
      <c r="G7757" s="13"/>
    </row>
    <row r="7758" spans="1:7" hidden="1" x14ac:dyDescent="0.75">
      <c r="A7758" s="51">
        <v>44936</v>
      </c>
      <c r="B7758" s="52">
        <v>1362</v>
      </c>
      <c r="C7758" s="8" t="s">
        <v>2827</v>
      </c>
      <c r="D7758" s="8" t="s">
        <v>788</v>
      </c>
      <c r="E7758" s="52">
        <v>707</v>
      </c>
      <c r="F7758" s="13">
        <v>1231.5</v>
      </c>
      <c r="G7758" s="13"/>
    </row>
    <row r="7759" spans="1:7" hidden="1" x14ac:dyDescent="0.75">
      <c r="A7759" s="51">
        <v>44936</v>
      </c>
      <c r="B7759" s="52">
        <v>1362</v>
      </c>
      <c r="C7759" s="8" t="s">
        <v>2827</v>
      </c>
      <c r="D7759" s="8" t="s">
        <v>788</v>
      </c>
      <c r="E7759" s="52">
        <v>707</v>
      </c>
      <c r="F7759" s="13">
        <v>4215.3999999999996</v>
      </c>
      <c r="G7759" s="13"/>
    </row>
    <row r="7760" spans="1:7" hidden="1" x14ac:dyDescent="0.75">
      <c r="A7760" s="51">
        <v>44936</v>
      </c>
      <c r="B7760" s="52">
        <v>1362</v>
      </c>
      <c r="C7760" s="8" t="s">
        <v>2827</v>
      </c>
      <c r="D7760" s="8" t="s">
        <v>788</v>
      </c>
      <c r="E7760" s="52">
        <v>707</v>
      </c>
      <c r="F7760" s="13">
        <v>390</v>
      </c>
      <c r="G7760" s="13"/>
    </row>
    <row r="7761" spans="1:7" hidden="1" x14ac:dyDescent="0.75">
      <c r="A7761" s="51">
        <v>44936</v>
      </c>
      <c r="B7761" s="52">
        <v>1362</v>
      </c>
      <c r="C7761" s="8" t="s">
        <v>2827</v>
      </c>
      <c r="D7761" s="8" t="s">
        <v>788</v>
      </c>
      <c r="E7761" s="52">
        <v>707</v>
      </c>
      <c r="F7761" s="13">
        <v>2874</v>
      </c>
      <c r="G7761" s="13"/>
    </row>
    <row r="7762" spans="1:7" hidden="1" x14ac:dyDescent="0.75">
      <c r="A7762" s="51">
        <v>44936</v>
      </c>
      <c r="B7762" s="52">
        <v>1362</v>
      </c>
      <c r="C7762" s="8" t="s">
        <v>2827</v>
      </c>
      <c r="D7762" s="8" t="s">
        <v>788</v>
      </c>
      <c r="E7762" s="52">
        <v>707</v>
      </c>
      <c r="F7762" s="13">
        <v>2237.9499999999998</v>
      </c>
      <c r="G7762" s="13"/>
    </row>
    <row r="7763" spans="1:7" hidden="1" x14ac:dyDescent="0.75">
      <c r="A7763" s="51">
        <v>44936</v>
      </c>
      <c r="B7763" s="52">
        <v>1362</v>
      </c>
      <c r="C7763" s="8" t="s">
        <v>2827</v>
      </c>
      <c r="D7763" s="8" t="s">
        <v>788</v>
      </c>
      <c r="E7763" s="52">
        <v>707</v>
      </c>
      <c r="F7763" s="13">
        <v>2345.9</v>
      </c>
      <c r="G7763" s="13"/>
    </row>
    <row r="7764" spans="1:7" hidden="1" x14ac:dyDescent="0.75">
      <c r="A7764" s="51">
        <v>44936</v>
      </c>
      <c r="B7764" s="52">
        <v>1362</v>
      </c>
      <c r="C7764" s="8" t="s">
        <v>2827</v>
      </c>
      <c r="D7764" s="8" t="s">
        <v>788</v>
      </c>
      <c r="E7764" s="52">
        <v>707</v>
      </c>
      <c r="F7764" s="13">
        <v>1395.2</v>
      </c>
      <c r="G7764" s="13"/>
    </row>
    <row r="7765" spans="1:7" hidden="1" x14ac:dyDescent="0.75">
      <c r="A7765" s="51">
        <v>44936</v>
      </c>
      <c r="B7765" s="52">
        <v>1362</v>
      </c>
      <c r="C7765" s="8" t="s">
        <v>2827</v>
      </c>
      <c r="D7765" s="8" t="s">
        <v>788</v>
      </c>
      <c r="E7765" s="52">
        <v>707</v>
      </c>
      <c r="F7765" s="13">
        <v>2370.75</v>
      </c>
      <c r="G7765" s="13"/>
    </row>
    <row r="7766" spans="1:7" hidden="1" x14ac:dyDescent="0.75">
      <c r="A7766" s="51">
        <v>44936</v>
      </c>
      <c r="B7766" s="52">
        <v>1362</v>
      </c>
      <c r="C7766" s="8" t="s">
        <v>2827</v>
      </c>
      <c r="D7766" s="8" t="s">
        <v>788</v>
      </c>
      <c r="E7766" s="52">
        <v>707</v>
      </c>
      <c r="F7766" s="13">
        <v>1326.7</v>
      </c>
      <c r="G7766" s="13"/>
    </row>
    <row r="7767" spans="1:7" hidden="1" x14ac:dyDescent="0.75">
      <c r="A7767" s="51">
        <v>44936</v>
      </c>
      <c r="B7767" s="52">
        <v>1362</v>
      </c>
      <c r="C7767" s="8" t="s">
        <v>2827</v>
      </c>
      <c r="D7767" s="8" t="s">
        <v>788</v>
      </c>
      <c r="E7767" s="52">
        <v>707</v>
      </c>
      <c r="F7767" s="13">
        <v>45</v>
      </c>
      <c r="G7767" s="13"/>
    </row>
    <row r="7768" spans="1:7" hidden="1" x14ac:dyDescent="0.75">
      <c r="A7768" s="51">
        <v>44936</v>
      </c>
      <c r="B7768" s="52">
        <v>1362</v>
      </c>
      <c r="C7768" s="8" t="s">
        <v>2827</v>
      </c>
      <c r="D7768" s="8" t="s">
        <v>788</v>
      </c>
      <c r="E7768" s="52">
        <v>707</v>
      </c>
      <c r="F7768" s="13">
        <v>3035.7</v>
      </c>
      <c r="G7768" s="13"/>
    </row>
    <row r="7769" spans="1:7" hidden="1" x14ac:dyDescent="0.75">
      <c r="A7769" s="51">
        <v>44936</v>
      </c>
      <c r="B7769" s="52">
        <v>1362</v>
      </c>
      <c r="C7769" s="8" t="s">
        <v>2827</v>
      </c>
      <c r="D7769" s="8" t="s">
        <v>788</v>
      </c>
      <c r="E7769" s="52">
        <v>707</v>
      </c>
      <c r="F7769" s="13">
        <v>3204.77</v>
      </c>
      <c r="G7769" s="13"/>
    </row>
    <row r="7770" spans="1:7" hidden="1" x14ac:dyDescent="0.75">
      <c r="A7770" s="51">
        <v>44936</v>
      </c>
      <c r="B7770" s="52">
        <v>1362</v>
      </c>
      <c r="C7770" s="8" t="s">
        <v>2827</v>
      </c>
      <c r="D7770" s="8" t="s">
        <v>788</v>
      </c>
      <c r="E7770" s="52">
        <v>707</v>
      </c>
      <c r="F7770" s="13">
        <v>1885.56</v>
      </c>
      <c r="G7770" s="13"/>
    </row>
    <row r="7771" spans="1:7" hidden="1" x14ac:dyDescent="0.75">
      <c r="A7771" s="51">
        <v>44936</v>
      </c>
      <c r="B7771" s="52">
        <v>1362</v>
      </c>
      <c r="C7771" s="8" t="s">
        <v>3180</v>
      </c>
      <c r="D7771" s="8" t="s">
        <v>788</v>
      </c>
      <c r="E7771" s="52">
        <v>1426</v>
      </c>
      <c r="F7771" s="13">
        <v>1491.37</v>
      </c>
      <c r="G7771" s="13"/>
    </row>
    <row r="7772" spans="1:7" hidden="1" x14ac:dyDescent="0.75">
      <c r="A7772" s="51">
        <v>44936</v>
      </c>
      <c r="B7772" s="52">
        <v>1362</v>
      </c>
      <c r="C7772" s="8" t="s">
        <v>2080</v>
      </c>
      <c r="D7772" s="8" t="s">
        <v>788</v>
      </c>
      <c r="E7772" s="52">
        <v>710</v>
      </c>
      <c r="F7772" s="13">
        <v>609.52</v>
      </c>
      <c r="G7772" s="13"/>
    </row>
    <row r="7773" spans="1:7" hidden="1" x14ac:dyDescent="0.75">
      <c r="A7773" s="51">
        <v>44936</v>
      </c>
      <c r="B7773" s="52">
        <v>1362</v>
      </c>
      <c r="C7773" s="8" t="s">
        <v>2158</v>
      </c>
      <c r="D7773" s="8" t="s">
        <v>788</v>
      </c>
      <c r="E7773" s="52">
        <v>716</v>
      </c>
      <c r="F7773" s="13">
        <v>863.88</v>
      </c>
      <c r="G7773" s="13"/>
    </row>
    <row r="7774" spans="1:7" hidden="1" x14ac:dyDescent="0.75">
      <c r="A7774" s="51">
        <v>44936</v>
      </c>
      <c r="B7774" s="52">
        <v>1362</v>
      </c>
      <c r="C7774" s="8" t="s">
        <v>1970</v>
      </c>
      <c r="D7774" s="8" t="s">
        <v>788</v>
      </c>
      <c r="E7774" s="52">
        <v>1124</v>
      </c>
      <c r="F7774" s="13">
        <v>1796.48</v>
      </c>
      <c r="G7774" s="13"/>
    </row>
    <row r="7775" spans="1:7" hidden="1" x14ac:dyDescent="0.75">
      <c r="A7775" s="51">
        <v>44936</v>
      </c>
      <c r="B7775" s="52">
        <v>1362</v>
      </c>
      <c r="C7775" s="8" t="s">
        <v>2103</v>
      </c>
      <c r="D7775" s="8" t="s">
        <v>788</v>
      </c>
      <c r="E7775" s="52">
        <v>720</v>
      </c>
      <c r="F7775" s="13">
        <v>2181.54</v>
      </c>
      <c r="G7775" s="13"/>
    </row>
    <row r="7776" spans="1:7" hidden="1" x14ac:dyDescent="0.75">
      <c r="A7776" s="51">
        <v>44936</v>
      </c>
      <c r="B7776" s="52">
        <v>1362</v>
      </c>
      <c r="C7776" s="8" t="s">
        <v>2010</v>
      </c>
      <c r="D7776" s="8" t="s">
        <v>788</v>
      </c>
      <c r="E7776" s="52">
        <v>713</v>
      </c>
      <c r="F7776" s="13">
        <v>853.47</v>
      </c>
      <c r="G7776" s="13"/>
    </row>
    <row r="7777" spans="1:7" hidden="1" x14ac:dyDescent="0.75">
      <c r="A7777" s="51">
        <v>44936</v>
      </c>
      <c r="B7777" s="52">
        <v>1362</v>
      </c>
      <c r="C7777" s="8" t="s">
        <v>2042</v>
      </c>
      <c r="D7777" s="8" t="s">
        <v>788</v>
      </c>
      <c r="E7777" s="52">
        <v>711</v>
      </c>
      <c r="F7777" s="13">
        <v>3980.34</v>
      </c>
      <c r="G7777" s="13"/>
    </row>
    <row r="7778" spans="1:7" hidden="1" x14ac:dyDescent="0.75">
      <c r="A7778" s="51">
        <v>44936</v>
      </c>
      <c r="B7778" s="52">
        <v>1362</v>
      </c>
      <c r="C7778" s="8" t="s">
        <v>2122</v>
      </c>
      <c r="D7778" s="8" t="s">
        <v>788</v>
      </c>
      <c r="E7778" s="52">
        <v>712</v>
      </c>
      <c r="F7778" s="13">
        <v>3199.59</v>
      </c>
      <c r="G7778" s="13"/>
    </row>
    <row r="7779" spans="1:7" hidden="1" x14ac:dyDescent="0.75">
      <c r="A7779" s="51">
        <v>44936</v>
      </c>
      <c r="B7779" s="52">
        <v>1362</v>
      </c>
      <c r="C7779" s="8" t="s">
        <v>1970</v>
      </c>
      <c r="D7779" s="8" t="s">
        <v>788</v>
      </c>
      <c r="E7779" s="52">
        <v>1124</v>
      </c>
      <c r="F7779" s="13">
        <v>2131.11</v>
      </c>
      <c r="G7779" s="13"/>
    </row>
    <row r="7780" spans="1:7" hidden="1" x14ac:dyDescent="0.75">
      <c r="A7780" s="51">
        <v>44936</v>
      </c>
      <c r="B7780" s="52">
        <v>1362</v>
      </c>
      <c r="C7780" s="8" t="s">
        <v>2080</v>
      </c>
      <c r="D7780" s="8" t="s">
        <v>788</v>
      </c>
      <c r="E7780" s="52">
        <v>710</v>
      </c>
      <c r="F7780" s="13">
        <v>1396.13</v>
      </c>
      <c r="G7780" s="13"/>
    </row>
    <row r="7781" spans="1:7" hidden="1" x14ac:dyDescent="0.75">
      <c r="A7781" s="51">
        <v>44936</v>
      </c>
      <c r="B7781" s="52">
        <v>1362</v>
      </c>
      <c r="C7781" s="8" t="s">
        <v>2158</v>
      </c>
      <c r="D7781" s="8" t="s">
        <v>788</v>
      </c>
      <c r="E7781" s="52">
        <v>716</v>
      </c>
      <c r="F7781" s="13">
        <v>1289.32</v>
      </c>
      <c r="G7781" s="13"/>
    </row>
    <row r="7782" spans="1:7" hidden="1" x14ac:dyDescent="0.75">
      <c r="A7782" s="51">
        <v>44936</v>
      </c>
      <c r="B7782" s="52">
        <v>1362</v>
      </c>
      <c r="C7782" s="8" t="s">
        <v>2122</v>
      </c>
      <c r="D7782" s="8" t="s">
        <v>788</v>
      </c>
      <c r="E7782" s="52">
        <v>712</v>
      </c>
      <c r="F7782" s="13">
        <v>6418.25</v>
      </c>
      <c r="G7782" s="13"/>
    </row>
    <row r="7783" spans="1:7" hidden="1" x14ac:dyDescent="0.75">
      <c r="A7783" s="51">
        <v>44936</v>
      </c>
      <c r="B7783" s="52">
        <v>1362</v>
      </c>
      <c r="C7783" s="8" t="s">
        <v>2080</v>
      </c>
      <c r="D7783" s="8" t="s">
        <v>788</v>
      </c>
      <c r="E7783" s="52">
        <v>710</v>
      </c>
      <c r="F7783" s="13">
        <v>1050.68</v>
      </c>
      <c r="G7783" s="13"/>
    </row>
    <row r="7784" spans="1:7" hidden="1" x14ac:dyDescent="0.75">
      <c r="A7784" s="51">
        <v>44936</v>
      </c>
      <c r="B7784" s="52">
        <v>1362</v>
      </c>
      <c r="C7784" s="8" t="s">
        <v>2042</v>
      </c>
      <c r="D7784" s="8" t="s">
        <v>788</v>
      </c>
      <c r="E7784" s="52">
        <v>711</v>
      </c>
      <c r="F7784" s="13">
        <v>2500.44</v>
      </c>
      <c r="G7784" s="13"/>
    </row>
    <row r="7785" spans="1:7" hidden="1" x14ac:dyDescent="0.75">
      <c r="A7785" s="51">
        <v>44936</v>
      </c>
      <c r="B7785" s="52">
        <v>1362</v>
      </c>
      <c r="C7785" s="8" t="s">
        <v>2158</v>
      </c>
      <c r="D7785" s="8" t="s">
        <v>788</v>
      </c>
      <c r="E7785" s="52">
        <v>716</v>
      </c>
      <c r="F7785" s="13">
        <v>1371.97</v>
      </c>
      <c r="G7785" s="13"/>
    </row>
    <row r="7786" spans="1:7" hidden="1" x14ac:dyDescent="0.75">
      <c r="A7786" s="51">
        <v>44936</v>
      </c>
      <c r="B7786" s="52">
        <v>1362</v>
      </c>
      <c r="C7786" s="8" t="s">
        <v>2080</v>
      </c>
      <c r="D7786" s="8" t="s">
        <v>788</v>
      </c>
      <c r="E7786" s="52">
        <v>710</v>
      </c>
      <c r="F7786" s="13">
        <v>168</v>
      </c>
      <c r="G7786" s="13"/>
    </row>
    <row r="7787" spans="1:7" hidden="1" x14ac:dyDescent="0.75">
      <c r="A7787" s="51">
        <v>44936</v>
      </c>
      <c r="B7787" s="52">
        <v>1362</v>
      </c>
      <c r="C7787" s="8" t="s">
        <v>2122</v>
      </c>
      <c r="D7787" s="8" t="s">
        <v>788</v>
      </c>
      <c r="E7787" s="52">
        <v>712</v>
      </c>
      <c r="F7787" s="13">
        <v>416</v>
      </c>
      <c r="G7787" s="13"/>
    </row>
    <row r="7788" spans="1:7" hidden="1" x14ac:dyDescent="0.75">
      <c r="A7788" s="51">
        <v>44936</v>
      </c>
      <c r="B7788" s="52">
        <v>1362</v>
      </c>
      <c r="C7788" s="8" t="s">
        <v>1970</v>
      </c>
      <c r="D7788" s="8" t="s">
        <v>788</v>
      </c>
      <c r="E7788" s="52">
        <v>1124</v>
      </c>
      <c r="F7788" s="13">
        <v>240</v>
      </c>
      <c r="G7788" s="13"/>
    </row>
    <row r="7789" spans="1:7" hidden="1" x14ac:dyDescent="0.75">
      <c r="A7789" s="51">
        <v>44936</v>
      </c>
      <c r="B7789" s="52">
        <v>1362</v>
      </c>
      <c r="C7789" s="8" t="s">
        <v>2010</v>
      </c>
      <c r="D7789" s="8" t="s">
        <v>788</v>
      </c>
      <c r="E7789" s="52">
        <v>713</v>
      </c>
      <c r="F7789" s="13">
        <v>72</v>
      </c>
      <c r="G7789" s="13"/>
    </row>
    <row r="7790" spans="1:7" hidden="1" x14ac:dyDescent="0.75">
      <c r="A7790" s="51">
        <v>44936</v>
      </c>
      <c r="B7790" s="52">
        <v>1362</v>
      </c>
      <c r="C7790" s="8" t="s">
        <v>2042</v>
      </c>
      <c r="D7790" s="8" t="s">
        <v>788</v>
      </c>
      <c r="E7790" s="52">
        <v>711</v>
      </c>
      <c r="F7790" s="13">
        <v>80</v>
      </c>
      <c r="G7790" s="13"/>
    </row>
    <row r="7791" spans="1:7" hidden="1" x14ac:dyDescent="0.75">
      <c r="A7791" s="51">
        <v>44936</v>
      </c>
      <c r="B7791" s="52">
        <v>1362</v>
      </c>
      <c r="C7791" s="8" t="s">
        <v>1971</v>
      </c>
      <c r="D7791" s="8" t="s">
        <v>788</v>
      </c>
      <c r="E7791" s="52">
        <v>1124</v>
      </c>
      <c r="F7791" s="13">
        <v>192</v>
      </c>
      <c r="G7791" s="13"/>
    </row>
    <row r="7792" spans="1:7" hidden="1" x14ac:dyDescent="0.75">
      <c r="A7792" s="51">
        <v>44936</v>
      </c>
      <c r="B7792" s="52">
        <v>1362</v>
      </c>
      <c r="C7792" s="8" t="s">
        <v>1972</v>
      </c>
      <c r="D7792" s="8" t="s">
        <v>788</v>
      </c>
      <c r="E7792" s="52">
        <v>1124</v>
      </c>
      <c r="F7792" s="13">
        <v>3742.12</v>
      </c>
      <c r="G7792" s="13"/>
    </row>
    <row r="7793" spans="1:7" hidden="1" x14ac:dyDescent="0.75">
      <c r="A7793" s="51">
        <v>44936</v>
      </c>
      <c r="B7793" s="52">
        <v>1362</v>
      </c>
      <c r="C7793" s="8" t="s">
        <v>1970</v>
      </c>
      <c r="D7793" s="8" t="s">
        <v>788</v>
      </c>
      <c r="E7793" s="52">
        <v>1124</v>
      </c>
      <c r="F7793" s="13">
        <v>1943.94</v>
      </c>
      <c r="G7793" s="13"/>
    </row>
    <row r="7794" spans="1:7" hidden="1" x14ac:dyDescent="0.75">
      <c r="A7794" s="51">
        <v>44936</v>
      </c>
      <c r="B7794" s="52">
        <v>1362</v>
      </c>
      <c r="C7794" s="8" t="s">
        <v>2010</v>
      </c>
      <c r="D7794" s="8" t="s">
        <v>788</v>
      </c>
      <c r="E7794" s="52">
        <v>713</v>
      </c>
      <c r="F7794" s="13">
        <v>618</v>
      </c>
      <c r="G7794" s="13"/>
    </row>
    <row r="7795" spans="1:7" hidden="1" x14ac:dyDescent="0.75">
      <c r="A7795" s="51">
        <v>44936</v>
      </c>
      <c r="B7795" s="52">
        <v>1362</v>
      </c>
      <c r="C7795" s="8" t="s">
        <v>2182</v>
      </c>
      <c r="D7795" s="8" t="s">
        <v>788</v>
      </c>
      <c r="E7795" s="52">
        <v>1736</v>
      </c>
      <c r="F7795" s="13">
        <v>604.54999999999995</v>
      </c>
      <c r="G7795" s="13"/>
    </row>
    <row r="7796" spans="1:7" hidden="1" x14ac:dyDescent="0.75">
      <c r="A7796" s="51">
        <v>44936</v>
      </c>
      <c r="B7796" s="52">
        <v>1362</v>
      </c>
      <c r="C7796" s="8" t="s">
        <v>1996</v>
      </c>
      <c r="D7796" s="8" t="s">
        <v>788</v>
      </c>
      <c r="E7796" s="52">
        <v>724</v>
      </c>
      <c r="F7796" s="13">
        <v>1634.42</v>
      </c>
      <c r="G7796" s="13"/>
    </row>
    <row r="7797" spans="1:7" hidden="1" x14ac:dyDescent="0.75">
      <c r="A7797" s="51">
        <v>44936</v>
      </c>
      <c r="B7797" s="52">
        <v>1362</v>
      </c>
      <c r="C7797" s="8" t="s">
        <v>2080</v>
      </c>
      <c r="D7797" s="8" t="s">
        <v>788</v>
      </c>
      <c r="E7797" s="52">
        <v>710</v>
      </c>
      <c r="F7797" s="13">
        <v>1151.24</v>
      </c>
      <c r="G7797" s="13"/>
    </row>
    <row r="7798" spans="1:7" hidden="1" x14ac:dyDescent="0.75">
      <c r="A7798" s="51">
        <v>44936</v>
      </c>
      <c r="B7798" s="52">
        <v>1362</v>
      </c>
      <c r="C7798" s="8" t="s">
        <v>2158</v>
      </c>
      <c r="D7798" s="8" t="s">
        <v>788</v>
      </c>
      <c r="E7798" s="52">
        <v>716</v>
      </c>
      <c r="F7798" s="13">
        <v>536.39</v>
      </c>
      <c r="G7798" s="13"/>
    </row>
    <row r="7799" spans="1:7" hidden="1" x14ac:dyDescent="0.75">
      <c r="A7799" s="51">
        <v>44936</v>
      </c>
      <c r="B7799" s="52">
        <v>1362</v>
      </c>
      <c r="C7799" s="8" t="s">
        <v>1970</v>
      </c>
      <c r="D7799" s="8" t="s">
        <v>788</v>
      </c>
      <c r="E7799" s="52">
        <v>1124</v>
      </c>
      <c r="F7799" s="13">
        <v>1194.25</v>
      </c>
      <c r="G7799" s="13"/>
    </row>
    <row r="7800" spans="1:7" hidden="1" x14ac:dyDescent="0.75">
      <c r="A7800" s="51">
        <v>44936</v>
      </c>
      <c r="B7800" s="52">
        <v>1362</v>
      </c>
      <c r="C7800" s="8" t="s">
        <v>2010</v>
      </c>
      <c r="D7800" s="8" t="s">
        <v>788</v>
      </c>
      <c r="E7800" s="52">
        <v>713</v>
      </c>
      <c r="F7800" s="13">
        <v>428.21</v>
      </c>
      <c r="G7800" s="13"/>
    </row>
    <row r="7801" spans="1:7" hidden="1" x14ac:dyDescent="0.75">
      <c r="A7801" s="51">
        <v>44936</v>
      </c>
      <c r="B7801" s="52">
        <v>1362</v>
      </c>
      <c r="C7801" s="8" t="s">
        <v>2122</v>
      </c>
      <c r="D7801" s="8" t="s">
        <v>788</v>
      </c>
      <c r="E7801" s="52">
        <v>712</v>
      </c>
      <c r="F7801" s="13">
        <v>3763.6</v>
      </c>
      <c r="G7801" s="13"/>
    </row>
    <row r="7802" spans="1:7" hidden="1" x14ac:dyDescent="0.75">
      <c r="A7802" s="51">
        <v>44936</v>
      </c>
      <c r="B7802" s="52">
        <v>1362</v>
      </c>
      <c r="C7802" s="8" t="s">
        <v>2042</v>
      </c>
      <c r="D7802" s="8" t="s">
        <v>788</v>
      </c>
      <c r="E7802" s="52">
        <v>711</v>
      </c>
      <c r="F7802" s="13">
        <v>2829.8</v>
      </c>
      <c r="G7802" s="13"/>
    </row>
    <row r="7803" spans="1:7" hidden="1" x14ac:dyDescent="0.75">
      <c r="A7803" s="51">
        <v>44936</v>
      </c>
      <c r="B7803" s="52">
        <v>1362</v>
      </c>
      <c r="C7803" s="8" t="s">
        <v>1954</v>
      </c>
      <c r="D7803" s="8" t="s">
        <v>788</v>
      </c>
      <c r="E7803" s="52">
        <v>709</v>
      </c>
      <c r="F7803" s="13">
        <v>1004.4</v>
      </c>
      <c r="G7803" s="13"/>
    </row>
    <row r="7804" spans="1:7" hidden="1" x14ac:dyDescent="0.75">
      <c r="A7804" s="51">
        <v>44936</v>
      </c>
      <c r="B7804" s="52">
        <v>1362</v>
      </c>
      <c r="C7804" s="8" t="s">
        <v>2200</v>
      </c>
      <c r="D7804" s="8" t="s">
        <v>788</v>
      </c>
      <c r="E7804" s="52">
        <v>1736</v>
      </c>
      <c r="F7804" s="13">
        <v>523.79999999999995</v>
      </c>
      <c r="G7804" s="13"/>
    </row>
    <row r="7805" spans="1:7" hidden="1" x14ac:dyDescent="0.75">
      <c r="A7805" s="51">
        <v>44936</v>
      </c>
      <c r="B7805" s="52">
        <v>1362</v>
      </c>
      <c r="C7805" s="8" t="s">
        <v>2200</v>
      </c>
      <c r="D7805" s="8" t="s">
        <v>788</v>
      </c>
      <c r="E7805" s="52">
        <v>1736</v>
      </c>
      <c r="F7805" s="13">
        <v>407.07</v>
      </c>
      <c r="G7805" s="13"/>
    </row>
    <row r="7806" spans="1:7" hidden="1" x14ac:dyDescent="0.75">
      <c r="A7806" s="51">
        <v>44936</v>
      </c>
      <c r="B7806" s="52">
        <v>1362</v>
      </c>
      <c r="C7806" s="8" t="s">
        <v>2080</v>
      </c>
      <c r="D7806" s="8" t="s">
        <v>788</v>
      </c>
      <c r="E7806" s="52">
        <v>710</v>
      </c>
      <c r="F7806" s="13">
        <v>702.45</v>
      </c>
      <c r="G7806" s="13"/>
    </row>
    <row r="7807" spans="1:7" hidden="1" x14ac:dyDescent="0.75">
      <c r="A7807" s="51">
        <v>44936</v>
      </c>
      <c r="B7807" s="52">
        <v>1362</v>
      </c>
      <c r="C7807" s="8" t="s">
        <v>2158</v>
      </c>
      <c r="D7807" s="8" t="s">
        <v>788</v>
      </c>
      <c r="E7807" s="52">
        <v>716</v>
      </c>
      <c r="F7807" s="13">
        <v>1152.23</v>
      </c>
      <c r="G7807" s="13"/>
    </row>
    <row r="7808" spans="1:7" hidden="1" x14ac:dyDescent="0.75">
      <c r="A7808" s="51">
        <v>44936</v>
      </c>
      <c r="B7808" s="52">
        <v>1362</v>
      </c>
      <c r="C7808" s="8" t="s">
        <v>1970</v>
      </c>
      <c r="D7808" s="8" t="s">
        <v>788</v>
      </c>
      <c r="E7808" s="52">
        <v>1124</v>
      </c>
      <c r="F7808" s="13">
        <v>1652.54</v>
      </c>
      <c r="G7808" s="13"/>
    </row>
    <row r="7809" spans="1:7" hidden="1" x14ac:dyDescent="0.75">
      <c r="A7809" s="51">
        <v>44936</v>
      </c>
      <c r="B7809" s="52">
        <v>1362</v>
      </c>
      <c r="C7809" s="8" t="s">
        <v>2042</v>
      </c>
      <c r="D7809" s="8" t="s">
        <v>788</v>
      </c>
      <c r="E7809" s="52">
        <v>711</v>
      </c>
      <c r="F7809" s="13">
        <v>2701</v>
      </c>
      <c r="G7809" s="13"/>
    </row>
    <row r="7810" spans="1:7" hidden="1" x14ac:dyDescent="0.75">
      <c r="A7810" s="51">
        <v>44936</v>
      </c>
      <c r="B7810" s="52">
        <v>1362</v>
      </c>
      <c r="C7810" s="8" t="s">
        <v>2010</v>
      </c>
      <c r="D7810" s="8" t="s">
        <v>788</v>
      </c>
      <c r="E7810" s="52">
        <v>713</v>
      </c>
      <c r="F7810" s="13">
        <v>1364.56</v>
      </c>
      <c r="G7810" s="13"/>
    </row>
    <row r="7811" spans="1:7" hidden="1" x14ac:dyDescent="0.75">
      <c r="A7811" s="51">
        <v>44936</v>
      </c>
      <c r="B7811" s="52">
        <v>1362</v>
      </c>
      <c r="C7811" s="8" t="s">
        <v>2122</v>
      </c>
      <c r="D7811" s="8" t="s">
        <v>788</v>
      </c>
      <c r="E7811" s="52">
        <v>712</v>
      </c>
      <c r="F7811" s="13">
        <v>2663.53</v>
      </c>
      <c r="G7811" s="13"/>
    </row>
    <row r="7812" spans="1:7" hidden="1" x14ac:dyDescent="0.75">
      <c r="A7812" s="51">
        <v>44936</v>
      </c>
      <c r="B7812" s="52">
        <v>1362</v>
      </c>
      <c r="C7812" s="8" t="s">
        <v>2122</v>
      </c>
      <c r="D7812" s="8" t="s">
        <v>788</v>
      </c>
      <c r="E7812" s="52">
        <v>712</v>
      </c>
      <c r="F7812" s="13">
        <v>1249.56</v>
      </c>
      <c r="G7812" s="13"/>
    </row>
    <row r="7813" spans="1:7" hidden="1" x14ac:dyDescent="0.75">
      <c r="A7813" s="51">
        <v>44936</v>
      </c>
      <c r="B7813" s="52">
        <v>1362</v>
      </c>
      <c r="C7813" s="8" t="s">
        <v>2201</v>
      </c>
      <c r="D7813" s="8" t="s">
        <v>788</v>
      </c>
      <c r="E7813" s="52">
        <v>1736</v>
      </c>
      <c r="F7813" s="13">
        <v>1132.6099999999999</v>
      </c>
      <c r="G7813" s="13"/>
    </row>
    <row r="7814" spans="1:7" hidden="1" x14ac:dyDescent="0.75">
      <c r="A7814" s="51">
        <v>44936</v>
      </c>
      <c r="B7814" s="52">
        <v>1362</v>
      </c>
      <c r="C7814" s="8" t="s">
        <v>2182</v>
      </c>
      <c r="D7814" s="8" t="s">
        <v>788</v>
      </c>
      <c r="E7814" s="52">
        <v>1736</v>
      </c>
      <c r="F7814" s="13">
        <v>2113.25</v>
      </c>
      <c r="G7814" s="13"/>
    </row>
    <row r="7815" spans="1:7" hidden="1" x14ac:dyDescent="0.75">
      <c r="A7815" s="51">
        <v>44936</v>
      </c>
      <c r="B7815" s="52">
        <v>1362</v>
      </c>
      <c r="C7815" s="8" t="s">
        <v>2181</v>
      </c>
      <c r="D7815" s="8" t="s">
        <v>788</v>
      </c>
      <c r="E7815" s="52">
        <v>1736</v>
      </c>
      <c r="F7815" s="13">
        <v>1673.45</v>
      </c>
      <c r="G7815" s="13"/>
    </row>
    <row r="7816" spans="1:7" hidden="1" x14ac:dyDescent="0.75">
      <c r="A7816" s="51">
        <v>44936</v>
      </c>
      <c r="B7816" s="52">
        <v>1362</v>
      </c>
      <c r="C7816" s="8" t="s">
        <v>2180</v>
      </c>
      <c r="D7816" s="8" t="s">
        <v>788</v>
      </c>
      <c r="E7816" s="52">
        <v>1736</v>
      </c>
      <c r="F7816" s="13">
        <v>2155.94</v>
      </c>
      <c r="G7816" s="13"/>
    </row>
    <row r="7817" spans="1:7" hidden="1" x14ac:dyDescent="0.75">
      <c r="A7817" s="51">
        <v>44936</v>
      </c>
      <c r="B7817" s="52">
        <v>1362</v>
      </c>
      <c r="C7817" s="8" t="s">
        <v>2103</v>
      </c>
      <c r="D7817" s="8" t="s">
        <v>788</v>
      </c>
      <c r="E7817" s="52">
        <v>720</v>
      </c>
      <c r="F7817" s="13">
        <v>1915.36</v>
      </c>
      <c r="G7817" s="13"/>
    </row>
    <row r="7818" spans="1:7" hidden="1" x14ac:dyDescent="0.75">
      <c r="A7818" s="51">
        <v>44936</v>
      </c>
      <c r="B7818" s="52">
        <v>1362</v>
      </c>
      <c r="C7818" s="8" t="s">
        <v>2123</v>
      </c>
      <c r="D7818" s="8" t="s">
        <v>788</v>
      </c>
      <c r="E7818" s="52">
        <v>712</v>
      </c>
      <c r="F7818" s="13">
        <v>1191.32</v>
      </c>
      <c r="G7818" s="13"/>
    </row>
    <row r="7819" spans="1:7" hidden="1" x14ac:dyDescent="0.75">
      <c r="A7819" s="51">
        <v>44936</v>
      </c>
      <c r="B7819" s="52">
        <v>1362</v>
      </c>
      <c r="C7819" s="8" t="s">
        <v>2179</v>
      </c>
      <c r="D7819" s="8" t="s">
        <v>788</v>
      </c>
      <c r="E7819" s="52">
        <v>917</v>
      </c>
      <c r="F7819" s="13">
        <v>539</v>
      </c>
      <c r="G7819" s="13"/>
    </row>
    <row r="7820" spans="1:7" hidden="1" x14ac:dyDescent="0.75">
      <c r="A7820" s="51">
        <v>44936</v>
      </c>
      <c r="B7820" s="52">
        <v>1362</v>
      </c>
      <c r="C7820" s="8" t="s">
        <v>2179</v>
      </c>
      <c r="D7820" s="8" t="s">
        <v>788</v>
      </c>
      <c r="E7820" s="52">
        <v>917</v>
      </c>
      <c r="F7820" s="13">
        <v>1617</v>
      </c>
      <c r="G7820" s="13"/>
    </row>
    <row r="7821" spans="1:7" hidden="1" x14ac:dyDescent="0.75">
      <c r="A7821" s="51">
        <v>44936</v>
      </c>
      <c r="B7821" s="52">
        <v>1362</v>
      </c>
      <c r="C7821" s="8" t="s">
        <v>2179</v>
      </c>
      <c r="D7821" s="8" t="s">
        <v>788</v>
      </c>
      <c r="E7821" s="52">
        <v>917</v>
      </c>
      <c r="F7821" s="13">
        <v>1574.88</v>
      </c>
      <c r="G7821" s="13"/>
    </row>
    <row r="7822" spans="1:7" hidden="1" x14ac:dyDescent="0.75">
      <c r="A7822" s="51">
        <v>44936</v>
      </c>
      <c r="B7822" s="52">
        <v>1362</v>
      </c>
      <c r="C7822" s="8" t="s">
        <v>2179</v>
      </c>
      <c r="D7822" s="8" t="s">
        <v>788</v>
      </c>
      <c r="E7822" s="52">
        <v>917</v>
      </c>
      <c r="F7822" s="13">
        <v>1988.82</v>
      </c>
      <c r="G7822" s="13"/>
    </row>
    <row r="7823" spans="1:7" hidden="1" x14ac:dyDescent="0.75">
      <c r="A7823" s="51">
        <v>44936</v>
      </c>
      <c r="B7823" s="52">
        <v>1362</v>
      </c>
      <c r="C7823" s="8" t="s">
        <v>2080</v>
      </c>
      <c r="D7823" s="8" t="s">
        <v>788</v>
      </c>
      <c r="E7823" s="52">
        <v>710</v>
      </c>
      <c r="F7823" s="13">
        <v>975.68</v>
      </c>
      <c r="G7823" s="13"/>
    </row>
    <row r="7824" spans="1:7" hidden="1" x14ac:dyDescent="0.75">
      <c r="A7824" s="51">
        <v>44936</v>
      </c>
      <c r="B7824" s="52">
        <v>1362</v>
      </c>
      <c r="C7824" s="8" t="s">
        <v>2158</v>
      </c>
      <c r="D7824" s="8" t="s">
        <v>788</v>
      </c>
      <c r="E7824" s="52">
        <v>716</v>
      </c>
      <c r="F7824" s="13">
        <v>422.98</v>
      </c>
      <c r="G7824" s="13"/>
    </row>
    <row r="7825" spans="1:7" hidden="1" x14ac:dyDescent="0.75">
      <c r="A7825" s="51">
        <v>44936</v>
      </c>
      <c r="B7825" s="52">
        <v>1362</v>
      </c>
      <c r="C7825" s="8" t="s">
        <v>2122</v>
      </c>
      <c r="D7825" s="8" t="s">
        <v>788</v>
      </c>
      <c r="E7825" s="52">
        <v>712</v>
      </c>
      <c r="F7825" s="13">
        <v>5179.71</v>
      </c>
      <c r="G7825" s="13"/>
    </row>
    <row r="7826" spans="1:7" hidden="1" x14ac:dyDescent="0.75">
      <c r="A7826" s="51">
        <v>44936</v>
      </c>
      <c r="B7826" s="52">
        <v>1362</v>
      </c>
      <c r="C7826" s="8" t="s">
        <v>1970</v>
      </c>
      <c r="D7826" s="8" t="s">
        <v>788</v>
      </c>
      <c r="E7826" s="52">
        <v>1124</v>
      </c>
      <c r="F7826" s="13">
        <v>2086.2600000000002</v>
      </c>
      <c r="G7826" s="13"/>
    </row>
    <row r="7827" spans="1:7" hidden="1" x14ac:dyDescent="0.75">
      <c r="A7827" s="51">
        <v>44936</v>
      </c>
      <c r="B7827" s="52">
        <v>1362</v>
      </c>
      <c r="C7827" s="8" t="s">
        <v>2042</v>
      </c>
      <c r="D7827" s="8" t="s">
        <v>788</v>
      </c>
      <c r="E7827" s="52">
        <v>711</v>
      </c>
      <c r="F7827" s="13">
        <v>3441.73</v>
      </c>
      <c r="G7827" s="13"/>
    </row>
    <row r="7828" spans="1:7" hidden="1" x14ac:dyDescent="0.75">
      <c r="A7828" s="51">
        <v>44936</v>
      </c>
      <c r="B7828" s="52">
        <v>1362</v>
      </c>
      <c r="C7828" s="8" t="s">
        <v>2010</v>
      </c>
      <c r="D7828" s="8" t="s">
        <v>788</v>
      </c>
      <c r="E7828" s="52">
        <v>713</v>
      </c>
      <c r="F7828" s="13">
        <v>1877.19</v>
      </c>
      <c r="G7828" s="13"/>
    </row>
    <row r="7829" spans="1:7" hidden="1" x14ac:dyDescent="0.75">
      <c r="A7829" s="51">
        <v>44936</v>
      </c>
      <c r="B7829" s="52">
        <v>1362</v>
      </c>
      <c r="C7829" s="8" t="s">
        <v>2228</v>
      </c>
      <c r="D7829" s="8" t="s">
        <v>788</v>
      </c>
      <c r="E7829" s="52">
        <v>1739</v>
      </c>
      <c r="F7829" s="13">
        <v>1023.84</v>
      </c>
      <c r="G7829" s="13"/>
    </row>
    <row r="7830" spans="1:7" hidden="1" x14ac:dyDescent="0.75">
      <c r="A7830" s="51">
        <v>44936</v>
      </c>
      <c r="B7830" s="52">
        <v>1362</v>
      </c>
      <c r="C7830" s="8" t="s">
        <v>2177</v>
      </c>
      <c r="D7830" s="8" t="s">
        <v>788</v>
      </c>
      <c r="E7830" s="52">
        <v>1734</v>
      </c>
      <c r="F7830" s="13">
        <v>1460.96</v>
      </c>
      <c r="G7830" s="13"/>
    </row>
    <row r="7831" spans="1:7" hidden="1" x14ac:dyDescent="0.75">
      <c r="A7831" s="51">
        <v>44936</v>
      </c>
      <c r="B7831" s="52">
        <v>1362</v>
      </c>
      <c r="C7831" s="8" t="s">
        <v>2080</v>
      </c>
      <c r="D7831" s="8" t="s">
        <v>788</v>
      </c>
      <c r="E7831" s="52">
        <v>710</v>
      </c>
      <c r="F7831" s="13">
        <v>1250.46</v>
      </c>
      <c r="G7831" s="13"/>
    </row>
    <row r="7832" spans="1:7" hidden="1" x14ac:dyDescent="0.75">
      <c r="A7832" s="51">
        <v>44936</v>
      </c>
      <c r="B7832" s="52">
        <v>1362</v>
      </c>
      <c r="C7832" s="8" t="s">
        <v>2158</v>
      </c>
      <c r="D7832" s="8" t="s">
        <v>788</v>
      </c>
      <c r="E7832" s="52">
        <v>716</v>
      </c>
      <c r="F7832" s="13">
        <v>296.20999999999998</v>
      </c>
      <c r="G7832" s="13"/>
    </row>
    <row r="7833" spans="1:7" hidden="1" x14ac:dyDescent="0.75">
      <c r="A7833" s="51">
        <v>44936</v>
      </c>
      <c r="B7833" s="52">
        <v>1362</v>
      </c>
      <c r="C7833" s="8" t="s">
        <v>2122</v>
      </c>
      <c r="D7833" s="8" t="s">
        <v>788</v>
      </c>
      <c r="E7833" s="52">
        <v>712</v>
      </c>
      <c r="F7833" s="13">
        <v>3766.79</v>
      </c>
      <c r="G7833" s="13"/>
    </row>
    <row r="7834" spans="1:7" hidden="1" x14ac:dyDescent="0.75">
      <c r="A7834" s="51">
        <v>44936</v>
      </c>
      <c r="B7834" s="52">
        <v>1362</v>
      </c>
      <c r="C7834" s="8" t="s">
        <v>1970</v>
      </c>
      <c r="D7834" s="8" t="s">
        <v>788</v>
      </c>
      <c r="E7834" s="52">
        <v>1124</v>
      </c>
      <c r="F7834" s="13">
        <v>2477.31</v>
      </c>
      <c r="G7834" s="13"/>
    </row>
    <row r="7835" spans="1:7" hidden="1" x14ac:dyDescent="0.75">
      <c r="A7835" s="51">
        <v>44936</v>
      </c>
      <c r="B7835" s="52">
        <v>1362</v>
      </c>
      <c r="C7835" s="8" t="s">
        <v>2042</v>
      </c>
      <c r="D7835" s="8" t="s">
        <v>788</v>
      </c>
      <c r="E7835" s="52">
        <v>711</v>
      </c>
      <c r="F7835" s="13">
        <v>2747.51</v>
      </c>
      <c r="G7835" s="13"/>
    </row>
    <row r="7836" spans="1:7" hidden="1" x14ac:dyDescent="0.75">
      <c r="A7836" s="51">
        <v>44936</v>
      </c>
      <c r="B7836" s="52">
        <v>1362</v>
      </c>
      <c r="C7836" s="8" t="s">
        <v>2122</v>
      </c>
      <c r="D7836" s="8" t="s">
        <v>788</v>
      </c>
      <c r="E7836" s="52">
        <v>712</v>
      </c>
      <c r="F7836" s="13">
        <v>192.24</v>
      </c>
      <c r="G7836" s="13"/>
    </row>
    <row r="7837" spans="1:7" hidden="1" x14ac:dyDescent="0.75">
      <c r="A7837" s="51">
        <v>44936</v>
      </c>
      <c r="B7837" s="52">
        <v>1362</v>
      </c>
      <c r="C7837" s="8" t="s">
        <v>2010</v>
      </c>
      <c r="D7837" s="8" t="s">
        <v>788</v>
      </c>
      <c r="E7837" s="52">
        <v>713</v>
      </c>
      <c r="F7837" s="13">
        <v>621.94000000000005</v>
      </c>
      <c r="G7837" s="13"/>
    </row>
    <row r="7838" spans="1:7" hidden="1" x14ac:dyDescent="0.75">
      <c r="A7838" s="51">
        <v>44936</v>
      </c>
      <c r="B7838" s="52">
        <v>1362</v>
      </c>
      <c r="C7838" s="8" t="s">
        <v>2181</v>
      </c>
      <c r="D7838" s="8" t="s">
        <v>788</v>
      </c>
      <c r="E7838" s="52">
        <v>1736</v>
      </c>
      <c r="F7838" s="13">
        <v>692.5</v>
      </c>
      <c r="G7838" s="13"/>
    </row>
    <row r="7839" spans="1:7" hidden="1" x14ac:dyDescent="0.75">
      <c r="A7839" s="51">
        <v>44936</v>
      </c>
      <c r="B7839" s="52">
        <v>1362</v>
      </c>
      <c r="C7839" s="8" t="s">
        <v>2182</v>
      </c>
      <c r="D7839" s="8" t="s">
        <v>788</v>
      </c>
      <c r="E7839" s="52">
        <v>1736</v>
      </c>
      <c r="F7839" s="13">
        <v>1413.97</v>
      </c>
      <c r="G7839" s="13"/>
    </row>
    <row r="7840" spans="1:7" hidden="1" x14ac:dyDescent="0.75">
      <c r="A7840" s="51">
        <v>44936</v>
      </c>
      <c r="B7840" s="52">
        <v>1362</v>
      </c>
      <c r="C7840" s="8" t="s">
        <v>2201</v>
      </c>
      <c r="D7840" s="8" t="s">
        <v>788</v>
      </c>
      <c r="E7840" s="52">
        <v>1736</v>
      </c>
      <c r="F7840" s="13">
        <v>1483.29</v>
      </c>
      <c r="G7840" s="13"/>
    </row>
    <row r="7841" spans="1:7" hidden="1" x14ac:dyDescent="0.75">
      <c r="A7841" s="51">
        <v>44936</v>
      </c>
      <c r="B7841" s="52">
        <v>1362</v>
      </c>
      <c r="C7841" s="8" t="s">
        <v>2103</v>
      </c>
      <c r="D7841" s="8" t="s">
        <v>788</v>
      </c>
      <c r="E7841" s="52">
        <v>720</v>
      </c>
      <c r="F7841" s="13">
        <v>2669.84</v>
      </c>
      <c r="G7841" s="13"/>
    </row>
    <row r="7842" spans="1:7" hidden="1" x14ac:dyDescent="0.75">
      <c r="A7842" s="51">
        <v>44936</v>
      </c>
      <c r="B7842" s="52">
        <v>1362</v>
      </c>
      <c r="C7842" s="8" t="s">
        <v>2158</v>
      </c>
      <c r="D7842" s="8" t="s">
        <v>788</v>
      </c>
      <c r="E7842" s="52">
        <v>716</v>
      </c>
      <c r="F7842" s="13">
        <v>2489.12</v>
      </c>
      <c r="G7842" s="13"/>
    </row>
    <row r="7843" spans="1:7" hidden="1" x14ac:dyDescent="0.75">
      <c r="A7843" s="51">
        <v>44936</v>
      </c>
      <c r="B7843" s="52">
        <v>1362</v>
      </c>
      <c r="C7843" s="8" t="s">
        <v>2080</v>
      </c>
      <c r="D7843" s="8" t="s">
        <v>788</v>
      </c>
      <c r="E7843" s="52">
        <v>710</v>
      </c>
      <c r="F7843" s="13">
        <v>1169.8399999999999</v>
      </c>
      <c r="G7843" s="13"/>
    </row>
    <row r="7844" spans="1:7" hidden="1" x14ac:dyDescent="0.75">
      <c r="A7844" s="51">
        <v>44936</v>
      </c>
      <c r="B7844" s="52">
        <v>1362</v>
      </c>
      <c r="C7844" s="8" t="s">
        <v>2042</v>
      </c>
      <c r="D7844" s="8" t="s">
        <v>788</v>
      </c>
      <c r="E7844" s="52">
        <v>711</v>
      </c>
      <c r="F7844" s="13">
        <v>2277.4699999999998</v>
      </c>
      <c r="G7844" s="13"/>
    </row>
    <row r="7845" spans="1:7" hidden="1" x14ac:dyDescent="0.75">
      <c r="A7845" s="51">
        <v>44936</v>
      </c>
      <c r="B7845" s="52">
        <v>1362</v>
      </c>
      <c r="C7845" s="8" t="s">
        <v>2122</v>
      </c>
      <c r="D7845" s="8" t="s">
        <v>788</v>
      </c>
      <c r="E7845" s="52">
        <v>712</v>
      </c>
      <c r="F7845" s="13">
        <v>1701.6</v>
      </c>
      <c r="G7845" s="13"/>
    </row>
    <row r="7846" spans="1:7" hidden="1" x14ac:dyDescent="0.75">
      <c r="A7846" s="51">
        <v>44936</v>
      </c>
      <c r="B7846" s="52">
        <v>1362</v>
      </c>
      <c r="C7846" s="8" t="s">
        <v>1970</v>
      </c>
      <c r="D7846" s="8" t="s">
        <v>788</v>
      </c>
      <c r="E7846" s="52">
        <v>1124</v>
      </c>
      <c r="F7846" s="13">
        <v>1662.44</v>
      </c>
      <c r="G7846" s="13"/>
    </row>
    <row r="7847" spans="1:7" hidden="1" x14ac:dyDescent="0.75">
      <c r="A7847" s="51">
        <v>44936</v>
      </c>
      <c r="B7847" s="52">
        <v>1362</v>
      </c>
      <c r="C7847" s="8" t="s">
        <v>2010</v>
      </c>
      <c r="D7847" s="8" t="s">
        <v>788</v>
      </c>
      <c r="E7847" s="52">
        <v>713</v>
      </c>
      <c r="F7847" s="13">
        <v>336.29</v>
      </c>
      <c r="G7847" s="13"/>
    </row>
    <row r="7848" spans="1:7" hidden="1" x14ac:dyDescent="0.75">
      <c r="A7848" s="51">
        <v>44936</v>
      </c>
      <c r="B7848" s="52">
        <v>1362</v>
      </c>
      <c r="C7848" s="8" t="s">
        <v>2010</v>
      </c>
      <c r="D7848" s="8" t="s">
        <v>788</v>
      </c>
      <c r="E7848" s="52">
        <v>713</v>
      </c>
      <c r="F7848" s="13">
        <v>119</v>
      </c>
      <c r="G7848" s="13"/>
    </row>
    <row r="7849" spans="1:7" hidden="1" x14ac:dyDescent="0.75">
      <c r="A7849" s="51">
        <v>44936</v>
      </c>
      <c r="B7849" s="52">
        <v>1362</v>
      </c>
      <c r="C7849" s="8" t="s">
        <v>2042</v>
      </c>
      <c r="D7849" s="8" t="s">
        <v>788</v>
      </c>
      <c r="E7849" s="52">
        <v>711</v>
      </c>
      <c r="F7849" s="13">
        <v>102</v>
      </c>
      <c r="G7849" s="13"/>
    </row>
    <row r="7850" spans="1:7" hidden="1" x14ac:dyDescent="0.75">
      <c r="A7850" s="51">
        <v>44936</v>
      </c>
      <c r="B7850" s="52">
        <v>1362</v>
      </c>
      <c r="C7850" s="8" t="s">
        <v>2010</v>
      </c>
      <c r="D7850" s="8" t="s">
        <v>788</v>
      </c>
      <c r="E7850" s="52">
        <v>713</v>
      </c>
      <c r="F7850" s="13">
        <v>281.5</v>
      </c>
      <c r="G7850" s="13"/>
    </row>
    <row r="7851" spans="1:7" hidden="1" x14ac:dyDescent="0.75">
      <c r="A7851" s="51">
        <v>44936</v>
      </c>
      <c r="B7851" s="52">
        <v>1362</v>
      </c>
      <c r="C7851" s="8" t="s">
        <v>1970</v>
      </c>
      <c r="D7851" s="8" t="s">
        <v>788</v>
      </c>
      <c r="E7851" s="52">
        <v>1124</v>
      </c>
      <c r="F7851" s="13">
        <v>3373.5</v>
      </c>
      <c r="G7851" s="13"/>
    </row>
    <row r="7852" spans="1:7" hidden="1" x14ac:dyDescent="0.75">
      <c r="A7852" s="51">
        <v>44936</v>
      </c>
      <c r="B7852" s="52">
        <v>1362</v>
      </c>
      <c r="C7852" s="8" t="s">
        <v>2122</v>
      </c>
      <c r="D7852" s="8" t="s">
        <v>788</v>
      </c>
      <c r="E7852" s="52">
        <v>712</v>
      </c>
      <c r="F7852" s="13">
        <v>612</v>
      </c>
      <c r="G7852" s="13"/>
    </row>
    <row r="7853" spans="1:7" hidden="1" x14ac:dyDescent="0.75">
      <c r="A7853" s="51">
        <v>44936</v>
      </c>
      <c r="B7853" s="52">
        <v>1362</v>
      </c>
      <c r="C7853" s="8" t="s">
        <v>2122</v>
      </c>
      <c r="D7853" s="8" t="s">
        <v>788</v>
      </c>
      <c r="E7853" s="52">
        <v>712</v>
      </c>
      <c r="F7853" s="13">
        <v>6728.65</v>
      </c>
      <c r="G7853" s="13"/>
    </row>
    <row r="7854" spans="1:7" hidden="1" x14ac:dyDescent="0.75">
      <c r="A7854" s="51">
        <v>44936</v>
      </c>
      <c r="B7854" s="52">
        <v>1362</v>
      </c>
      <c r="C7854" s="8" t="s">
        <v>1970</v>
      </c>
      <c r="D7854" s="8" t="s">
        <v>788</v>
      </c>
      <c r="E7854" s="52">
        <v>1124</v>
      </c>
      <c r="F7854" s="13">
        <v>255</v>
      </c>
      <c r="G7854" s="13"/>
    </row>
    <row r="7855" spans="1:7" hidden="1" x14ac:dyDescent="0.75">
      <c r="A7855" s="51">
        <v>44936</v>
      </c>
      <c r="B7855" s="52">
        <v>1362</v>
      </c>
      <c r="C7855" s="8" t="s">
        <v>2042</v>
      </c>
      <c r="D7855" s="8" t="s">
        <v>788</v>
      </c>
      <c r="E7855" s="52">
        <v>711</v>
      </c>
      <c r="F7855" s="13">
        <v>3432.55</v>
      </c>
      <c r="G7855" s="13"/>
    </row>
    <row r="7856" spans="1:7" hidden="1" x14ac:dyDescent="0.75">
      <c r="A7856" s="51">
        <v>44936</v>
      </c>
      <c r="B7856" s="52">
        <v>1362</v>
      </c>
      <c r="C7856" s="8" t="s">
        <v>2080</v>
      </c>
      <c r="D7856" s="8" t="s">
        <v>788</v>
      </c>
      <c r="E7856" s="52">
        <v>710</v>
      </c>
      <c r="F7856" s="13">
        <v>76.5</v>
      </c>
      <c r="G7856" s="13"/>
    </row>
    <row r="7857" spans="1:7" hidden="1" x14ac:dyDescent="0.75">
      <c r="A7857" s="51">
        <v>44936</v>
      </c>
      <c r="B7857" s="52">
        <v>1362</v>
      </c>
      <c r="C7857" s="8" t="s">
        <v>2080</v>
      </c>
      <c r="D7857" s="8" t="s">
        <v>788</v>
      </c>
      <c r="E7857" s="52">
        <v>710</v>
      </c>
      <c r="F7857" s="13">
        <v>1994.31</v>
      </c>
      <c r="G7857" s="13"/>
    </row>
    <row r="7858" spans="1:7" hidden="1" x14ac:dyDescent="0.75">
      <c r="A7858" s="51">
        <v>44936</v>
      </c>
      <c r="B7858" s="52">
        <v>1362</v>
      </c>
      <c r="C7858" s="8" t="s">
        <v>2158</v>
      </c>
      <c r="D7858" s="8" t="s">
        <v>788</v>
      </c>
      <c r="E7858" s="52">
        <v>716</v>
      </c>
      <c r="F7858" s="13">
        <v>638.04999999999995</v>
      </c>
      <c r="G7858" s="13"/>
    </row>
    <row r="7859" spans="1:7" hidden="1" x14ac:dyDescent="0.75">
      <c r="A7859" s="51">
        <v>44936</v>
      </c>
      <c r="B7859" s="52">
        <v>1362</v>
      </c>
      <c r="C7859" s="8" t="s">
        <v>2180</v>
      </c>
      <c r="D7859" s="8" t="s">
        <v>788</v>
      </c>
      <c r="E7859" s="52">
        <v>917</v>
      </c>
      <c r="F7859" s="13">
        <v>2445.81</v>
      </c>
      <c r="G7859" s="13"/>
    </row>
    <row r="7860" spans="1:7" hidden="1" x14ac:dyDescent="0.75">
      <c r="A7860" s="51">
        <v>44936</v>
      </c>
      <c r="B7860" s="52">
        <v>1362</v>
      </c>
      <c r="C7860" s="8" t="s">
        <v>2182</v>
      </c>
      <c r="D7860" s="8" t="s">
        <v>788</v>
      </c>
      <c r="E7860" s="52">
        <v>1736</v>
      </c>
      <c r="F7860" s="13">
        <v>1399.45</v>
      </c>
      <c r="G7860" s="13"/>
    </row>
    <row r="7861" spans="1:7" hidden="1" x14ac:dyDescent="0.75">
      <c r="A7861" s="51">
        <v>44936</v>
      </c>
      <c r="B7861" s="52">
        <v>1362</v>
      </c>
      <c r="C7861" s="8" t="s">
        <v>2181</v>
      </c>
      <c r="D7861" s="8" t="s">
        <v>788</v>
      </c>
      <c r="E7861" s="52">
        <v>1736</v>
      </c>
      <c r="F7861" s="13">
        <v>900.48</v>
      </c>
      <c r="G7861" s="13"/>
    </row>
    <row r="7862" spans="1:7" hidden="1" x14ac:dyDescent="0.75">
      <c r="A7862" s="51">
        <v>44936</v>
      </c>
      <c r="B7862" s="52">
        <v>1362</v>
      </c>
      <c r="C7862" s="8" t="s">
        <v>1954</v>
      </c>
      <c r="D7862" s="8" t="s">
        <v>788</v>
      </c>
      <c r="E7862" s="52">
        <v>709</v>
      </c>
      <c r="F7862" s="13">
        <v>2018.52</v>
      </c>
      <c r="G7862" s="13"/>
    </row>
    <row r="7863" spans="1:7" hidden="1" x14ac:dyDescent="0.75">
      <c r="A7863" s="51">
        <v>44936</v>
      </c>
      <c r="B7863" s="52">
        <v>1362</v>
      </c>
      <c r="C7863" s="8" t="s">
        <v>2103</v>
      </c>
      <c r="D7863" s="8" t="s">
        <v>788</v>
      </c>
      <c r="E7863" s="52">
        <v>720</v>
      </c>
      <c r="F7863" s="13">
        <v>3666.49</v>
      </c>
      <c r="G7863" s="13"/>
    </row>
    <row r="7864" spans="1:7" hidden="1" x14ac:dyDescent="0.75">
      <c r="A7864" s="51">
        <v>44936</v>
      </c>
      <c r="B7864" s="52">
        <v>1362</v>
      </c>
      <c r="C7864" s="8" t="s">
        <v>2158</v>
      </c>
      <c r="D7864" s="8" t="s">
        <v>788</v>
      </c>
      <c r="E7864" s="52">
        <v>716</v>
      </c>
      <c r="F7864" s="13">
        <v>1280.74</v>
      </c>
      <c r="G7864" s="13"/>
    </row>
    <row r="7865" spans="1:7" hidden="1" x14ac:dyDescent="0.75">
      <c r="A7865" s="51">
        <v>44936</v>
      </c>
      <c r="B7865" s="52">
        <v>1362</v>
      </c>
      <c r="C7865" s="8" t="s">
        <v>2080</v>
      </c>
      <c r="D7865" s="8" t="s">
        <v>788</v>
      </c>
      <c r="E7865" s="52">
        <v>710</v>
      </c>
      <c r="F7865" s="13">
        <v>1692.73</v>
      </c>
      <c r="G7865" s="13"/>
    </row>
    <row r="7866" spans="1:7" hidden="1" x14ac:dyDescent="0.75">
      <c r="A7866" s="51">
        <v>44936</v>
      </c>
      <c r="B7866" s="52">
        <v>1362</v>
      </c>
      <c r="C7866" s="8" t="s">
        <v>2122</v>
      </c>
      <c r="D7866" s="8" t="s">
        <v>788</v>
      </c>
      <c r="E7866" s="52">
        <v>712</v>
      </c>
      <c r="F7866" s="13">
        <v>4359.84</v>
      </c>
      <c r="G7866" s="13"/>
    </row>
    <row r="7867" spans="1:7" hidden="1" x14ac:dyDescent="0.75">
      <c r="A7867" s="51">
        <v>44936</v>
      </c>
      <c r="B7867" s="52">
        <v>1362</v>
      </c>
      <c r="C7867" s="8" t="s">
        <v>2010</v>
      </c>
      <c r="D7867" s="8" t="s">
        <v>788</v>
      </c>
      <c r="E7867" s="52">
        <v>713</v>
      </c>
      <c r="F7867" s="13">
        <v>238.68</v>
      </c>
      <c r="G7867" s="13"/>
    </row>
    <row r="7868" spans="1:7" hidden="1" x14ac:dyDescent="0.75">
      <c r="A7868" s="51">
        <v>44936</v>
      </c>
      <c r="B7868" s="52">
        <v>1362</v>
      </c>
      <c r="C7868" s="8" t="s">
        <v>2042</v>
      </c>
      <c r="D7868" s="8" t="s">
        <v>788</v>
      </c>
      <c r="E7868" s="52">
        <v>711</v>
      </c>
      <c r="F7868" s="13">
        <v>2864.91</v>
      </c>
      <c r="G7868" s="13"/>
    </row>
    <row r="7869" spans="1:7" hidden="1" x14ac:dyDescent="0.75">
      <c r="A7869" s="51">
        <v>44936</v>
      </c>
      <c r="B7869" s="52">
        <v>1362</v>
      </c>
      <c r="C7869" s="8" t="s">
        <v>1970</v>
      </c>
      <c r="D7869" s="8" t="s">
        <v>788</v>
      </c>
      <c r="E7869" s="52">
        <v>1124</v>
      </c>
      <c r="F7869" s="13">
        <v>1770.41</v>
      </c>
      <c r="G7869" s="13"/>
    </row>
    <row r="7870" spans="1:7" hidden="1" x14ac:dyDescent="0.75">
      <c r="A7870" s="51">
        <v>44936</v>
      </c>
      <c r="B7870" s="52">
        <v>1362</v>
      </c>
      <c r="C7870" s="8" t="s">
        <v>2200</v>
      </c>
      <c r="D7870" s="8" t="s">
        <v>788</v>
      </c>
      <c r="E7870" s="52">
        <v>1736</v>
      </c>
      <c r="F7870" s="13">
        <v>814.44</v>
      </c>
      <c r="G7870" s="13"/>
    </row>
    <row r="7871" spans="1:7" hidden="1" x14ac:dyDescent="0.75">
      <c r="A7871" s="51">
        <v>44936</v>
      </c>
      <c r="B7871" s="52">
        <v>1362</v>
      </c>
      <c r="C7871" s="8" t="s">
        <v>2066</v>
      </c>
      <c r="D7871" s="8" t="s">
        <v>788</v>
      </c>
      <c r="E7871" s="52">
        <v>1729</v>
      </c>
      <c r="F7871" s="13">
        <v>1318.28</v>
      </c>
      <c r="G7871" s="13"/>
    </row>
    <row r="7872" spans="1:7" hidden="1" x14ac:dyDescent="0.75">
      <c r="A7872" s="51">
        <v>44936</v>
      </c>
      <c r="B7872" s="52">
        <v>1362</v>
      </c>
      <c r="C7872" s="8" t="s">
        <v>2158</v>
      </c>
      <c r="D7872" s="8" t="s">
        <v>788</v>
      </c>
      <c r="E7872" s="52">
        <v>716</v>
      </c>
      <c r="F7872" s="13">
        <v>306.27</v>
      </c>
      <c r="G7872" s="13"/>
    </row>
    <row r="7873" spans="1:7" hidden="1" x14ac:dyDescent="0.75">
      <c r="A7873" s="51">
        <v>44936</v>
      </c>
      <c r="B7873" s="52">
        <v>1362</v>
      </c>
      <c r="C7873" s="8" t="s">
        <v>2010</v>
      </c>
      <c r="D7873" s="8" t="s">
        <v>788</v>
      </c>
      <c r="E7873" s="52">
        <v>713</v>
      </c>
      <c r="F7873" s="13">
        <v>375.18</v>
      </c>
      <c r="G7873" s="13"/>
    </row>
    <row r="7874" spans="1:7" hidden="1" x14ac:dyDescent="0.75">
      <c r="A7874" s="51">
        <v>44936</v>
      </c>
      <c r="B7874" s="52">
        <v>1362</v>
      </c>
      <c r="C7874" s="8" t="s">
        <v>1970</v>
      </c>
      <c r="D7874" s="8" t="s">
        <v>788</v>
      </c>
      <c r="E7874" s="52">
        <v>1124</v>
      </c>
      <c r="F7874" s="13">
        <v>3001.96</v>
      </c>
      <c r="G7874" s="13"/>
    </row>
    <row r="7875" spans="1:7" hidden="1" x14ac:dyDescent="0.75">
      <c r="A7875" s="51">
        <v>44936</v>
      </c>
      <c r="B7875" s="52">
        <v>1362</v>
      </c>
      <c r="C7875" s="8" t="s">
        <v>2042</v>
      </c>
      <c r="D7875" s="8" t="s">
        <v>788</v>
      </c>
      <c r="E7875" s="52">
        <v>711</v>
      </c>
      <c r="F7875" s="13">
        <v>4173.87</v>
      </c>
      <c r="G7875" s="13"/>
    </row>
    <row r="7876" spans="1:7" hidden="1" x14ac:dyDescent="0.75">
      <c r="A7876" s="51">
        <v>44936</v>
      </c>
      <c r="B7876" s="52">
        <v>1362</v>
      </c>
      <c r="C7876" s="8" t="s">
        <v>2080</v>
      </c>
      <c r="D7876" s="8" t="s">
        <v>788</v>
      </c>
      <c r="E7876" s="52">
        <v>710</v>
      </c>
      <c r="F7876" s="13">
        <v>1058.71</v>
      </c>
      <c r="G7876" s="13"/>
    </row>
    <row r="7877" spans="1:7" hidden="1" x14ac:dyDescent="0.75">
      <c r="A7877" s="51">
        <v>44936</v>
      </c>
      <c r="B7877" s="52">
        <v>1362</v>
      </c>
      <c r="C7877" s="8" t="s">
        <v>2122</v>
      </c>
      <c r="D7877" s="8" t="s">
        <v>788</v>
      </c>
      <c r="E7877" s="52">
        <v>712</v>
      </c>
      <c r="F7877" s="13">
        <v>7385.4</v>
      </c>
      <c r="G7877" s="13"/>
    </row>
    <row r="7878" spans="1:7" hidden="1" x14ac:dyDescent="0.75">
      <c r="A7878" s="51">
        <v>44936</v>
      </c>
      <c r="B7878" s="52">
        <v>1362</v>
      </c>
      <c r="C7878" s="8" t="s">
        <v>2201</v>
      </c>
      <c r="D7878" s="8" t="s">
        <v>788</v>
      </c>
      <c r="E7878" s="52">
        <v>1736</v>
      </c>
      <c r="F7878" s="13">
        <v>642.1</v>
      </c>
      <c r="G7878" s="13"/>
    </row>
    <row r="7879" spans="1:7" hidden="1" x14ac:dyDescent="0.75">
      <c r="A7879" s="51">
        <v>44936</v>
      </c>
      <c r="B7879" s="52">
        <v>1362</v>
      </c>
      <c r="C7879" s="8" t="s">
        <v>2180</v>
      </c>
      <c r="D7879" s="8" t="s">
        <v>788</v>
      </c>
      <c r="E7879" s="52">
        <v>1736</v>
      </c>
      <c r="F7879" s="13">
        <v>684.5</v>
      </c>
      <c r="G7879" s="13"/>
    </row>
    <row r="7880" spans="1:7" hidden="1" x14ac:dyDescent="0.75">
      <c r="A7880" s="51">
        <v>44936</v>
      </c>
      <c r="B7880" s="52">
        <v>1362</v>
      </c>
      <c r="C7880" s="8" t="s">
        <v>2182</v>
      </c>
      <c r="D7880" s="8" t="s">
        <v>788</v>
      </c>
      <c r="E7880" s="52">
        <v>1736</v>
      </c>
      <c r="F7880" s="13">
        <v>1055.67</v>
      </c>
      <c r="G7880" s="13"/>
    </row>
    <row r="7881" spans="1:7" hidden="1" x14ac:dyDescent="0.75">
      <c r="A7881" s="51">
        <v>44936</v>
      </c>
      <c r="B7881" s="52">
        <v>1362</v>
      </c>
      <c r="C7881" s="8" t="s">
        <v>2181</v>
      </c>
      <c r="D7881" s="8" t="s">
        <v>788</v>
      </c>
      <c r="E7881" s="52">
        <v>917</v>
      </c>
      <c r="F7881" s="13">
        <v>3240.66</v>
      </c>
      <c r="G7881" s="13"/>
    </row>
    <row r="7882" spans="1:7" hidden="1" x14ac:dyDescent="0.75">
      <c r="A7882" s="51">
        <v>44936</v>
      </c>
      <c r="B7882" s="52">
        <v>1362</v>
      </c>
      <c r="C7882" s="8" t="s">
        <v>2103</v>
      </c>
      <c r="D7882" s="8" t="s">
        <v>788</v>
      </c>
      <c r="E7882" s="52">
        <v>720</v>
      </c>
      <c r="F7882" s="13">
        <v>3091.93</v>
      </c>
      <c r="G7882" s="13"/>
    </row>
    <row r="7883" spans="1:7" hidden="1" x14ac:dyDescent="0.75">
      <c r="A7883" s="51">
        <v>44936</v>
      </c>
      <c r="B7883" s="52">
        <v>1362</v>
      </c>
      <c r="C7883" s="8" t="s">
        <v>2158</v>
      </c>
      <c r="D7883" s="8" t="s">
        <v>788</v>
      </c>
      <c r="E7883" s="52">
        <v>716</v>
      </c>
      <c r="F7883" s="13">
        <v>222.12</v>
      </c>
      <c r="G7883" s="13"/>
    </row>
    <row r="7884" spans="1:7" hidden="1" x14ac:dyDescent="0.75">
      <c r="A7884" s="51">
        <v>44936</v>
      </c>
      <c r="B7884" s="52">
        <v>1362</v>
      </c>
      <c r="C7884" s="8" t="s">
        <v>2080</v>
      </c>
      <c r="D7884" s="8" t="s">
        <v>788</v>
      </c>
      <c r="E7884" s="52">
        <v>710</v>
      </c>
      <c r="F7884" s="13">
        <v>750.15</v>
      </c>
      <c r="G7884" s="13"/>
    </row>
    <row r="7885" spans="1:7" hidden="1" x14ac:dyDescent="0.75">
      <c r="A7885" s="51">
        <v>44936</v>
      </c>
      <c r="B7885" s="52">
        <v>1362</v>
      </c>
      <c r="C7885" s="8" t="s">
        <v>2010</v>
      </c>
      <c r="D7885" s="8" t="s">
        <v>788</v>
      </c>
      <c r="E7885" s="52">
        <v>713</v>
      </c>
      <c r="F7885" s="13">
        <v>390.82</v>
      </c>
      <c r="G7885" s="13"/>
    </row>
    <row r="7886" spans="1:7" hidden="1" x14ac:dyDescent="0.75">
      <c r="A7886" s="51">
        <v>44936</v>
      </c>
      <c r="B7886" s="52">
        <v>1362</v>
      </c>
      <c r="C7886" s="8" t="s">
        <v>1970</v>
      </c>
      <c r="D7886" s="8" t="s">
        <v>788</v>
      </c>
      <c r="E7886" s="52">
        <v>1124</v>
      </c>
      <c r="F7886" s="13">
        <v>3138.14</v>
      </c>
      <c r="G7886" s="13"/>
    </row>
    <row r="7887" spans="1:7" hidden="1" x14ac:dyDescent="0.75">
      <c r="A7887" s="51">
        <v>44936</v>
      </c>
      <c r="B7887" s="52">
        <v>1362</v>
      </c>
      <c r="C7887" s="8" t="s">
        <v>2042</v>
      </c>
      <c r="D7887" s="8" t="s">
        <v>788</v>
      </c>
      <c r="E7887" s="52">
        <v>711</v>
      </c>
      <c r="F7887" s="13">
        <v>3099.83</v>
      </c>
      <c r="G7887" s="13"/>
    </row>
    <row r="7888" spans="1:7" hidden="1" x14ac:dyDescent="0.75">
      <c r="A7888" s="51">
        <v>44936</v>
      </c>
      <c r="B7888" s="52">
        <v>1362</v>
      </c>
      <c r="C7888" s="8" t="s">
        <v>2122</v>
      </c>
      <c r="D7888" s="8" t="s">
        <v>788</v>
      </c>
      <c r="E7888" s="52">
        <v>712</v>
      </c>
      <c r="F7888" s="13">
        <v>5809.44</v>
      </c>
      <c r="G7888" s="13"/>
    </row>
    <row r="7889" spans="1:7" hidden="1" x14ac:dyDescent="0.75">
      <c r="A7889" s="51">
        <v>44936</v>
      </c>
      <c r="B7889" s="52">
        <v>1362</v>
      </c>
      <c r="C7889" s="8" t="s">
        <v>2158</v>
      </c>
      <c r="D7889" s="8" t="s">
        <v>788</v>
      </c>
      <c r="E7889" s="52">
        <v>716</v>
      </c>
      <c r="F7889" s="13">
        <v>267.94</v>
      </c>
      <c r="G7889" s="13"/>
    </row>
    <row r="7890" spans="1:7" hidden="1" x14ac:dyDescent="0.75">
      <c r="A7890" s="51">
        <v>44936</v>
      </c>
      <c r="B7890" s="52">
        <v>1362</v>
      </c>
      <c r="C7890" s="8" t="s">
        <v>2042</v>
      </c>
      <c r="D7890" s="8" t="s">
        <v>788</v>
      </c>
      <c r="E7890" s="52">
        <v>711</v>
      </c>
      <c r="F7890" s="13">
        <v>5084.4399999999996</v>
      </c>
      <c r="G7890" s="13"/>
    </row>
    <row r="7891" spans="1:7" hidden="1" x14ac:dyDescent="0.75">
      <c r="A7891" s="51">
        <v>44936</v>
      </c>
      <c r="B7891" s="52">
        <v>1362</v>
      </c>
      <c r="C7891" s="8" t="s">
        <v>1970</v>
      </c>
      <c r="D7891" s="8" t="s">
        <v>788</v>
      </c>
      <c r="E7891" s="52">
        <v>1124</v>
      </c>
      <c r="F7891" s="13">
        <v>2891.61</v>
      </c>
      <c r="G7891" s="13"/>
    </row>
    <row r="7892" spans="1:7" hidden="1" x14ac:dyDescent="0.75">
      <c r="A7892" s="51">
        <v>44936</v>
      </c>
      <c r="B7892" s="52">
        <v>1362</v>
      </c>
      <c r="C7892" s="8" t="s">
        <v>2122</v>
      </c>
      <c r="D7892" s="8" t="s">
        <v>788</v>
      </c>
      <c r="E7892" s="52">
        <v>712</v>
      </c>
      <c r="F7892" s="13">
        <v>4143.04</v>
      </c>
      <c r="G7892" s="13"/>
    </row>
    <row r="7893" spans="1:7" hidden="1" x14ac:dyDescent="0.75">
      <c r="A7893" s="51">
        <v>44936</v>
      </c>
      <c r="B7893" s="52">
        <v>1362</v>
      </c>
      <c r="C7893" s="8" t="s">
        <v>2010</v>
      </c>
      <c r="D7893" s="8" t="s">
        <v>788</v>
      </c>
      <c r="E7893" s="52">
        <v>713</v>
      </c>
      <c r="F7893" s="13">
        <v>658.48</v>
      </c>
      <c r="G7893" s="13"/>
    </row>
    <row r="7894" spans="1:7" hidden="1" x14ac:dyDescent="0.75">
      <c r="A7894" s="51">
        <v>44936</v>
      </c>
      <c r="B7894" s="52">
        <v>1362</v>
      </c>
      <c r="C7894" s="8" t="s">
        <v>2080</v>
      </c>
      <c r="D7894" s="8" t="s">
        <v>788</v>
      </c>
      <c r="E7894" s="52">
        <v>710</v>
      </c>
      <c r="F7894" s="13">
        <v>1354.76</v>
      </c>
      <c r="G7894" s="13"/>
    </row>
    <row r="7895" spans="1:7" hidden="1" x14ac:dyDescent="0.75">
      <c r="A7895" s="51">
        <v>44936</v>
      </c>
      <c r="B7895" s="52">
        <v>1362</v>
      </c>
      <c r="C7895" s="8" t="s">
        <v>2201</v>
      </c>
      <c r="D7895" s="8" t="s">
        <v>788</v>
      </c>
      <c r="E7895" s="52">
        <v>1736</v>
      </c>
      <c r="F7895" s="13">
        <v>1301.5999999999999</v>
      </c>
      <c r="G7895" s="13"/>
    </row>
    <row r="7896" spans="1:7" hidden="1" x14ac:dyDescent="0.75">
      <c r="A7896" s="51">
        <v>44936</v>
      </c>
      <c r="B7896" s="52">
        <v>1362</v>
      </c>
      <c r="C7896" s="8" t="s">
        <v>2010</v>
      </c>
      <c r="D7896" s="8" t="s">
        <v>788</v>
      </c>
      <c r="E7896" s="52">
        <v>713</v>
      </c>
      <c r="F7896" s="13">
        <v>668.58</v>
      </c>
      <c r="G7896" s="13"/>
    </row>
    <row r="7897" spans="1:7" hidden="1" x14ac:dyDescent="0.75">
      <c r="A7897" s="51">
        <v>44936</v>
      </c>
      <c r="B7897" s="52">
        <v>1362</v>
      </c>
      <c r="C7897" s="8" t="s">
        <v>2122</v>
      </c>
      <c r="D7897" s="8" t="s">
        <v>788</v>
      </c>
      <c r="E7897" s="52">
        <v>712</v>
      </c>
      <c r="F7897" s="13">
        <v>3668.58</v>
      </c>
      <c r="G7897" s="13"/>
    </row>
    <row r="7898" spans="1:7" hidden="1" x14ac:dyDescent="0.75">
      <c r="A7898" s="51">
        <v>44936</v>
      </c>
      <c r="B7898" s="52">
        <v>1362</v>
      </c>
      <c r="C7898" s="8" t="s">
        <v>2158</v>
      </c>
      <c r="D7898" s="8" t="s">
        <v>788</v>
      </c>
      <c r="E7898" s="52">
        <v>716</v>
      </c>
      <c r="F7898" s="13">
        <v>1111.01</v>
      </c>
      <c r="G7898" s="13"/>
    </row>
    <row r="7899" spans="1:7" hidden="1" x14ac:dyDescent="0.75">
      <c r="A7899" s="51">
        <v>44936</v>
      </c>
      <c r="B7899" s="52">
        <v>1362</v>
      </c>
      <c r="C7899" s="8" t="s">
        <v>2042</v>
      </c>
      <c r="D7899" s="8" t="s">
        <v>788</v>
      </c>
      <c r="E7899" s="52">
        <v>711</v>
      </c>
      <c r="F7899" s="13">
        <v>3380.5</v>
      </c>
      <c r="G7899" s="13"/>
    </row>
    <row r="7900" spans="1:7" hidden="1" x14ac:dyDescent="0.75">
      <c r="A7900" s="51">
        <v>44936</v>
      </c>
      <c r="B7900" s="52">
        <v>1362</v>
      </c>
      <c r="C7900" s="8" t="s">
        <v>2080</v>
      </c>
      <c r="D7900" s="8" t="s">
        <v>788</v>
      </c>
      <c r="E7900" s="52">
        <v>710</v>
      </c>
      <c r="F7900" s="13">
        <v>1345.98</v>
      </c>
      <c r="G7900" s="13"/>
    </row>
    <row r="7901" spans="1:7" hidden="1" x14ac:dyDescent="0.75">
      <c r="A7901" s="51">
        <v>44936</v>
      </c>
      <c r="B7901" s="52">
        <v>1362</v>
      </c>
      <c r="C7901" s="8" t="s">
        <v>2080</v>
      </c>
      <c r="D7901" s="8" t="s">
        <v>788</v>
      </c>
      <c r="E7901" s="52">
        <v>710</v>
      </c>
      <c r="F7901" s="13">
        <v>153</v>
      </c>
      <c r="G7901" s="13"/>
    </row>
    <row r="7902" spans="1:7" hidden="1" x14ac:dyDescent="0.75">
      <c r="A7902" s="51">
        <v>44936</v>
      </c>
      <c r="B7902" s="52">
        <v>1362</v>
      </c>
      <c r="C7902" s="8" t="s">
        <v>2080</v>
      </c>
      <c r="D7902" s="8" t="s">
        <v>788</v>
      </c>
      <c r="E7902" s="52">
        <v>710</v>
      </c>
      <c r="F7902" s="13">
        <v>1112.8</v>
      </c>
      <c r="G7902" s="13"/>
    </row>
    <row r="7903" spans="1:7" hidden="1" x14ac:dyDescent="0.75">
      <c r="A7903" s="51">
        <v>44936</v>
      </c>
      <c r="B7903" s="52">
        <v>1362</v>
      </c>
      <c r="C7903" s="8" t="s">
        <v>2158</v>
      </c>
      <c r="D7903" s="8" t="s">
        <v>788</v>
      </c>
      <c r="E7903" s="52">
        <v>716</v>
      </c>
      <c r="F7903" s="13">
        <v>1149.46</v>
      </c>
      <c r="G7903" s="13"/>
    </row>
    <row r="7904" spans="1:7" hidden="1" x14ac:dyDescent="0.75">
      <c r="A7904" s="51">
        <v>44936</v>
      </c>
      <c r="B7904" s="52">
        <v>1362</v>
      </c>
      <c r="C7904" s="8" t="s">
        <v>2042</v>
      </c>
      <c r="D7904" s="8" t="s">
        <v>788</v>
      </c>
      <c r="E7904" s="52">
        <v>711</v>
      </c>
      <c r="F7904" s="13">
        <v>102</v>
      </c>
      <c r="G7904" s="13"/>
    </row>
    <row r="7905" spans="1:7" hidden="1" x14ac:dyDescent="0.75">
      <c r="A7905" s="51">
        <v>44936</v>
      </c>
      <c r="B7905" s="52">
        <v>1362</v>
      </c>
      <c r="C7905" s="8" t="s">
        <v>2122</v>
      </c>
      <c r="D7905" s="8" t="s">
        <v>788</v>
      </c>
      <c r="E7905" s="52">
        <v>712</v>
      </c>
      <c r="F7905" s="13">
        <v>4318.8500000000004</v>
      </c>
      <c r="G7905" s="13"/>
    </row>
    <row r="7906" spans="1:7" hidden="1" x14ac:dyDescent="0.75">
      <c r="A7906" s="51">
        <v>44936</v>
      </c>
      <c r="B7906" s="52">
        <v>1362</v>
      </c>
      <c r="C7906" s="8" t="s">
        <v>1970</v>
      </c>
      <c r="D7906" s="8" t="s">
        <v>788</v>
      </c>
      <c r="E7906" s="52">
        <v>1124</v>
      </c>
      <c r="F7906" s="13">
        <v>280.5</v>
      </c>
      <c r="G7906" s="13"/>
    </row>
    <row r="7907" spans="1:7" hidden="1" x14ac:dyDescent="0.75">
      <c r="A7907" s="51">
        <v>44936</v>
      </c>
      <c r="B7907" s="52">
        <v>1362</v>
      </c>
      <c r="C7907" s="8" t="s">
        <v>1970</v>
      </c>
      <c r="D7907" s="8" t="s">
        <v>788</v>
      </c>
      <c r="E7907" s="52">
        <v>1124</v>
      </c>
      <c r="F7907" s="13">
        <v>819.03</v>
      </c>
      <c r="G7907" s="13"/>
    </row>
    <row r="7908" spans="1:7" hidden="1" x14ac:dyDescent="0.75">
      <c r="A7908" s="51">
        <v>44936</v>
      </c>
      <c r="B7908" s="52">
        <v>1362</v>
      </c>
      <c r="C7908" s="8" t="s">
        <v>2010</v>
      </c>
      <c r="D7908" s="8" t="s">
        <v>788</v>
      </c>
      <c r="E7908" s="52">
        <v>713</v>
      </c>
      <c r="F7908" s="13">
        <v>93.5</v>
      </c>
      <c r="G7908" s="13"/>
    </row>
    <row r="7909" spans="1:7" hidden="1" x14ac:dyDescent="0.75">
      <c r="A7909" s="51">
        <v>44936</v>
      </c>
      <c r="B7909" s="52">
        <v>1362</v>
      </c>
      <c r="C7909" s="8" t="s">
        <v>2010</v>
      </c>
      <c r="D7909" s="8" t="s">
        <v>788</v>
      </c>
      <c r="E7909" s="52">
        <v>713</v>
      </c>
      <c r="F7909" s="13">
        <v>997.11</v>
      </c>
      <c r="G7909" s="13"/>
    </row>
    <row r="7910" spans="1:7" hidden="1" x14ac:dyDescent="0.75">
      <c r="A7910" s="51">
        <v>44936</v>
      </c>
      <c r="B7910" s="52">
        <v>1362</v>
      </c>
      <c r="C7910" s="8" t="s">
        <v>2122</v>
      </c>
      <c r="D7910" s="8" t="s">
        <v>788</v>
      </c>
      <c r="E7910" s="52">
        <v>712</v>
      </c>
      <c r="F7910" s="13">
        <v>680</v>
      </c>
      <c r="G7910" s="13"/>
    </row>
    <row r="7911" spans="1:7" hidden="1" x14ac:dyDescent="0.75">
      <c r="A7911" s="51">
        <v>44936</v>
      </c>
      <c r="B7911" s="52">
        <v>1362</v>
      </c>
      <c r="C7911" s="8" t="s">
        <v>2042</v>
      </c>
      <c r="D7911" s="8" t="s">
        <v>788</v>
      </c>
      <c r="E7911" s="52">
        <v>711</v>
      </c>
      <c r="F7911" s="13">
        <v>1890.28</v>
      </c>
      <c r="G7911" s="13"/>
    </row>
    <row r="7912" spans="1:7" hidden="1" x14ac:dyDescent="0.75">
      <c r="A7912" s="51">
        <v>44936</v>
      </c>
      <c r="B7912" s="52">
        <v>1362</v>
      </c>
      <c r="C7912" s="8" t="s">
        <v>2182</v>
      </c>
      <c r="D7912" s="8" t="s">
        <v>788</v>
      </c>
      <c r="E7912" s="52">
        <v>1736</v>
      </c>
      <c r="F7912" s="13">
        <v>1609.8</v>
      </c>
      <c r="G7912" s="13"/>
    </row>
    <row r="7913" spans="1:7" hidden="1" x14ac:dyDescent="0.75">
      <c r="A7913" s="51">
        <v>44936</v>
      </c>
      <c r="B7913" s="52">
        <v>1362</v>
      </c>
      <c r="C7913" s="8" t="s">
        <v>2181</v>
      </c>
      <c r="D7913" s="8" t="s">
        <v>788</v>
      </c>
      <c r="E7913" s="52">
        <v>1736</v>
      </c>
      <c r="F7913" s="13">
        <v>840.8</v>
      </c>
      <c r="G7913" s="13"/>
    </row>
    <row r="7914" spans="1:7" hidden="1" x14ac:dyDescent="0.75">
      <c r="A7914" s="51">
        <v>44936</v>
      </c>
      <c r="B7914" s="52">
        <v>1362</v>
      </c>
      <c r="C7914" s="8" t="s">
        <v>2180</v>
      </c>
      <c r="D7914" s="8" t="s">
        <v>788</v>
      </c>
      <c r="E7914" s="52">
        <v>1736</v>
      </c>
      <c r="F7914" s="13">
        <v>1884.55</v>
      </c>
      <c r="G7914" s="13"/>
    </row>
    <row r="7915" spans="1:7" hidden="1" x14ac:dyDescent="0.75">
      <c r="A7915" s="51">
        <v>44936</v>
      </c>
      <c r="B7915" s="52">
        <v>1362</v>
      </c>
      <c r="C7915" s="8" t="s">
        <v>1996</v>
      </c>
      <c r="D7915" s="8" t="s">
        <v>788</v>
      </c>
      <c r="E7915" s="52">
        <v>724</v>
      </c>
      <c r="F7915" s="13">
        <v>1050.3</v>
      </c>
      <c r="G7915" s="13"/>
    </row>
    <row r="7916" spans="1:7" hidden="1" x14ac:dyDescent="0.75">
      <c r="A7916" s="51">
        <v>44936</v>
      </c>
      <c r="B7916" s="52">
        <v>1362</v>
      </c>
      <c r="C7916" s="8" t="s">
        <v>1954</v>
      </c>
      <c r="D7916" s="8" t="s">
        <v>788</v>
      </c>
      <c r="E7916" s="52">
        <v>709</v>
      </c>
      <c r="F7916" s="13">
        <v>2354.12</v>
      </c>
      <c r="G7916" s="13"/>
    </row>
    <row r="7917" spans="1:7" hidden="1" x14ac:dyDescent="0.75">
      <c r="A7917" s="51">
        <v>44936</v>
      </c>
      <c r="B7917" s="52">
        <v>1362</v>
      </c>
      <c r="C7917" s="8" t="s">
        <v>2080</v>
      </c>
      <c r="D7917" s="8" t="s">
        <v>788</v>
      </c>
      <c r="E7917" s="52">
        <v>710</v>
      </c>
      <c r="F7917" s="13">
        <v>982.08</v>
      </c>
      <c r="G7917" s="13"/>
    </row>
    <row r="7918" spans="1:7" hidden="1" x14ac:dyDescent="0.75">
      <c r="A7918" s="51">
        <v>44936</v>
      </c>
      <c r="B7918" s="52">
        <v>1362</v>
      </c>
      <c r="C7918" s="8" t="s">
        <v>2158</v>
      </c>
      <c r="D7918" s="8" t="s">
        <v>788</v>
      </c>
      <c r="E7918" s="52">
        <v>716</v>
      </c>
      <c r="F7918" s="13">
        <v>806.58</v>
      </c>
      <c r="G7918" s="13"/>
    </row>
    <row r="7919" spans="1:7" hidden="1" x14ac:dyDescent="0.75">
      <c r="A7919" s="51">
        <v>44936</v>
      </c>
      <c r="B7919" s="52">
        <v>1362</v>
      </c>
      <c r="C7919" s="8" t="s">
        <v>1970</v>
      </c>
      <c r="D7919" s="8" t="s">
        <v>788</v>
      </c>
      <c r="E7919" s="52">
        <v>1124</v>
      </c>
      <c r="F7919" s="13">
        <v>867.67</v>
      </c>
      <c r="G7919" s="13"/>
    </row>
    <row r="7920" spans="1:7" hidden="1" x14ac:dyDescent="0.75">
      <c r="A7920" s="51">
        <v>44936</v>
      </c>
      <c r="B7920" s="52">
        <v>1362</v>
      </c>
      <c r="C7920" s="8" t="s">
        <v>2122</v>
      </c>
      <c r="D7920" s="8" t="s">
        <v>788</v>
      </c>
      <c r="E7920" s="52">
        <v>712</v>
      </c>
      <c r="F7920" s="13">
        <v>1802.23</v>
      </c>
      <c r="G7920" s="13"/>
    </row>
    <row r="7921" spans="1:7" hidden="1" x14ac:dyDescent="0.75">
      <c r="A7921" s="51">
        <v>44936</v>
      </c>
      <c r="B7921" s="52">
        <v>1362</v>
      </c>
      <c r="C7921" s="8" t="s">
        <v>2042</v>
      </c>
      <c r="D7921" s="8" t="s">
        <v>788</v>
      </c>
      <c r="E7921" s="52">
        <v>711</v>
      </c>
      <c r="F7921" s="13">
        <v>1652.63</v>
      </c>
      <c r="G7921" s="13"/>
    </row>
    <row r="7922" spans="1:7" hidden="1" x14ac:dyDescent="0.75">
      <c r="A7922" s="51">
        <v>44936</v>
      </c>
      <c r="B7922" s="52">
        <v>1362</v>
      </c>
      <c r="C7922" s="8" t="s">
        <v>2010</v>
      </c>
      <c r="D7922" s="8" t="s">
        <v>788</v>
      </c>
      <c r="E7922" s="52">
        <v>713</v>
      </c>
      <c r="F7922" s="13">
        <v>1440.09</v>
      </c>
      <c r="G7922" s="13"/>
    </row>
    <row r="7923" spans="1:7" hidden="1" x14ac:dyDescent="0.75">
      <c r="A7923" s="51">
        <v>44936</v>
      </c>
      <c r="B7923" s="52">
        <v>1362</v>
      </c>
      <c r="C7923" s="8" t="s">
        <v>2010</v>
      </c>
      <c r="D7923" s="8" t="s">
        <v>788</v>
      </c>
      <c r="E7923" s="52">
        <v>713</v>
      </c>
      <c r="F7923" s="13">
        <v>129.6</v>
      </c>
      <c r="G7923" s="13"/>
    </row>
    <row r="7924" spans="1:7" hidden="1" x14ac:dyDescent="0.75">
      <c r="A7924" s="51">
        <v>44936</v>
      </c>
      <c r="B7924" s="52">
        <v>1362</v>
      </c>
      <c r="C7924" s="8" t="s">
        <v>2200</v>
      </c>
      <c r="D7924" s="8" t="s">
        <v>788</v>
      </c>
      <c r="E7924" s="52">
        <v>1736</v>
      </c>
      <c r="F7924" s="13">
        <v>1245.6400000000001</v>
      </c>
      <c r="G7924" s="13"/>
    </row>
    <row r="7925" spans="1:7" hidden="1" x14ac:dyDescent="0.75">
      <c r="A7925" s="51">
        <v>44936</v>
      </c>
      <c r="B7925" s="52">
        <v>1362</v>
      </c>
      <c r="C7925" s="8" t="s">
        <v>2080</v>
      </c>
      <c r="D7925" s="8" t="s">
        <v>788</v>
      </c>
      <c r="E7925" s="52">
        <v>710</v>
      </c>
      <c r="F7925" s="13">
        <v>1376.7</v>
      </c>
      <c r="G7925" s="13"/>
    </row>
    <row r="7926" spans="1:7" hidden="1" x14ac:dyDescent="0.75">
      <c r="A7926" s="51">
        <v>44936</v>
      </c>
      <c r="B7926" s="52">
        <v>1362</v>
      </c>
      <c r="C7926" s="8" t="s">
        <v>2158</v>
      </c>
      <c r="D7926" s="8" t="s">
        <v>788</v>
      </c>
      <c r="E7926" s="52">
        <v>716</v>
      </c>
      <c r="F7926" s="13">
        <v>1274.07</v>
      </c>
      <c r="G7926" s="13"/>
    </row>
    <row r="7927" spans="1:7" hidden="1" x14ac:dyDescent="0.75">
      <c r="A7927" s="51">
        <v>44936</v>
      </c>
      <c r="B7927" s="52">
        <v>1362</v>
      </c>
      <c r="C7927" s="8" t="s">
        <v>1970</v>
      </c>
      <c r="D7927" s="8" t="s">
        <v>788</v>
      </c>
      <c r="E7927" s="52">
        <v>1124</v>
      </c>
      <c r="F7927" s="13">
        <v>1452.44</v>
      </c>
      <c r="G7927" s="13"/>
    </row>
    <row r="7928" spans="1:7" hidden="1" x14ac:dyDescent="0.75">
      <c r="A7928" s="51">
        <v>44936</v>
      </c>
      <c r="B7928" s="52">
        <v>1362</v>
      </c>
      <c r="C7928" s="8" t="s">
        <v>2042</v>
      </c>
      <c r="D7928" s="8" t="s">
        <v>788</v>
      </c>
      <c r="E7928" s="52">
        <v>711</v>
      </c>
      <c r="F7928" s="13">
        <v>2821.68</v>
      </c>
      <c r="G7928" s="13"/>
    </row>
    <row r="7929" spans="1:7" hidden="1" x14ac:dyDescent="0.75">
      <c r="A7929" s="51">
        <v>44936</v>
      </c>
      <c r="B7929" s="52">
        <v>1362</v>
      </c>
      <c r="C7929" s="8" t="s">
        <v>2122</v>
      </c>
      <c r="D7929" s="8" t="s">
        <v>788</v>
      </c>
      <c r="E7929" s="52">
        <v>712</v>
      </c>
      <c r="F7929" s="13">
        <v>3305.28</v>
      </c>
      <c r="G7929" s="13"/>
    </row>
    <row r="7930" spans="1:7" hidden="1" x14ac:dyDescent="0.75">
      <c r="A7930" s="51">
        <v>44936</v>
      </c>
      <c r="B7930" s="52">
        <v>1362</v>
      </c>
      <c r="C7930" s="8" t="s">
        <v>2010</v>
      </c>
      <c r="D7930" s="8" t="s">
        <v>788</v>
      </c>
      <c r="E7930" s="52">
        <v>713</v>
      </c>
      <c r="F7930" s="13">
        <v>2058.4299999999998</v>
      </c>
      <c r="G7930" s="13"/>
    </row>
    <row r="7931" spans="1:7" hidden="1" x14ac:dyDescent="0.75">
      <c r="A7931" s="51">
        <v>44936</v>
      </c>
      <c r="B7931" s="52">
        <v>1362</v>
      </c>
      <c r="C7931" s="8" t="s">
        <v>2201</v>
      </c>
      <c r="D7931" s="8" t="s">
        <v>788</v>
      </c>
      <c r="E7931" s="52">
        <v>1736</v>
      </c>
      <c r="F7931" s="13">
        <v>535.75</v>
      </c>
      <c r="G7931" s="13"/>
    </row>
    <row r="7932" spans="1:7" hidden="1" x14ac:dyDescent="0.75">
      <c r="A7932" s="51">
        <v>44936</v>
      </c>
      <c r="B7932" s="52">
        <v>1362</v>
      </c>
      <c r="C7932" s="8" t="s">
        <v>2180</v>
      </c>
      <c r="D7932" s="8" t="s">
        <v>788</v>
      </c>
      <c r="E7932" s="52">
        <v>1736</v>
      </c>
      <c r="F7932" s="13">
        <v>1302.48</v>
      </c>
      <c r="G7932" s="13"/>
    </row>
    <row r="7933" spans="1:7" hidden="1" x14ac:dyDescent="0.75">
      <c r="A7933" s="51">
        <v>44936</v>
      </c>
      <c r="B7933" s="52">
        <v>1362</v>
      </c>
      <c r="C7933" s="8" t="s">
        <v>2182</v>
      </c>
      <c r="D7933" s="8" t="s">
        <v>788</v>
      </c>
      <c r="E7933" s="52">
        <v>917</v>
      </c>
      <c r="F7933" s="13">
        <v>2937.09</v>
      </c>
      <c r="G7933" s="13"/>
    </row>
    <row r="7934" spans="1:7" hidden="1" x14ac:dyDescent="0.75">
      <c r="A7934" s="51">
        <v>44936</v>
      </c>
      <c r="B7934" s="52">
        <v>1362</v>
      </c>
      <c r="C7934" s="8" t="s">
        <v>2181</v>
      </c>
      <c r="D7934" s="8" t="s">
        <v>788</v>
      </c>
      <c r="E7934" s="52">
        <v>1736</v>
      </c>
      <c r="F7934" s="13">
        <v>876.27</v>
      </c>
      <c r="G7934" s="13"/>
    </row>
    <row r="7935" spans="1:7" hidden="1" x14ac:dyDescent="0.75">
      <c r="A7935" s="51">
        <v>44936</v>
      </c>
      <c r="B7935" s="52">
        <v>1362</v>
      </c>
      <c r="C7935" s="8" t="s">
        <v>2103</v>
      </c>
      <c r="D7935" s="8" t="s">
        <v>788</v>
      </c>
      <c r="E7935" s="52">
        <v>720</v>
      </c>
      <c r="F7935" s="13">
        <v>3149.06</v>
      </c>
      <c r="G7935" s="13"/>
    </row>
    <row r="7936" spans="1:7" hidden="1" x14ac:dyDescent="0.75">
      <c r="A7936" s="51">
        <v>44936</v>
      </c>
      <c r="B7936" s="52">
        <v>1362</v>
      </c>
      <c r="C7936" s="8" t="s">
        <v>2179</v>
      </c>
      <c r="D7936" s="8" t="s">
        <v>788</v>
      </c>
      <c r="E7936" s="52">
        <v>917</v>
      </c>
      <c r="F7936" s="13">
        <v>2156</v>
      </c>
      <c r="G7936" s="13"/>
    </row>
    <row r="7937" spans="1:7" hidden="1" x14ac:dyDescent="0.75">
      <c r="A7937" s="51">
        <v>44936</v>
      </c>
      <c r="B7937" s="52">
        <v>1362</v>
      </c>
      <c r="C7937" s="8" t="s">
        <v>2179</v>
      </c>
      <c r="D7937" s="8" t="s">
        <v>788</v>
      </c>
      <c r="E7937" s="52">
        <v>917</v>
      </c>
      <c r="F7937" s="13">
        <v>1064.68</v>
      </c>
      <c r="G7937" s="13"/>
    </row>
    <row r="7938" spans="1:7" hidden="1" x14ac:dyDescent="0.75">
      <c r="A7938" s="51">
        <v>44936</v>
      </c>
      <c r="B7938" s="52">
        <v>1362</v>
      </c>
      <c r="C7938" s="8" t="s">
        <v>2179</v>
      </c>
      <c r="D7938" s="8" t="s">
        <v>788</v>
      </c>
      <c r="E7938" s="52">
        <v>917</v>
      </c>
      <c r="F7938" s="13">
        <v>772</v>
      </c>
      <c r="G7938" s="13"/>
    </row>
    <row r="7939" spans="1:7" hidden="1" x14ac:dyDescent="0.75">
      <c r="A7939" s="51">
        <v>44936</v>
      </c>
      <c r="B7939" s="52">
        <v>1362</v>
      </c>
      <c r="C7939" s="8" t="s">
        <v>2179</v>
      </c>
      <c r="D7939" s="8" t="s">
        <v>788</v>
      </c>
      <c r="E7939" s="52">
        <v>917</v>
      </c>
      <c r="F7939" s="13">
        <v>539</v>
      </c>
      <c r="G7939" s="13"/>
    </row>
    <row r="7940" spans="1:7" hidden="1" x14ac:dyDescent="0.75">
      <c r="A7940" s="51">
        <v>44936</v>
      </c>
      <c r="B7940" s="52">
        <v>1362</v>
      </c>
      <c r="C7940" s="8" t="s">
        <v>2080</v>
      </c>
      <c r="D7940" s="8" t="s">
        <v>788</v>
      </c>
      <c r="E7940" s="52">
        <v>710</v>
      </c>
      <c r="F7940" s="13">
        <v>1345.02</v>
      </c>
      <c r="G7940" s="13"/>
    </row>
    <row r="7941" spans="1:7" hidden="1" x14ac:dyDescent="0.75">
      <c r="A7941" s="51">
        <v>44936</v>
      </c>
      <c r="B7941" s="52">
        <v>1362</v>
      </c>
      <c r="C7941" s="8" t="s">
        <v>2158</v>
      </c>
      <c r="D7941" s="8" t="s">
        <v>788</v>
      </c>
      <c r="E7941" s="52">
        <v>716</v>
      </c>
      <c r="F7941" s="13">
        <v>1454.87</v>
      </c>
      <c r="G7941" s="13"/>
    </row>
    <row r="7942" spans="1:7" hidden="1" x14ac:dyDescent="0.75">
      <c r="A7942" s="51">
        <v>44936</v>
      </c>
      <c r="B7942" s="52">
        <v>1362</v>
      </c>
      <c r="C7942" s="8" t="s">
        <v>2042</v>
      </c>
      <c r="D7942" s="8" t="s">
        <v>788</v>
      </c>
      <c r="E7942" s="52">
        <v>711</v>
      </c>
      <c r="F7942" s="13">
        <v>2321.94</v>
      </c>
      <c r="G7942" s="13"/>
    </row>
    <row r="7943" spans="1:7" hidden="1" x14ac:dyDescent="0.75">
      <c r="A7943" s="51">
        <v>44936</v>
      </c>
      <c r="B7943" s="52">
        <v>1362</v>
      </c>
      <c r="C7943" s="8" t="s">
        <v>2010</v>
      </c>
      <c r="D7943" s="8" t="s">
        <v>788</v>
      </c>
      <c r="E7943" s="52">
        <v>713</v>
      </c>
      <c r="F7943" s="13">
        <v>258.92</v>
      </c>
      <c r="G7943" s="13"/>
    </row>
    <row r="7944" spans="1:7" hidden="1" x14ac:dyDescent="0.75">
      <c r="A7944" s="51">
        <v>44936</v>
      </c>
      <c r="B7944" s="52">
        <v>1362</v>
      </c>
      <c r="C7944" s="8" t="s">
        <v>1970</v>
      </c>
      <c r="D7944" s="8" t="s">
        <v>788</v>
      </c>
      <c r="E7944" s="52">
        <v>1124</v>
      </c>
      <c r="F7944" s="13">
        <v>1935.88</v>
      </c>
      <c r="G7944" s="13"/>
    </row>
    <row r="7945" spans="1:7" hidden="1" x14ac:dyDescent="0.75">
      <c r="A7945" s="51">
        <v>44936</v>
      </c>
      <c r="B7945" s="52">
        <v>1362</v>
      </c>
      <c r="C7945" s="8" t="s">
        <v>2122</v>
      </c>
      <c r="D7945" s="8" t="s">
        <v>788</v>
      </c>
      <c r="E7945" s="52">
        <v>712</v>
      </c>
      <c r="F7945" s="13">
        <v>6710.9</v>
      </c>
      <c r="G7945" s="13"/>
    </row>
    <row r="7946" spans="1:7" hidden="1" x14ac:dyDescent="0.75">
      <c r="A7946" s="51">
        <v>44936</v>
      </c>
      <c r="B7946" s="52">
        <v>1362</v>
      </c>
      <c r="C7946" s="8" t="s">
        <v>2228</v>
      </c>
      <c r="D7946" s="8" t="s">
        <v>788</v>
      </c>
      <c r="E7946" s="52">
        <v>1739</v>
      </c>
      <c r="F7946" s="13">
        <v>768.14</v>
      </c>
      <c r="G7946" s="13"/>
    </row>
    <row r="7947" spans="1:7" hidden="1" x14ac:dyDescent="0.75">
      <c r="A7947" s="51">
        <v>44936</v>
      </c>
      <c r="B7947" s="52">
        <v>1362</v>
      </c>
      <c r="C7947" s="8" t="s">
        <v>2177</v>
      </c>
      <c r="D7947" s="8" t="s">
        <v>788</v>
      </c>
      <c r="E7947" s="52">
        <v>1734</v>
      </c>
      <c r="F7947" s="13">
        <v>1231.0999999999999</v>
      </c>
      <c r="G7947" s="13"/>
    </row>
    <row r="7948" spans="1:7" hidden="1" x14ac:dyDescent="0.75">
      <c r="A7948" s="51">
        <v>44936</v>
      </c>
      <c r="B7948" s="52">
        <v>1362</v>
      </c>
      <c r="C7948" s="8" t="s">
        <v>2158</v>
      </c>
      <c r="D7948" s="8" t="s">
        <v>788</v>
      </c>
      <c r="E7948" s="52">
        <v>716</v>
      </c>
      <c r="F7948" s="13">
        <v>532.33000000000004</v>
      </c>
      <c r="G7948" s="13"/>
    </row>
    <row r="7949" spans="1:7" hidden="1" x14ac:dyDescent="0.75">
      <c r="A7949" s="51">
        <v>44936</v>
      </c>
      <c r="B7949" s="52">
        <v>1362</v>
      </c>
      <c r="C7949" s="8" t="s">
        <v>2080</v>
      </c>
      <c r="D7949" s="8" t="s">
        <v>788</v>
      </c>
      <c r="E7949" s="52">
        <v>710</v>
      </c>
      <c r="F7949" s="13">
        <v>253.38</v>
      </c>
      <c r="G7949" s="13"/>
    </row>
    <row r="7950" spans="1:7" hidden="1" x14ac:dyDescent="0.75">
      <c r="A7950" s="51">
        <v>44936</v>
      </c>
      <c r="B7950" s="52">
        <v>1362</v>
      </c>
      <c r="C7950" s="8" t="s">
        <v>1970</v>
      </c>
      <c r="D7950" s="8" t="s">
        <v>788</v>
      </c>
      <c r="E7950" s="52">
        <v>1124</v>
      </c>
      <c r="F7950" s="13">
        <v>2029.11</v>
      </c>
      <c r="G7950" s="13"/>
    </row>
    <row r="7951" spans="1:7" hidden="1" x14ac:dyDescent="0.75">
      <c r="A7951" s="51">
        <v>44936</v>
      </c>
      <c r="B7951" s="52">
        <v>1362</v>
      </c>
      <c r="C7951" s="8" t="s">
        <v>2010</v>
      </c>
      <c r="D7951" s="8" t="s">
        <v>788</v>
      </c>
      <c r="E7951" s="52">
        <v>713</v>
      </c>
      <c r="F7951" s="13">
        <v>490.58</v>
      </c>
      <c r="G7951" s="13"/>
    </row>
    <row r="7952" spans="1:7" hidden="1" x14ac:dyDescent="0.75">
      <c r="A7952" s="51">
        <v>44936</v>
      </c>
      <c r="B7952" s="52">
        <v>1362</v>
      </c>
      <c r="C7952" s="8" t="s">
        <v>2122</v>
      </c>
      <c r="D7952" s="8" t="s">
        <v>788</v>
      </c>
      <c r="E7952" s="52">
        <v>712</v>
      </c>
      <c r="F7952" s="13">
        <v>4996.1400000000003</v>
      </c>
      <c r="G7952" s="13"/>
    </row>
    <row r="7953" spans="1:7" hidden="1" x14ac:dyDescent="0.75">
      <c r="A7953" s="51">
        <v>44936</v>
      </c>
      <c r="B7953" s="52">
        <v>1362</v>
      </c>
      <c r="C7953" s="8" t="s">
        <v>2042</v>
      </c>
      <c r="D7953" s="8" t="s">
        <v>788</v>
      </c>
      <c r="E7953" s="52">
        <v>711</v>
      </c>
      <c r="F7953" s="13">
        <v>2782.13</v>
      </c>
      <c r="G7953" s="13"/>
    </row>
    <row r="7954" spans="1:7" hidden="1" x14ac:dyDescent="0.75">
      <c r="A7954" s="51">
        <v>44936</v>
      </c>
      <c r="B7954" s="52">
        <v>1362</v>
      </c>
      <c r="C7954" s="8" t="s">
        <v>2182</v>
      </c>
      <c r="D7954" s="8" t="s">
        <v>788</v>
      </c>
      <c r="E7954" s="52">
        <v>1736</v>
      </c>
      <c r="F7954" s="13">
        <v>689.15</v>
      </c>
      <c r="G7954" s="13"/>
    </row>
    <row r="7955" spans="1:7" hidden="1" x14ac:dyDescent="0.75">
      <c r="A7955" s="51">
        <v>44936</v>
      </c>
      <c r="B7955" s="52">
        <v>1362</v>
      </c>
      <c r="C7955" s="8" t="s">
        <v>2180</v>
      </c>
      <c r="D7955" s="8" t="s">
        <v>788</v>
      </c>
      <c r="E7955" s="52">
        <v>1736</v>
      </c>
      <c r="F7955" s="13">
        <v>2252.35</v>
      </c>
      <c r="G7955" s="13"/>
    </row>
    <row r="7956" spans="1:7" hidden="1" x14ac:dyDescent="0.75">
      <c r="A7956" s="51">
        <v>44936</v>
      </c>
      <c r="B7956" s="52">
        <v>1362</v>
      </c>
      <c r="C7956" s="8" t="s">
        <v>2201</v>
      </c>
      <c r="D7956" s="8" t="s">
        <v>788</v>
      </c>
      <c r="E7956" s="52">
        <v>1736</v>
      </c>
      <c r="F7956" s="13">
        <v>1820.55</v>
      </c>
      <c r="G7956" s="13"/>
    </row>
    <row r="7957" spans="1:7" hidden="1" x14ac:dyDescent="0.75">
      <c r="A7957" s="51">
        <v>44936</v>
      </c>
      <c r="B7957" s="52">
        <v>1362</v>
      </c>
      <c r="C7957" s="8" t="s">
        <v>2181</v>
      </c>
      <c r="D7957" s="8" t="s">
        <v>788</v>
      </c>
      <c r="E7957" s="52">
        <v>1736</v>
      </c>
      <c r="F7957" s="13">
        <v>578.82000000000005</v>
      </c>
      <c r="G7957" s="13"/>
    </row>
    <row r="7958" spans="1:7" hidden="1" x14ac:dyDescent="0.75">
      <c r="A7958" s="51">
        <v>44936</v>
      </c>
      <c r="B7958" s="52">
        <v>1362</v>
      </c>
      <c r="C7958" s="8" t="s">
        <v>2080</v>
      </c>
      <c r="D7958" s="8" t="s">
        <v>788</v>
      </c>
      <c r="E7958" s="52">
        <v>710</v>
      </c>
      <c r="F7958" s="13">
        <v>333.44</v>
      </c>
      <c r="G7958" s="13"/>
    </row>
    <row r="7959" spans="1:7" hidden="1" x14ac:dyDescent="0.75">
      <c r="A7959" s="51">
        <v>44936</v>
      </c>
      <c r="B7959" s="52">
        <v>1362</v>
      </c>
      <c r="C7959" s="8" t="s">
        <v>2158</v>
      </c>
      <c r="D7959" s="8" t="s">
        <v>788</v>
      </c>
      <c r="E7959" s="52">
        <v>716</v>
      </c>
      <c r="F7959" s="13">
        <v>247.27</v>
      </c>
      <c r="G7959" s="13"/>
    </row>
    <row r="7960" spans="1:7" hidden="1" x14ac:dyDescent="0.75">
      <c r="A7960" s="51">
        <v>44936</v>
      </c>
      <c r="B7960" s="52">
        <v>1362</v>
      </c>
      <c r="C7960" s="8" t="s">
        <v>2042</v>
      </c>
      <c r="D7960" s="8" t="s">
        <v>788</v>
      </c>
      <c r="E7960" s="52">
        <v>711</v>
      </c>
      <c r="F7960" s="13">
        <v>1588.34</v>
      </c>
      <c r="G7960" s="13"/>
    </row>
    <row r="7961" spans="1:7" hidden="1" x14ac:dyDescent="0.75">
      <c r="A7961" s="51">
        <v>44936</v>
      </c>
      <c r="B7961" s="52">
        <v>1362</v>
      </c>
      <c r="C7961" s="8" t="s">
        <v>1970</v>
      </c>
      <c r="D7961" s="8" t="s">
        <v>788</v>
      </c>
      <c r="E7961" s="52">
        <v>1124</v>
      </c>
      <c r="F7961" s="13">
        <v>1712.38</v>
      </c>
      <c r="G7961" s="13"/>
    </row>
    <row r="7962" spans="1:7" hidden="1" x14ac:dyDescent="0.75">
      <c r="A7962" s="51">
        <v>44936</v>
      </c>
      <c r="B7962" s="52">
        <v>1362</v>
      </c>
      <c r="C7962" s="8" t="s">
        <v>2122</v>
      </c>
      <c r="D7962" s="8" t="s">
        <v>788</v>
      </c>
      <c r="E7962" s="52">
        <v>712</v>
      </c>
      <c r="F7962" s="13">
        <v>3564.1</v>
      </c>
      <c r="G7962" s="13"/>
    </row>
    <row r="7963" spans="1:7" hidden="1" x14ac:dyDescent="0.75">
      <c r="A7963" s="51">
        <v>44936</v>
      </c>
      <c r="B7963" s="52">
        <v>1362</v>
      </c>
      <c r="C7963" s="8" t="s">
        <v>2010</v>
      </c>
      <c r="D7963" s="8" t="s">
        <v>788</v>
      </c>
      <c r="E7963" s="52">
        <v>713</v>
      </c>
      <c r="F7963" s="13">
        <v>1133.71</v>
      </c>
      <c r="G7963" s="13"/>
    </row>
    <row r="7964" spans="1:7" hidden="1" x14ac:dyDescent="0.75">
      <c r="A7964" s="51">
        <v>44936</v>
      </c>
      <c r="B7964" s="52">
        <v>1362</v>
      </c>
      <c r="C7964" s="8" t="s">
        <v>2080</v>
      </c>
      <c r="D7964" s="8" t="s">
        <v>788</v>
      </c>
      <c r="E7964" s="52">
        <v>710</v>
      </c>
      <c r="F7964" s="13">
        <v>611.26</v>
      </c>
      <c r="G7964" s="13"/>
    </row>
    <row r="7965" spans="1:7" hidden="1" x14ac:dyDescent="0.75">
      <c r="A7965" s="51">
        <v>44936</v>
      </c>
      <c r="B7965" s="52">
        <v>1362</v>
      </c>
      <c r="C7965" s="8" t="s">
        <v>2080</v>
      </c>
      <c r="D7965" s="8" t="s">
        <v>788</v>
      </c>
      <c r="E7965" s="52">
        <v>710</v>
      </c>
      <c r="F7965" s="13">
        <v>68</v>
      </c>
      <c r="G7965" s="13"/>
    </row>
    <row r="7966" spans="1:7" hidden="1" x14ac:dyDescent="0.75">
      <c r="A7966" s="51">
        <v>44936</v>
      </c>
      <c r="B7966" s="52">
        <v>1362</v>
      </c>
      <c r="C7966" s="8" t="s">
        <v>2010</v>
      </c>
      <c r="D7966" s="8" t="s">
        <v>788</v>
      </c>
      <c r="E7966" s="52">
        <v>713</v>
      </c>
      <c r="F7966" s="13">
        <v>102.6</v>
      </c>
      <c r="G7966" s="13"/>
    </row>
    <row r="7967" spans="1:7" hidden="1" x14ac:dyDescent="0.75">
      <c r="A7967" s="51">
        <v>44936</v>
      </c>
      <c r="B7967" s="52">
        <v>1362</v>
      </c>
      <c r="C7967" s="8" t="s">
        <v>1970</v>
      </c>
      <c r="D7967" s="8" t="s">
        <v>788</v>
      </c>
      <c r="E7967" s="52">
        <v>1124</v>
      </c>
      <c r="F7967" s="13">
        <v>2171.04</v>
      </c>
      <c r="G7967" s="13"/>
    </row>
    <row r="7968" spans="1:7" hidden="1" x14ac:dyDescent="0.75">
      <c r="A7968" s="51">
        <v>44936</v>
      </c>
      <c r="B7968" s="52">
        <v>1362</v>
      </c>
      <c r="C7968" s="8" t="s">
        <v>1970</v>
      </c>
      <c r="D7968" s="8" t="s">
        <v>788</v>
      </c>
      <c r="E7968" s="52">
        <v>1124</v>
      </c>
      <c r="F7968" s="13">
        <v>255</v>
      </c>
      <c r="G7968" s="13"/>
    </row>
    <row r="7969" spans="1:7" hidden="1" x14ac:dyDescent="0.75">
      <c r="A7969" s="51">
        <v>44936</v>
      </c>
      <c r="B7969" s="52">
        <v>1362</v>
      </c>
      <c r="C7969" s="8" t="s">
        <v>2010</v>
      </c>
      <c r="D7969" s="8" t="s">
        <v>788</v>
      </c>
      <c r="E7969" s="52">
        <v>713</v>
      </c>
      <c r="F7969" s="13">
        <v>59.5</v>
      </c>
      <c r="G7969" s="13"/>
    </row>
    <row r="7970" spans="1:7" hidden="1" x14ac:dyDescent="0.75">
      <c r="A7970" s="51">
        <v>44936</v>
      </c>
      <c r="B7970" s="52">
        <v>1362</v>
      </c>
      <c r="C7970" s="8" t="s">
        <v>2122</v>
      </c>
      <c r="D7970" s="8" t="s">
        <v>788</v>
      </c>
      <c r="E7970" s="52">
        <v>712</v>
      </c>
      <c r="F7970" s="13">
        <v>2322.67</v>
      </c>
      <c r="G7970" s="13"/>
    </row>
    <row r="7971" spans="1:7" hidden="1" x14ac:dyDescent="0.75">
      <c r="A7971" s="51">
        <v>44936</v>
      </c>
      <c r="B7971" s="52">
        <v>1362</v>
      </c>
      <c r="C7971" s="8" t="s">
        <v>2042</v>
      </c>
      <c r="D7971" s="8" t="s">
        <v>788</v>
      </c>
      <c r="E7971" s="52">
        <v>711</v>
      </c>
      <c r="F7971" s="13">
        <v>102</v>
      </c>
      <c r="G7971" s="13"/>
    </row>
    <row r="7972" spans="1:7" hidden="1" x14ac:dyDescent="0.75">
      <c r="A7972" s="51">
        <v>44936</v>
      </c>
      <c r="B7972" s="52">
        <v>1362</v>
      </c>
      <c r="C7972" s="8" t="s">
        <v>2122</v>
      </c>
      <c r="D7972" s="8" t="s">
        <v>788</v>
      </c>
      <c r="E7972" s="52">
        <v>712</v>
      </c>
      <c r="F7972" s="13">
        <v>646</v>
      </c>
      <c r="G7972" s="13"/>
    </row>
    <row r="7973" spans="1:7" hidden="1" x14ac:dyDescent="0.75">
      <c r="A7973" s="51">
        <v>44936</v>
      </c>
      <c r="B7973" s="52">
        <v>1362</v>
      </c>
      <c r="C7973" s="8" t="s">
        <v>2042</v>
      </c>
      <c r="D7973" s="8" t="s">
        <v>788</v>
      </c>
      <c r="E7973" s="52">
        <v>711</v>
      </c>
      <c r="F7973" s="13">
        <v>1639.61</v>
      </c>
      <c r="G7973" s="13"/>
    </row>
    <row r="7974" spans="1:7" hidden="1" x14ac:dyDescent="0.75">
      <c r="A7974" s="51">
        <v>44936</v>
      </c>
      <c r="B7974" s="52">
        <v>1362</v>
      </c>
      <c r="C7974" s="8" t="s">
        <v>2158</v>
      </c>
      <c r="D7974" s="8" t="s">
        <v>788</v>
      </c>
      <c r="E7974" s="52">
        <v>716</v>
      </c>
      <c r="F7974" s="13">
        <v>1921.94</v>
      </c>
      <c r="G7974" s="13"/>
    </row>
    <row r="7975" spans="1:7" hidden="1" x14ac:dyDescent="0.75">
      <c r="A7975" s="51">
        <v>44936</v>
      </c>
      <c r="B7975" s="52">
        <v>1362</v>
      </c>
      <c r="C7975" s="8" t="s">
        <v>2182</v>
      </c>
      <c r="D7975" s="8" t="s">
        <v>788</v>
      </c>
      <c r="E7975" s="52">
        <v>1736</v>
      </c>
      <c r="F7975" s="13">
        <v>678.5</v>
      </c>
      <c r="G7975" s="13"/>
    </row>
    <row r="7976" spans="1:7" hidden="1" x14ac:dyDescent="0.75">
      <c r="A7976" s="51">
        <v>44936</v>
      </c>
      <c r="B7976" s="52">
        <v>1362</v>
      </c>
      <c r="C7976" s="8" t="s">
        <v>2181</v>
      </c>
      <c r="D7976" s="8" t="s">
        <v>788</v>
      </c>
      <c r="E7976" s="52">
        <v>1736</v>
      </c>
      <c r="F7976" s="13">
        <v>1651.3</v>
      </c>
      <c r="G7976" s="13"/>
    </row>
    <row r="7977" spans="1:7" hidden="1" x14ac:dyDescent="0.75">
      <c r="A7977" s="51">
        <v>44936</v>
      </c>
      <c r="B7977" s="52">
        <v>1362</v>
      </c>
      <c r="C7977" s="8" t="s">
        <v>2180</v>
      </c>
      <c r="D7977" s="8" t="s">
        <v>788</v>
      </c>
      <c r="E7977" s="52">
        <v>1736</v>
      </c>
      <c r="F7977" s="13">
        <v>643.23</v>
      </c>
      <c r="G7977" s="13"/>
    </row>
    <row r="7978" spans="1:7" hidden="1" x14ac:dyDescent="0.75">
      <c r="A7978" s="51">
        <v>44936</v>
      </c>
      <c r="B7978" s="52">
        <v>1362</v>
      </c>
      <c r="C7978" s="8" t="s">
        <v>1954</v>
      </c>
      <c r="D7978" s="8" t="s">
        <v>788</v>
      </c>
      <c r="E7978" s="52">
        <v>709</v>
      </c>
      <c r="F7978" s="13">
        <v>2074.16</v>
      </c>
      <c r="G7978" s="13"/>
    </row>
    <row r="7979" spans="1:7" hidden="1" x14ac:dyDescent="0.75">
      <c r="A7979" s="51">
        <v>44936</v>
      </c>
      <c r="B7979" s="52">
        <v>1362</v>
      </c>
      <c r="C7979" s="8" t="s">
        <v>2200</v>
      </c>
      <c r="D7979" s="8" t="s">
        <v>788</v>
      </c>
      <c r="E7979" s="52">
        <v>1736</v>
      </c>
      <c r="F7979" s="13">
        <v>887.78</v>
      </c>
      <c r="G7979" s="13"/>
    </row>
    <row r="7980" spans="1:7" hidden="1" x14ac:dyDescent="0.75">
      <c r="A7980" s="51">
        <v>44936</v>
      </c>
      <c r="B7980" s="52">
        <v>1362</v>
      </c>
      <c r="C7980" s="8" t="s">
        <v>2080</v>
      </c>
      <c r="D7980" s="8" t="s">
        <v>788</v>
      </c>
      <c r="E7980" s="52">
        <v>710</v>
      </c>
      <c r="F7980" s="13">
        <v>867</v>
      </c>
      <c r="G7980" s="13"/>
    </row>
    <row r="7981" spans="1:7" hidden="1" x14ac:dyDescent="0.75">
      <c r="A7981" s="51">
        <v>44936</v>
      </c>
      <c r="B7981" s="52">
        <v>1362</v>
      </c>
      <c r="C7981" s="8" t="s">
        <v>1970</v>
      </c>
      <c r="D7981" s="8" t="s">
        <v>788</v>
      </c>
      <c r="E7981" s="52">
        <v>1124</v>
      </c>
      <c r="F7981" s="13">
        <v>2185.16</v>
      </c>
      <c r="G7981" s="13"/>
    </row>
    <row r="7982" spans="1:7" hidden="1" x14ac:dyDescent="0.75">
      <c r="A7982" s="51">
        <v>44936</v>
      </c>
      <c r="B7982" s="52">
        <v>1362</v>
      </c>
      <c r="C7982" s="8" t="s">
        <v>2010</v>
      </c>
      <c r="D7982" s="8" t="s">
        <v>788</v>
      </c>
      <c r="E7982" s="52">
        <v>713</v>
      </c>
      <c r="F7982" s="13">
        <v>2178.5300000000002</v>
      </c>
      <c r="G7982" s="13"/>
    </row>
    <row r="7983" spans="1:7" hidden="1" x14ac:dyDescent="0.75">
      <c r="A7983" s="51">
        <v>44936</v>
      </c>
      <c r="B7983" s="52">
        <v>1362</v>
      </c>
      <c r="C7983" s="8" t="s">
        <v>2042</v>
      </c>
      <c r="D7983" s="8" t="s">
        <v>788</v>
      </c>
      <c r="E7983" s="52">
        <v>711</v>
      </c>
      <c r="F7983" s="13">
        <v>1577.91</v>
      </c>
      <c r="G7983" s="13"/>
    </row>
    <row r="7984" spans="1:7" hidden="1" x14ac:dyDescent="0.75">
      <c r="A7984" s="51">
        <v>44936</v>
      </c>
      <c r="B7984" s="52">
        <v>1362</v>
      </c>
      <c r="C7984" s="8" t="s">
        <v>2122</v>
      </c>
      <c r="D7984" s="8" t="s">
        <v>788</v>
      </c>
      <c r="E7984" s="52">
        <v>712</v>
      </c>
      <c r="F7984" s="13">
        <v>5482.95</v>
      </c>
      <c r="G7984" s="13"/>
    </row>
    <row r="7985" spans="1:7" hidden="1" x14ac:dyDescent="0.75">
      <c r="A7985" s="51">
        <v>44936</v>
      </c>
      <c r="B7985" s="52">
        <v>1362</v>
      </c>
      <c r="C7985" s="8" t="s">
        <v>2066</v>
      </c>
      <c r="D7985" s="8" t="s">
        <v>788</v>
      </c>
      <c r="E7985" s="52">
        <v>1729</v>
      </c>
      <c r="F7985" s="13">
        <v>912.84</v>
      </c>
      <c r="G7985" s="13"/>
    </row>
    <row r="7986" spans="1:7" hidden="1" x14ac:dyDescent="0.75">
      <c r="A7986" s="51">
        <v>44936</v>
      </c>
      <c r="B7986" s="52">
        <v>1362</v>
      </c>
      <c r="C7986" s="8" t="s">
        <v>2158</v>
      </c>
      <c r="D7986" s="8" t="s">
        <v>788</v>
      </c>
      <c r="E7986" s="52">
        <v>716</v>
      </c>
      <c r="F7986" s="13">
        <v>1186.68</v>
      </c>
      <c r="G7986" s="13"/>
    </row>
    <row r="7987" spans="1:7" hidden="1" x14ac:dyDescent="0.75">
      <c r="A7987" s="51">
        <v>44936</v>
      </c>
      <c r="B7987" s="52">
        <v>1362</v>
      </c>
      <c r="C7987" s="8" t="s">
        <v>2042</v>
      </c>
      <c r="D7987" s="8" t="s">
        <v>788</v>
      </c>
      <c r="E7987" s="52">
        <v>711</v>
      </c>
      <c r="F7987" s="13">
        <v>1451.05</v>
      </c>
      <c r="G7987" s="13"/>
    </row>
    <row r="7988" spans="1:7" hidden="1" x14ac:dyDescent="0.75">
      <c r="A7988" s="51">
        <v>44936</v>
      </c>
      <c r="B7988" s="52">
        <v>1362</v>
      </c>
      <c r="C7988" s="8" t="s">
        <v>2010</v>
      </c>
      <c r="D7988" s="8" t="s">
        <v>788</v>
      </c>
      <c r="E7988" s="52">
        <v>713</v>
      </c>
      <c r="F7988" s="13">
        <v>1141.23</v>
      </c>
      <c r="G7988" s="13"/>
    </row>
    <row r="7989" spans="1:7" hidden="1" x14ac:dyDescent="0.75">
      <c r="A7989" s="51">
        <v>44936</v>
      </c>
      <c r="B7989" s="52">
        <v>1362</v>
      </c>
      <c r="C7989" s="8" t="s">
        <v>1970</v>
      </c>
      <c r="D7989" s="8" t="s">
        <v>788</v>
      </c>
      <c r="E7989" s="52">
        <v>1124</v>
      </c>
      <c r="F7989" s="13">
        <v>1661.93</v>
      </c>
      <c r="G7989" s="13"/>
    </row>
    <row r="7990" spans="1:7" hidden="1" x14ac:dyDescent="0.75">
      <c r="A7990" s="51">
        <v>44936</v>
      </c>
      <c r="B7990" s="52">
        <v>1362</v>
      </c>
      <c r="C7990" s="8" t="s">
        <v>2080</v>
      </c>
      <c r="D7990" s="8" t="s">
        <v>788</v>
      </c>
      <c r="E7990" s="52">
        <v>710</v>
      </c>
      <c r="F7990" s="13">
        <v>1435.93</v>
      </c>
      <c r="G7990" s="13"/>
    </row>
    <row r="7991" spans="1:7" hidden="1" x14ac:dyDescent="0.75">
      <c r="A7991" s="51">
        <v>44936</v>
      </c>
      <c r="B7991" s="52">
        <v>1362</v>
      </c>
      <c r="C7991" s="8" t="s">
        <v>2122</v>
      </c>
      <c r="D7991" s="8" t="s">
        <v>788</v>
      </c>
      <c r="E7991" s="52">
        <v>712</v>
      </c>
      <c r="F7991" s="13">
        <v>1791.69</v>
      </c>
      <c r="G7991" s="13"/>
    </row>
    <row r="7992" spans="1:7" hidden="1" x14ac:dyDescent="0.75">
      <c r="A7992" s="51">
        <v>44936</v>
      </c>
      <c r="B7992" s="52">
        <v>1362</v>
      </c>
      <c r="C7992" s="8" t="s">
        <v>2181</v>
      </c>
      <c r="D7992" s="8" t="s">
        <v>788</v>
      </c>
      <c r="E7992" s="52">
        <v>1736</v>
      </c>
      <c r="F7992" s="13">
        <v>1441.9</v>
      </c>
      <c r="G7992" s="13"/>
    </row>
    <row r="7993" spans="1:7" hidden="1" x14ac:dyDescent="0.75">
      <c r="A7993" s="51">
        <v>44936</v>
      </c>
      <c r="B7993" s="52">
        <v>1362</v>
      </c>
      <c r="C7993" s="8" t="s">
        <v>2182</v>
      </c>
      <c r="D7993" s="8" t="s">
        <v>788</v>
      </c>
      <c r="E7993" s="52">
        <v>1736</v>
      </c>
      <c r="F7993" s="13">
        <v>1881</v>
      </c>
      <c r="G7993" s="13"/>
    </row>
    <row r="7994" spans="1:7" hidden="1" x14ac:dyDescent="0.75">
      <c r="A7994" s="51">
        <v>44936</v>
      </c>
      <c r="B7994" s="52">
        <v>1362</v>
      </c>
      <c r="C7994" s="8" t="s">
        <v>2201</v>
      </c>
      <c r="D7994" s="8" t="s">
        <v>788</v>
      </c>
      <c r="E7994" s="52">
        <v>1736</v>
      </c>
      <c r="F7994" s="13">
        <v>521.29999999999995</v>
      </c>
      <c r="G7994" s="13"/>
    </row>
    <row r="7995" spans="1:7" hidden="1" x14ac:dyDescent="0.75">
      <c r="A7995" s="51">
        <v>44936</v>
      </c>
      <c r="B7995" s="52">
        <v>1362</v>
      </c>
      <c r="C7995" s="8" t="s">
        <v>2180</v>
      </c>
      <c r="D7995" s="8" t="s">
        <v>788</v>
      </c>
      <c r="E7995" s="52">
        <v>1736</v>
      </c>
      <c r="F7995" s="13">
        <v>951.11</v>
      </c>
      <c r="G7995" s="13"/>
    </row>
    <row r="7996" spans="1:7" hidden="1" x14ac:dyDescent="0.75">
      <c r="A7996" s="51">
        <v>44936</v>
      </c>
      <c r="B7996" s="52">
        <v>1362</v>
      </c>
      <c r="C7996" s="8" t="s">
        <v>2103</v>
      </c>
      <c r="D7996" s="8" t="s">
        <v>788</v>
      </c>
      <c r="E7996" s="52">
        <v>720</v>
      </c>
      <c r="F7996" s="13">
        <v>2024.32</v>
      </c>
      <c r="G7996" s="13"/>
    </row>
    <row r="7997" spans="1:7" hidden="1" x14ac:dyDescent="0.75">
      <c r="A7997" s="51">
        <v>44936</v>
      </c>
      <c r="B7997" s="52">
        <v>1362</v>
      </c>
      <c r="C7997" s="8" t="s">
        <v>2080</v>
      </c>
      <c r="D7997" s="8" t="s">
        <v>788</v>
      </c>
      <c r="E7997" s="52">
        <v>710</v>
      </c>
      <c r="F7997" s="13">
        <v>1280.97</v>
      </c>
      <c r="G7997" s="13"/>
    </row>
    <row r="7998" spans="1:7" hidden="1" x14ac:dyDescent="0.75">
      <c r="A7998" s="51">
        <v>44936</v>
      </c>
      <c r="B7998" s="52">
        <v>1362</v>
      </c>
      <c r="C7998" s="8" t="s">
        <v>2158</v>
      </c>
      <c r="D7998" s="8" t="s">
        <v>788</v>
      </c>
      <c r="E7998" s="52">
        <v>716</v>
      </c>
      <c r="F7998" s="13">
        <v>629.5</v>
      </c>
      <c r="G7998" s="13"/>
    </row>
    <row r="7999" spans="1:7" hidden="1" x14ac:dyDescent="0.75">
      <c r="A7999" s="51">
        <v>44936</v>
      </c>
      <c r="B7999" s="52">
        <v>1362</v>
      </c>
      <c r="C7999" s="8" t="s">
        <v>2122</v>
      </c>
      <c r="D7999" s="8" t="s">
        <v>788</v>
      </c>
      <c r="E7999" s="52">
        <v>712</v>
      </c>
      <c r="F7999" s="13">
        <v>3309.44</v>
      </c>
      <c r="G7999" s="13"/>
    </row>
    <row r="8000" spans="1:7" hidden="1" x14ac:dyDescent="0.75">
      <c r="A8000" s="51">
        <v>44936</v>
      </c>
      <c r="B8000" s="52">
        <v>1362</v>
      </c>
      <c r="C8000" s="8" t="s">
        <v>1970</v>
      </c>
      <c r="D8000" s="8" t="s">
        <v>788</v>
      </c>
      <c r="E8000" s="52">
        <v>1124</v>
      </c>
      <c r="F8000" s="13">
        <v>1725.72</v>
      </c>
      <c r="G8000" s="13"/>
    </row>
    <row r="8001" spans="1:7" hidden="1" x14ac:dyDescent="0.75">
      <c r="A8001" s="51">
        <v>44936</v>
      </c>
      <c r="B8001" s="52">
        <v>1362</v>
      </c>
      <c r="C8001" s="8" t="s">
        <v>2010</v>
      </c>
      <c r="D8001" s="8" t="s">
        <v>788</v>
      </c>
      <c r="E8001" s="52">
        <v>713</v>
      </c>
      <c r="F8001" s="13">
        <v>1195.56</v>
      </c>
      <c r="G8001" s="13"/>
    </row>
    <row r="8002" spans="1:7" hidden="1" x14ac:dyDescent="0.75">
      <c r="A8002" s="51">
        <v>44936</v>
      </c>
      <c r="B8002" s="52">
        <v>1362</v>
      </c>
      <c r="C8002" s="8" t="s">
        <v>2042</v>
      </c>
      <c r="D8002" s="8" t="s">
        <v>788</v>
      </c>
      <c r="E8002" s="52">
        <v>711</v>
      </c>
      <c r="F8002" s="13">
        <v>1688.86</v>
      </c>
      <c r="G8002" s="13"/>
    </row>
    <row r="8003" spans="1:7" hidden="1" x14ac:dyDescent="0.75">
      <c r="A8003" s="51">
        <v>44936</v>
      </c>
      <c r="B8003" s="52">
        <v>1362</v>
      </c>
      <c r="C8003" s="8" t="s">
        <v>2228</v>
      </c>
      <c r="D8003" s="8" t="s">
        <v>788</v>
      </c>
      <c r="E8003" s="52">
        <v>1739</v>
      </c>
      <c r="F8003" s="13">
        <v>729.36</v>
      </c>
      <c r="G8003" s="13"/>
    </row>
    <row r="8004" spans="1:7" hidden="1" x14ac:dyDescent="0.75">
      <c r="A8004" s="51">
        <v>44936</v>
      </c>
      <c r="B8004" s="52">
        <v>1362</v>
      </c>
      <c r="C8004" s="8" t="s">
        <v>2177</v>
      </c>
      <c r="D8004" s="8" t="s">
        <v>788</v>
      </c>
      <c r="E8004" s="52">
        <v>1734</v>
      </c>
      <c r="F8004" s="13">
        <v>2471.87</v>
      </c>
      <c r="G8004" s="13"/>
    </row>
    <row r="8005" spans="1:7" hidden="1" x14ac:dyDescent="0.75">
      <c r="A8005" s="51">
        <v>44936</v>
      </c>
      <c r="B8005" s="52">
        <v>1362</v>
      </c>
      <c r="C8005" s="8" t="s">
        <v>2158</v>
      </c>
      <c r="D8005" s="8" t="s">
        <v>788</v>
      </c>
      <c r="E8005" s="52">
        <v>716</v>
      </c>
      <c r="F8005" s="13">
        <v>1048.79</v>
      </c>
      <c r="G8005" s="13"/>
    </row>
    <row r="8006" spans="1:7" hidden="1" x14ac:dyDescent="0.75">
      <c r="A8006" s="51">
        <v>44936</v>
      </c>
      <c r="B8006" s="52">
        <v>1362</v>
      </c>
      <c r="C8006" s="8" t="s">
        <v>2080</v>
      </c>
      <c r="D8006" s="8" t="s">
        <v>788</v>
      </c>
      <c r="E8006" s="52">
        <v>710</v>
      </c>
      <c r="F8006" s="13">
        <v>1193.04</v>
      </c>
      <c r="G8006" s="13"/>
    </row>
    <row r="8007" spans="1:7" hidden="1" x14ac:dyDescent="0.75">
      <c r="A8007" s="51">
        <v>44936</v>
      </c>
      <c r="B8007" s="52">
        <v>1362</v>
      </c>
      <c r="C8007" s="8" t="s">
        <v>1970</v>
      </c>
      <c r="D8007" s="8" t="s">
        <v>788</v>
      </c>
      <c r="E8007" s="52">
        <v>1124</v>
      </c>
      <c r="F8007" s="13">
        <v>2061.08</v>
      </c>
      <c r="G8007" s="13"/>
    </row>
    <row r="8008" spans="1:7" hidden="1" x14ac:dyDescent="0.75">
      <c r="A8008" s="51">
        <v>44936</v>
      </c>
      <c r="B8008" s="52">
        <v>1362</v>
      </c>
      <c r="C8008" s="8" t="s">
        <v>2010</v>
      </c>
      <c r="D8008" s="8" t="s">
        <v>788</v>
      </c>
      <c r="E8008" s="52">
        <v>713</v>
      </c>
      <c r="F8008" s="13">
        <v>237.31</v>
      </c>
      <c r="G8008" s="13"/>
    </row>
    <row r="8009" spans="1:7" hidden="1" x14ac:dyDescent="0.75">
      <c r="A8009" s="51">
        <v>44936</v>
      </c>
      <c r="B8009" s="52">
        <v>1362</v>
      </c>
      <c r="C8009" s="8" t="s">
        <v>2122</v>
      </c>
      <c r="D8009" s="8" t="s">
        <v>788</v>
      </c>
      <c r="E8009" s="52">
        <v>712</v>
      </c>
      <c r="F8009" s="13">
        <v>4192.95</v>
      </c>
      <c r="G8009" s="13"/>
    </row>
    <row r="8010" spans="1:7" hidden="1" x14ac:dyDescent="0.75">
      <c r="A8010" s="51">
        <v>44936</v>
      </c>
      <c r="B8010" s="52">
        <v>1362</v>
      </c>
      <c r="C8010" s="8" t="s">
        <v>2042</v>
      </c>
      <c r="D8010" s="8" t="s">
        <v>788</v>
      </c>
      <c r="E8010" s="52">
        <v>711</v>
      </c>
      <c r="F8010" s="13">
        <v>2109.35</v>
      </c>
      <c r="G8010" s="13"/>
    </row>
    <row r="8011" spans="1:7" hidden="1" x14ac:dyDescent="0.75">
      <c r="A8011" s="51">
        <v>44936</v>
      </c>
      <c r="B8011" s="52">
        <v>1362</v>
      </c>
      <c r="C8011" s="8" t="s">
        <v>2180</v>
      </c>
      <c r="D8011" s="8" t="s">
        <v>788</v>
      </c>
      <c r="E8011" s="52">
        <v>1736</v>
      </c>
      <c r="F8011" s="13">
        <v>1467.9</v>
      </c>
      <c r="G8011" s="13"/>
    </row>
    <row r="8012" spans="1:7" hidden="1" x14ac:dyDescent="0.75">
      <c r="A8012" s="51">
        <v>44936</v>
      </c>
      <c r="B8012" s="52">
        <v>1362</v>
      </c>
      <c r="C8012" s="8" t="s">
        <v>2201</v>
      </c>
      <c r="D8012" s="8" t="s">
        <v>788</v>
      </c>
      <c r="E8012" s="52">
        <v>1736</v>
      </c>
      <c r="F8012" s="13">
        <v>1662.19</v>
      </c>
      <c r="G8012" s="13"/>
    </row>
    <row r="8013" spans="1:7" hidden="1" x14ac:dyDescent="0.75">
      <c r="A8013" s="51">
        <v>44936</v>
      </c>
      <c r="B8013" s="52">
        <v>1362</v>
      </c>
      <c r="C8013" s="8" t="s">
        <v>2181</v>
      </c>
      <c r="D8013" s="8" t="s">
        <v>788</v>
      </c>
      <c r="E8013" s="52">
        <v>917</v>
      </c>
      <c r="F8013" s="13">
        <v>2281.5100000000002</v>
      </c>
      <c r="G8013" s="13"/>
    </row>
    <row r="8014" spans="1:7" hidden="1" x14ac:dyDescent="0.75">
      <c r="A8014" s="51">
        <v>44936</v>
      </c>
      <c r="B8014" s="52">
        <v>1362</v>
      </c>
      <c r="C8014" s="8" t="s">
        <v>2182</v>
      </c>
      <c r="D8014" s="8" t="s">
        <v>788</v>
      </c>
      <c r="E8014" s="52">
        <v>1736</v>
      </c>
      <c r="F8014" s="13">
        <v>1546.79</v>
      </c>
      <c r="G8014" s="13"/>
    </row>
    <row r="8015" spans="1:7" hidden="1" x14ac:dyDescent="0.75">
      <c r="A8015" s="51">
        <v>44936</v>
      </c>
      <c r="B8015" s="52">
        <v>1362</v>
      </c>
      <c r="C8015" s="8" t="s">
        <v>1996</v>
      </c>
      <c r="D8015" s="8" t="s">
        <v>788</v>
      </c>
      <c r="E8015" s="52">
        <v>724</v>
      </c>
      <c r="F8015" s="13">
        <v>1703.12</v>
      </c>
      <c r="G8015" s="13"/>
    </row>
    <row r="8016" spans="1:7" hidden="1" x14ac:dyDescent="0.75">
      <c r="A8016" s="51">
        <v>44936</v>
      </c>
      <c r="B8016" s="52">
        <v>1362</v>
      </c>
      <c r="C8016" s="8" t="s">
        <v>2103</v>
      </c>
      <c r="D8016" s="8" t="s">
        <v>788</v>
      </c>
      <c r="E8016" s="52">
        <v>720</v>
      </c>
      <c r="F8016" s="13">
        <v>1967.6</v>
      </c>
      <c r="G8016" s="13"/>
    </row>
    <row r="8017" spans="1:7" hidden="1" x14ac:dyDescent="0.75">
      <c r="A8017" s="51">
        <v>44936</v>
      </c>
      <c r="B8017" s="52">
        <v>1362</v>
      </c>
      <c r="C8017" s="8" t="s">
        <v>2080</v>
      </c>
      <c r="D8017" s="8" t="s">
        <v>788</v>
      </c>
      <c r="E8017" s="52">
        <v>710</v>
      </c>
      <c r="F8017" s="13">
        <v>307</v>
      </c>
      <c r="G8017" s="13"/>
    </row>
    <row r="8018" spans="1:7" hidden="1" x14ac:dyDescent="0.75">
      <c r="A8018" s="51">
        <v>44936</v>
      </c>
      <c r="B8018" s="52">
        <v>1362</v>
      </c>
      <c r="C8018" s="8" t="s">
        <v>2158</v>
      </c>
      <c r="D8018" s="8" t="s">
        <v>788</v>
      </c>
      <c r="E8018" s="52">
        <v>716</v>
      </c>
      <c r="F8018" s="13">
        <v>888.88</v>
      </c>
      <c r="G8018" s="13"/>
    </row>
    <row r="8019" spans="1:7" hidden="1" x14ac:dyDescent="0.75">
      <c r="A8019" s="51">
        <v>44936</v>
      </c>
      <c r="B8019" s="52">
        <v>1362</v>
      </c>
      <c r="C8019" s="8" t="s">
        <v>2122</v>
      </c>
      <c r="D8019" s="8" t="s">
        <v>788</v>
      </c>
      <c r="E8019" s="52">
        <v>712</v>
      </c>
      <c r="F8019" s="13">
        <v>3764.12</v>
      </c>
      <c r="G8019" s="13"/>
    </row>
    <row r="8020" spans="1:7" hidden="1" x14ac:dyDescent="0.75">
      <c r="A8020" s="51">
        <v>44936</v>
      </c>
      <c r="B8020" s="52">
        <v>1362</v>
      </c>
      <c r="C8020" s="8" t="s">
        <v>2042</v>
      </c>
      <c r="D8020" s="8" t="s">
        <v>788</v>
      </c>
      <c r="E8020" s="52">
        <v>711</v>
      </c>
      <c r="F8020" s="13">
        <v>1920.12</v>
      </c>
      <c r="G8020" s="13"/>
    </row>
    <row r="8021" spans="1:7" hidden="1" x14ac:dyDescent="0.75">
      <c r="A8021" s="51">
        <v>44936</v>
      </c>
      <c r="B8021" s="52">
        <v>1362</v>
      </c>
      <c r="C8021" s="8" t="s">
        <v>2010</v>
      </c>
      <c r="D8021" s="8" t="s">
        <v>788</v>
      </c>
      <c r="E8021" s="52">
        <v>713</v>
      </c>
      <c r="F8021" s="13">
        <v>1587.5</v>
      </c>
      <c r="G8021" s="13"/>
    </row>
    <row r="8022" spans="1:7" hidden="1" x14ac:dyDescent="0.75">
      <c r="A8022" s="51">
        <v>44936</v>
      </c>
      <c r="B8022" s="52">
        <v>1362</v>
      </c>
      <c r="C8022" s="8" t="s">
        <v>1970</v>
      </c>
      <c r="D8022" s="8" t="s">
        <v>788</v>
      </c>
      <c r="E8022" s="52">
        <v>1124</v>
      </c>
      <c r="F8022" s="13">
        <v>1461.62</v>
      </c>
      <c r="G8022" s="13"/>
    </row>
    <row r="8023" spans="1:7" hidden="1" x14ac:dyDescent="0.75">
      <c r="A8023" s="51">
        <v>44936</v>
      </c>
      <c r="B8023" s="52">
        <v>1362</v>
      </c>
      <c r="C8023" s="8" t="s">
        <v>2010</v>
      </c>
      <c r="D8023" s="8" t="s">
        <v>788</v>
      </c>
      <c r="E8023" s="52">
        <v>713</v>
      </c>
      <c r="F8023" s="13">
        <v>127.5</v>
      </c>
      <c r="G8023" s="13"/>
    </row>
    <row r="8024" spans="1:7" hidden="1" x14ac:dyDescent="0.75">
      <c r="A8024" s="51">
        <v>44936</v>
      </c>
      <c r="B8024" s="52">
        <v>1362</v>
      </c>
      <c r="C8024" s="8" t="s">
        <v>2010</v>
      </c>
      <c r="D8024" s="8" t="s">
        <v>788</v>
      </c>
      <c r="E8024" s="52">
        <v>713</v>
      </c>
      <c r="F8024" s="13">
        <v>1057.97</v>
      </c>
      <c r="G8024" s="13"/>
    </row>
    <row r="8025" spans="1:7" hidden="1" x14ac:dyDescent="0.75">
      <c r="A8025" s="51">
        <v>44936</v>
      </c>
      <c r="B8025" s="52">
        <v>1362</v>
      </c>
      <c r="C8025" s="8" t="s">
        <v>2260</v>
      </c>
      <c r="D8025" s="8" t="s">
        <v>788</v>
      </c>
      <c r="E8025" s="52">
        <v>806</v>
      </c>
      <c r="F8025" s="13">
        <v>890</v>
      </c>
      <c r="G8025" s="13"/>
    </row>
    <row r="8026" spans="1:7" hidden="1" x14ac:dyDescent="0.75">
      <c r="A8026" s="51">
        <v>44936</v>
      </c>
      <c r="B8026" s="52">
        <v>1362</v>
      </c>
      <c r="C8026" s="8" t="s">
        <v>2261</v>
      </c>
      <c r="D8026" s="8" t="s">
        <v>788</v>
      </c>
      <c r="E8026" s="52">
        <v>806</v>
      </c>
      <c r="F8026" s="13">
        <v>2925.4</v>
      </c>
      <c r="G8026" s="13"/>
    </row>
    <row r="8027" spans="1:7" hidden="1" x14ac:dyDescent="0.75">
      <c r="A8027" s="51">
        <v>44936</v>
      </c>
      <c r="B8027" s="52">
        <v>1362</v>
      </c>
      <c r="C8027" s="8" t="s">
        <v>2262</v>
      </c>
      <c r="D8027" s="8" t="s">
        <v>788</v>
      </c>
      <c r="E8027" s="52">
        <v>806</v>
      </c>
      <c r="F8027" s="13">
        <v>2795.5</v>
      </c>
      <c r="G8027" s="13"/>
    </row>
    <row r="8028" spans="1:7" hidden="1" x14ac:dyDescent="0.75">
      <c r="A8028" s="51">
        <v>44936</v>
      </c>
      <c r="B8028" s="52">
        <v>1362</v>
      </c>
      <c r="C8028" s="8" t="s">
        <v>2263</v>
      </c>
      <c r="D8028" s="8" t="s">
        <v>788</v>
      </c>
      <c r="E8028" s="52">
        <v>806</v>
      </c>
      <c r="F8028" s="13">
        <v>204</v>
      </c>
      <c r="G8028" s="13"/>
    </row>
    <row r="8029" spans="1:7" hidden="1" x14ac:dyDescent="0.75">
      <c r="A8029" s="51">
        <v>44936</v>
      </c>
      <c r="B8029" s="52">
        <v>1362</v>
      </c>
      <c r="C8029" s="8" t="s">
        <v>2124</v>
      </c>
      <c r="D8029" s="8" t="s">
        <v>788</v>
      </c>
      <c r="E8029" s="52">
        <v>712</v>
      </c>
      <c r="F8029" s="13">
        <v>3092.5</v>
      </c>
      <c r="G8029" s="13"/>
    </row>
    <row r="8030" spans="1:7" hidden="1" x14ac:dyDescent="0.75">
      <c r="A8030" s="51">
        <v>44936</v>
      </c>
      <c r="B8030" s="52">
        <v>1362</v>
      </c>
      <c r="C8030" s="8" t="s">
        <v>2264</v>
      </c>
      <c r="D8030" s="8" t="s">
        <v>788</v>
      </c>
      <c r="E8030" s="52">
        <v>806</v>
      </c>
      <c r="F8030" s="13">
        <v>890</v>
      </c>
      <c r="G8030" s="13"/>
    </row>
    <row r="8031" spans="1:7" hidden="1" x14ac:dyDescent="0.75">
      <c r="A8031" s="51">
        <v>44936</v>
      </c>
      <c r="B8031" s="52">
        <v>1362</v>
      </c>
      <c r="C8031" s="8" t="s">
        <v>2265</v>
      </c>
      <c r="D8031" s="8" t="s">
        <v>788</v>
      </c>
      <c r="E8031" s="52">
        <v>806</v>
      </c>
      <c r="F8031" s="13">
        <v>191</v>
      </c>
      <c r="G8031" s="13"/>
    </row>
    <row r="8032" spans="1:7" hidden="1" x14ac:dyDescent="0.75">
      <c r="A8032" s="51">
        <v>44936</v>
      </c>
      <c r="B8032" s="52">
        <v>1362</v>
      </c>
      <c r="C8032" s="8" t="s">
        <v>2266</v>
      </c>
      <c r="D8032" s="8" t="s">
        <v>788</v>
      </c>
      <c r="E8032" s="52">
        <v>806</v>
      </c>
      <c r="F8032" s="13">
        <v>1792.5</v>
      </c>
      <c r="G8032" s="13"/>
    </row>
    <row r="8033" spans="1:7" hidden="1" x14ac:dyDescent="0.75">
      <c r="A8033" s="51">
        <v>44936</v>
      </c>
      <c r="B8033" s="52">
        <v>1362</v>
      </c>
      <c r="C8033" s="8" t="s">
        <v>2267</v>
      </c>
      <c r="D8033" s="8" t="s">
        <v>788</v>
      </c>
      <c r="E8033" s="52">
        <v>806</v>
      </c>
      <c r="F8033" s="13">
        <v>534</v>
      </c>
      <c r="G8033" s="13"/>
    </row>
    <row r="8034" spans="1:7" hidden="1" x14ac:dyDescent="0.75">
      <c r="A8034" s="51">
        <v>44936</v>
      </c>
      <c r="B8034" s="52">
        <v>1362</v>
      </c>
      <c r="C8034" s="8" t="s">
        <v>2125</v>
      </c>
      <c r="D8034" s="8" t="s">
        <v>788</v>
      </c>
      <c r="E8034" s="52">
        <v>712</v>
      </c>
      <c r="F8034" s="13">
        <v>3377.1</v>
      </c>
      <c r="G8034" s="13"/>
    </row>
    <row r="8035" spans="1:7" hidden="1" x14ac:dyDescent="0.75">
      <c r="A8035" s="51">
        <v>44936</v>
      </c>
      <c r="B8035" s="52">
        <v>1362</v>
      </c>
      <c r="C8035" s="8" t="s">
        <v>2268</v>
      </c>
      <c r="D8035" s="8" t="s">
        <v>788</v>
      </c>
      <c r="E8035" s="52">
        <v>806</v>
      </c>
      <c r="F8035" s="13">
        <v>890</v>
      </c>
      <c r="G8035" s="13"/>
    </row>
    <row r="8036" spans="1:7" hidden="1" x14ac:dyDescent="0.75">
      <c r="A8036" s="51">
        <v>44936</v>
      </c>
      <c r="B8036" s="52">
        <v>1362</v>
      </c>
      <c r="C8036" s="8" t="s">
        <v>2269</v>
      </c>
      <c r="D8036" s="8" t="s">
        <v>788</v>
      </c>
      <c r="E8036" s="52">
        <v>806</v>
      </c>
      <c r="F8036" s="13">
        <v>204</v>
      </c>
      <c r="G8036" s="13"/>
    </row>
    <row r="8037" spans="1:7" hidden="1" x14ac:dyDescent="0.75">
      <c r="A8037" s="51">
        <v>44936</v>
      </c>
      <c r="B8037" s="52">
        <v>1362</v>
      </c>
      <c r="C8037" s="8" t="s">
        <v>2126</v>
      </c>
      <c r="D8037" s="8" t="s">
        <v>788</v>
      </c>
      <c r="E8037" s="52">
        <v>806</v>
      </c>
      <c r="F8037" s="13">
        <v>1272.2</v>
      </c>
      <c r="G8037" s="13"/>
    </row>
    <row r="8038" spans="1:7" hidden="1" x14ac:dyDescent="0.75">
      <c r="A8038" s="51">
        <v>44936</v>
      </c>
      <c r="B8038" s="52">
        <v>1362</v>
      </c>
      <c r="C8038" s="8" t="s">
        <v>2126</v>
      </c>
      <c r="D8038" s="8" t="s">
        <v>788</v>
      </c>
      <c r="E8038" s="52">
        <v>806</v>
      </c>
      <c r="F8038" s="13">
        <v>990</v>
      </c>
      <c r="G8038" s="13"/>
    </row>
    <row r="8039" spans="1:7" hidden="1" x14ac:dyDescent="0.75">
      <c r="A8039" s="51">
        <v>44936</v>
      </c>
      <c r="B8039" s="52">
        <v>1362</v>
      </c>
      <c r="C8039" s="8" t="s">
        <v>2126</v>
      </c>
      <c r="D8039" s="8" t="s">
        <v>788</v>
      </c>
      <c r="E8039" s="52">
        <v>712</v>
      </c>
      <c r="F8039" s="13">
        <v>3123.5</v>
      </c>
      <c r="G8039" s="13"/>
    </row>
    <row r="8040" spans="1:7" hidden="1" x14ac:dyDescent="0.75">
      <c r="A8040" s="51">
        <v>44936</v>
      </c>
      <c r="B8040" s="52">
        <v>1362</v>
      </c>
      <c r="C8040" s="8" t="s">
        <v>2126</v>
      </c>
      <c r="D8040" s="8" t="s">
        <v>788</v>
      </c>
      <c r="E8040" s="52">
        <v>806</v>
      </c>
      <c r="F8040" s="13">
        <v>2583.5</v>
      </c>
      <c r="G8040" s="13"/>
    </row>
    <row r="8041" spans="1:7" hidden="1" x14ac:dyDescent="0.75">
      <c r="A8041" s="51">
        <v>44936</v>
      </c>
      <c r="B8041" s="52">
        <v>1362</v>
      </c>
      <c r="C8041" s="8" t="s">
        <v>2126</v>
      </c>
      <c r="D8041" s="8" t="s">
        <v>788</v>
      </c>
      <c r="E8041" s="52">
        <v>806</v>
      </c>
      <c r="F8041" s="13">
        <v>280</v>
      </c>
      <c r="G8041" s="13"/>
    </row>
    <row r="8042" spans="1:7" hidden="1" x14ac:dyDescent="0.75">
      <c r="A8042" s="51">
        <v>44936</v>
      </c>
      <c r="B8042" s="52">
        <v>1362</v>
      </c>
      <c r="C8042" s="8" t="s">
        <v>2126</v>
      </c>
      <c r="D8042" s="8" t="s">
        <v>788</v>
      </c>
      <c r="E8042" s="52">
        <v>806</v>
      </c>
      <c r="F8042" s="13">
        <v>1319.5</v>
      </c>
      <c r="G8042" s="13"/>
    </row>
    <row r="8043" spans="1:7" hidden="1" x14ac:dyDescent="0.75">
      <c r="A8043" s="51">
        <v>44936</v>
      </c>
      <c r="B8043" s="52">
        <v>1362</v>
      </c>
      <c r="C8043" s="8" t="s">
        <v>2126</v>
      </c>
      <c r="D8043" s="8" t="s">
        <v>788</v>
      </c>
      <c r="E8043" s="52">
        <v>806</v>
      </c>
      <c r="F8043" s="13">
        <v>594</v>
      </c>
      <c r="G8043" s="13"/>
    </row>
    <row r="8044" spans="1:7" hidden="1" x14ac:dyDescent="0.75">
      <c r="A8044" s="51">
        <v>44936</v>
      </c>
      <c r="B8044" s="52">
        <v>1362</v>
      </c>
      <c r="C8044" s="8" t="s">
        <v>2126</v>
      </c>
      <c r="D8044" s="8" t="s">
        <v>788</v>
      </c>
      <c r="E8044" s="52">
        <v>806</v>
      </c>
      <c r="F8044" s="13">
        <v>990</v>
      </c>
      <c r="G8044" s="13"/>
    </row>
    <row r="8045" spans="1:7" hidden="1" x14ac:dyDescent="0.75">
      <c r="A8045" s="51">
        <v>44936</v>
      </c>
      <c r="B8045" s="52">
        <v>1362</v>
      </c>
      <c r="C8045" s="8" t="s">
        <v>2126</v>
      </c>
      <c r="D8045" s="8" t="s">
        <v>788</v>
      </c>
      <c r="E8045" s="52">
        <v>806</v>
      </c>
      <c r="F8045" s="13">
        <v>280</v>
      </c>
      <c r="G8045" s="13"/>
    </row>
    <row r="8046" spans="1:7" hidden="1" x14ac:dyDescent="0.75">
      <c r="A8046" s="51">
        <v>44936</v>
      </c>
      <c r="B8046" s="52">
        <v>1362</v>
      </c>
      <c r="C8046" s="8" t="s">
        <v>2126</v>
      </c>
      <c r="D8046" s="8" t="s">
        <v>788</v>
      </c>
      <c r="E8046" s="52">
        <v>806</v>
      </c>
      <c r="F8046" s="13">
        <v>2034.3</v>
      </c>
      <c r="G8046" s="13"/>
    </row>
    <row r="8047" spans="1:7" hidden="1" x14ac:dyDescent="0.75">
      <c r="A8047" s="51">
        <v>44936</v>
      </c>
      <c r="B8047" s="52">
        <v>1362</v>
      </c>
      <c r="C8047" s="8" t="s">
        <v>2126</v>
      </c>
      <c r="D8047" s="8" t="s">
        <v>788</v>
      </c>
      <c r="E8047" s="52">
        <v>806</v>
      </c>
      <c r="F8047" s="13">
        <v>990</v>
      </c>
      <c r="G8047" s="13"/>
    </row>
    <row r="8048" spans="1:7" hidden="1" x14ac:dyDescent="0.75">
      <c r="A8048" s="51">
        <v>44936</v>
      </c>
      <c r="B8048" s="52">
        <v>1362</v>
      </c>
      <c r="C8048" s="8" t="s">
        <v>2126</v>
      </c>
      <c r="D8048" s="8" t="s">
        <v>788</v>
      </c>
      <c r="E8048" s="52">
        <v>806</v>
      </c>
      <c r="F8048" s="13">
        <v>2476.6999999999998</v>
      </c>
      <c r="G8048" s="13"/>
    </row>
    <row r="8049" spans="1:7" hidden="1" x14ac:dyDescent="0.75">
      <c r="A8049" s="51">
        <v>44936</v>
      </c>
      <c r="B8049" s="52">
        <v>1362</v>
      </c>
      <c r="C8049" s="8" t="s">
        <v>2126</v>
      </c>
      <c r="D8049" s="8" t="s">
        <v>788</v>
      </c>
      <c r="E8049" s="52">
        <v>806</v>
      </c>
      <c r="F8049" s="13">
        <v>2414.1999999999998</v>
      </c>
      <c r="G8049" s="13"/>
    </row>
    <row r="8050" spans="1:7" hidden="1" x14ac:dyDescent="0.75">
      <c r="A8050" s="51">
        <v>44936</v>
      </c>
      <c r="B8050" s="52">
        <v>1362</v>
      </c>
      <c r="C8050" s="8" t="s">
        <v>2237</v>
      </c>
      <c r="D8050" s="8" t="s">
        <v>788</v>
      </c>
      <c r="E8050" s="52">
        <v>804</v>
      </c>
      <c r="F8050" s="13">
        <v>954.6</v>
      </c>
      <c r="G8050" s="13"/>
    </row>
    <row r="8051" spans="1:7" hidden="1" x14ac:dyDescent="0.75">
      <c r="A8051" s="51">
        <v>44936</v>
      </c>
      <c r="B8051" s="52">
        <v>1362</v>
      </c>
      <c r="C8051" s="8" t="s">
        <v>2126</v>
      </c>
      <c r="D8051" s="8" t="s">
        <v>788</v>
      </c>
      <c r="E8051" s="52">
        <v>806</v>
      </c>
      <c r="F8051" s="13">
        <v>990</v>
      </c>
      <c r="G8051" s="13"/>
    </row>
    <row r="8052" spans="1:7" hidden="1" x14ac:dyDescent="0.75">
      <c r="A8052" s="51">
        <v>44936</v>
      </c>
      <c r="B8052" s="52">
        <v>1362</v>
      </c>
      <c r="C8052" s="8" t="s">
        <v>2237</v>
      </c>
      <c r="D8052" s="8" t="s">
        <v>788</v>
      </c>
      <c r="E8052" s="52">
        <v>804</v>
      </c>
      <c r="F8052" s="13">
        <v>990</v>
      </c>
      <c r="G8052" s="13"/>
    </row>
    <row r="8053" spans="1:7" hidden="1" x14ac:dyDescent="0.75">
      <c r="A8053" s="51">
        <v>44936</v>
      </c>
      <c r="B8053" s="52">
        <v>1362</v>
      </c>
      <c r="C8053" s="8" t="s">
        <v>2126</v>
      </c>
      <c r="D8053" s="8" t="s">
        <v>788</v>
      </c>
      <c r="E8053" s="52">
        <v>806</v>
      </c>
      <c r="F8053" s="13">
        <v>1917.5</v>
      </c>
      <c r="G8053" s="13"/>
    </row>
    <row r="8054" spans="1:7" hidden="1" x14ac:dyDescent="0.75">
      <c r="A8054" s="51">
        <v>44936</v>
      </c>
      <c r="B8054" s="52">
        <v>1362</v>
      </c>
      <c r="C8054" s="8" t="s">
        <v>2237</v>
      </c>
      <c r="D8054" s="8" t="s">
        <v>788</v>
      </c>
      <c r="E8054" s="52">
        <v>804</v>
      </c>
      <c r="F8054" s="13">
        <v>1217</v>
      </c>
      <c r="G8054" s="13"/>
    </row>
    <row r="8055" spans="1:7" hidden="1" x14ac:dyDescent="0.75">
      <c r="A8055" s="51">
        <v>44936</v>
      </c>
      <c r="B8055" s="52">
        <v>1362</v>
      </c>
      <c r="C8055" s="8" t="s">
        <v>2126</v>
      </c>
      <c r="D8055" s="8" t="s">
        <v>788</v>
      </c>
      <c r="E8055" s="52">
        <v>806</v>
      </c>
      <c r="F8055" s="13">
        <v>1592.7</v>
      </c>
      <c r="G8055" s="13"/>
    </row>
    <row r="8056" spans="1:7" hidden="1" x14ac:dyDescent="0.75">
      <c r="A8056" s="51">
        <v>44936</v>
      </c>
      <c r="B8056" s="52">
        <v>1362</v>
      </c>
      <c r="C8056" s="8" t="s">
        <v>2237</v>
      </c>
      <c r="D8056" s="8" t="s">
        <v>788</v>
      </c>
      <c r="E8056" s="52">
        <v>804</v>
      </c>
      <c r="F8056" s="13">
        <v>544.4</v>
      </c>
      <c r="G8056" s="13"/>
    </row>
    <row r="8057" spans="1:7" hidden="1" x14ac:dyDescent="0.75">
      <c r="A8057" s="51">
        <v>44936</v>
      </c>
      <c r="B8057" s="52">
        <v>1362</v>
      </c>
      <c r="C8057" s="8" t="s">
        <v>2237</v>
      </c>
      <c r="D8057" s="8" t="s">
        <v>788</v>
      </c>
      <c r="E8057" s="52">
        <v>804</v>
      </c>
      <c r="F8057" s="13">
        <v>594</v>
      </c>
      <c r="G8057" s="13"/>
    </row>
    <row r="8058" spans="1:7" hidden="1" x14ac:dyDescent="0.75">
      <c r="A8058" s="51">
        <v>44936</v>
      </c>
      <c r="B8058" s="52">
        <v>1362</v>
      </c>
      <c r="C8058" s="8" t="s">
        <v>2126</v>
      </c>
      <c r="D8058" s="8" t="s">
        <v>788</v>
      </c>
      <c r="E8058" s="52">
        <v>806</v>
      </c>
      <c r="F8058" s="13">
        <v>990</v>
      </c>
      <c r="G8058" s="13"/>
    </row>
    <row r="8059" spans="1:7" hidden="1" x14ac:dyDescent="0.75">
      <c r="A8059" s="51">
        <v>44936</v>
      </c>
      <c r="B8059" s="52">
        <v>1362</v>
      </c>
      <c r="C8059" s="8" t="s">
        <v>2126</v>
      </c>
      <c r="D8059" s="8" t="s">
        <v>788</v>
      </c>
      <c r="E8059" s="52">
        <v>806</v>
      </c>
      <c r="F8059" s="13">
        <v>140</v>
      </c>
      <c r="G8059" s="13"/>
    </row>
    <row r="8060" spans="1:7" hidden="1" x14ac:dyDescent="0.75">
      <c r="A8060" s="51">
        <v>44936</v>
      </c>
      <c r="B8060" s="52">
        <v>1362</v>
      </c>
      <c r="C8060" s="8" t="s">
        <v>2126</v>
      </c>
      <c r="D8060" s="8" t="s">
        <v>788</v>
      </c>
      <c r="E8060" s="52">
        <v>806</v>
      </c>
      <c r="F8060" s="13">
        <v>1624.2</v>
      </c>
      <c r="G8060" s="13"/>
    </row>
    <row r="8061" spans="1:7" hidden="1" x14ac:dyDescent="0.75">
      <c r="A8061" s="51">
        <v>44936</v>
      </c>
      <c r="B8061" s="52">
        <v>1362</v>
      </c>
      <c r="C8061" s="8" t="s">
        <v>2237</v>
      </c>
      <c r="D8061" s="8" t="s">
        <v>788</v>
      </c>
      <c r="E8061" s="52">
        <v>804</v>
      </c>
      <c r="F8061" s="13">
        <v>396</v>
      </c>
      <c r="G8061" s="13"/>
    </row>
    <row r="8062" spans="1:7" hidden="1" x14ac:dyDescent="0.75">
      <c r="A8062" s="51">
        <v>44936</v>
      </c>
      <c r="B8062" s="52">
        <v>1362</v>
      </c>
      <c r="C8062" s="8" t="s">
        <v>2237</v>
      </c>
      <c r="D8062" s="8" t="s">
        <v>788</v>
      </c>
      <c r="E8062" s="52">
        <v>804</v>
      </c>
      <c r="F8062" s="13">
        <v>840</v>
      </c>
      <c r="G8062" s="13"/>
    </row>
    <row r="8063" spans="1:7" hidden="1" x14ac:dyDescent="0.75">
      <c r="A8063" s="51">
        <v>44936</v>
      </c>
      <c r="B8063" s="52">
        <v>1362</v>
      </c>
      <c r="C8063" s="8" t="s">
        <v>2126</v>
      </c>
      <c r="D8063" s="8" t="s">
        <v>788</v>
      </c>
      <c r="E8063" s="52">
        <v>806</v>
      </c>
      <c r="F8063" s="13">
        <v>990</v>
      </c>
      <c r="G8063" s="13"/>
    </row>
    <row r="8064" spans="1:7" hidden="1" x14ac:dyDescent="0.75">
      <c r="A8064" s="51">
        <v>44936</v>
      </c>
      <c r="B8064" s="52">
        <v>1362</v>
      </c>
      <c r="C8064" s="8" t="s">
        <v>2126</v>
      </c>
      <c r="D8064" s="8" t="s">
        <v>788</v>
      </c>
      <c r="E8064" s="52">
        <v>806</v>
      </c>
      <c r="F8064" s="13">
        <v>2415.5</v>
      </c>
      <c r="G8064" s="13"/>
    </row>
    <row r="8065" spans="1:7" hidden="1" x14ac:dyDescent="0.75">
      <c r="A8065" s="51">
        <v>44936</v>
      </c>
      <c r="B8065" s="52">
        <v>1362</v>
      </c>
      <c r="C8065" s="8" t="s">
        <v>2237</v>
      </c>
      <c r="D8065" s="8" t="s">
        <v>788</v>
      </c>
      <c r="E8065" s="52">
        <v>804</v>
      </c>
      <c r="F8065" s="13">
        <v>561.5</v>
      </c>
      <c r="G8065" s="13"/>
    </row>
    <row r="8066" spans="1:7" hidden="1" x14ac:dyDescent="0.75">
      <c r="A8066" s="51">
        <v>44936</v>
      </c>
      <c r="B8066" s="52">
        <v>1362</v>
      </c>
      <c r="C8066" s="8" t="s">
        <v>2237</v>
      </c>
      <c r="D8066" s="8" t="s">
        <v>788</v>
      </c>
      <c r="E8066" s="52">
        <v>804</v>
      </c>
      <c r="F8066" s="13">
        <v>500.5</v>
      </c>
      <c r="G8066" s="13"/>
    </row>
    <row r="8067" spans="1:7" hidden="1" x14ac:dyDescent="0.75">
      <c r="A8067" s="51">
        <v>44936</v>
      </c>
      <c r="B8067" s="52">
        <v>1362</v>
      </c>
      <c r="C8067" s="8" t="s">
        <v>2237</v>
      </c>
      <c r="D8067" s="8" t="s">
        <v>788</v>
      </c>
      <c r="E8067" s="52">
        <v>804</v>
      </c>
      <c r="F8067" s="13">
        <v>990</v>
      </c>
      <c r="G8067" s="13"/>
    </row>
    <row r="8068" spans="1:7" hidden="1" x14ac:dyDescent="0.75">
      <c r="A8068" s="51">
        <v>44936</v>
      </c>
      <c r="B8068" s="52">
        <v>1362</v>
      </c>
      <c r="C8068" s="8" t="s">
        <v>2126</v>
      </c>
      <c r="D8068" s="8" t="s">
        <v>788</v>
      </c>
      <c r="E8068" s="52">
        <v>806</v>
      </c>
      <c r="F8068" s="13">
        <v>594</v>
      </c>
      <c r="G8068" s="13"/>
    </row>
    <row r="8069" spans="1:7" hidden="1" x14ac:dyDescent="0.75">
      <c r="A8069" s="51">
        <v>44936</v>
      </c>
      <c r="B8069" s="52">
        <v>1362</v>
      </c>
      <c r="C8069" s="8" t="s">
        <v>2126</v>
      </c>
      <c r="D8069" s="8" t="s">
        <v>788</v>
      </c>
      <c r="E8069" s="52">
        <v>806</v>
      </c>
      <c r="F8069" s="13">
        <v>2372</v>
      </c>
      <c r="G8069" s="13"/>
    </row>
    <row r="8070" spans="1:7" hidden="1" x14ac:dyDescent="0.75">
      <c r="A8070" s="51">
        <v>44936</v>
      </c>
      <c r="B8070" s="52">
        <v>1362</v>
      </c>
      <c r="C8070" s="8" t="s">
        <v>2237</v>
      </c>
      <c r="D8070" s="8" t="s">
        <v>788</v>
      </c>
      <c r="E8070" s="52">
        <v>804</v>
      </c>
      <c r="F8070" s="13">
        <v>990</v>
      </c>
      <c r="G8070" s="13"/>
    </row>
    <row r="8071" spans="1:7" hidden="1" x14ac:dyDescent="0.75">
      <c r="A8071" s="51">
        <v>44936</v>
      </c>
      <c r="B8071" s="52">
        <v>1362</v>
      </c>
      <c r="C8071" s="8" t="s">
        <v>2126</v>
      </c>
      <c r="D8071" s="8" t="s">
        <v>788</v>
      </c>
      <c r="E8071" s="52">
        <v>806</v>
      </c>
      <c r="F8071" s="13">
        <v>2081.5</v>
      </c>
      <c r="G8071" s="13"/>
    </row>
    <row r="8072" spans="1:7" hidden="1" x14ac:dyDescent="0.75">
      <c r="A8072" s="51">
        <v>44936</v>
      </c>
      <c r="B8072" s="52">
        <v>1362</v>
      </c>
      <c r="C8072" s="8" t="s">
        <v>2237</v>
      </c>
      <c r="D8072" s="8" t="s">
        <v>788</v>
      </c>
      <c r="E8072" s="52">
        <v>804</v>
      </c>
      <c r="F8072" s="13">
        <v>500.5</v>
      </c>
      <c r="G8072" s="13"/>
    </row>
    <row r="8073" spans="1:7" hidden="1" x14ac:dyDescent="0.75">
      <c r="A8073" s="51">
        <v>44936</v>
      </c>
      <c r="B8073" s="52">
        <v>1362</v>
      </c>
      <c r="C8073" s="8" t="s">
        <v>2126</v>
      </c>
      <c r="D8073" s="8" t="s">
        <v>788</v>
      </c>
      <c r="E8073" s="52">
        <v>806</v>
      </c>
      <c r="F8073" s="13">
        <v>2907.1</v>
      </c>
      <c r="G8073" s="13"/>
    </row>
    <row r="8074" spans="1:7" hidden="1" x14ac:dyDescent="0.75">
      <c r="A8074" s="51">
        <v>44936</v>
      </c>
      <c r="B8074" s="52">
        <v>1362</v>
      </c>
      <c r="C8074" s="8" t="s">
        <v>2126</v>
      </c>
      <c r="D8074" s="8" t="s">
        <v>788</v>
      </c>
      <c r="E8074" s="52">
        <v>806</v>
      </c>
      <c r="F8074" s="13">
        <v>396</v>
      </c>
      <c r="G8074" s="13"/>
    </row>
    <row r="8075" spans="1:7" hidden="1" x14ac:dyDescent="0.75">
      <c r="A8075" s="51">
        <v>44936</v>
      </c>
      <c r="B8075" s="52">
        <v>1362</v>
      </c>
      <c r="C8075" s="8" t="s">
        <v>2237</v>
      </c>
      <c r="D8075" s="8" t="s">
        <v>788</v>
      </c>
      <c r="E8075" s="52">
        <v>804</v>
      </c>
      <c r="F8075" s="13">
        <v>511</v>
      </c>
      <c r="G8075" s="13"/>
    </row>
    <row r="8076" spans="1:7" hidden="1" x14ac:dyDescent="0.75">
      <c r="A8076" s="51">
        <v>44936</v>
      </c>
      <c r="B8076" s="52">
        <v>1362</v>
      </c>
      <c r="C8076" s="8" t="s">
        <v>2237</v>
      </c>
      <c r="D8076" s="8" t="s">
        <v>788</v>
      </c>
      <c r="E8076" s="52">
        <v>804</v>
      </c>
      <c r="F8076" s="13">
        <v>198</v>
      </c>
      <c r="G8076" s="13"/>
    </row>
    <row r="8077" spans="1:7" hidden="1" x14ac:dyDescent="0.75">
      <c r="A8077" s="51">
        <v>44936</v>
      </c>
      <c r="B8077" s="52">
        <v>1362</v>
      </c>
      <c r="C8077" s="8" t="s">
        <v>2126</v>
      </c>
      <c r="D8077" s="8" t="s">
        <v>788</v>
      </c>
      <c r="E8077" s="52">
        <v>806</v>
      </c>
      <c r="F8077" s="13">
        <v>1992</v>
      </c>
      <c r="G8077" s="13"/>
    </row>
    <row r="8078" spans="1:7" hidden="1" x14ac:dyDescent="0.75">
      <c r="A8078" s="51">
        <v>44936</v>
      </c>
      <c r="B8078" s="52">
        <v>1362</v>
      </c>
      <c r="C8078" s="8" t="s">
        <v>2237</v>
      </c>
      <c r="D8078" s="8" t="s">
        <v>788</v>
      </c>
      <c r="E8078" s="52">
        <v>804</v>
      </c>
      <c r="F8078" s="13">
        <v>607.5</v>
      </c>
      <c r="G8078" s="13"/>
    </row>
    <row r="8079" spans="1:7" hidden="1" x14ac:dyDescent="0.75">
      <c r="A8079" s="51">
        <v>44936</v>
      </c>
      <c r="B8079" s="52">
        <v>1362</v>
      </c>
      <c r="C8079" s="8" t="s">
        <v>2237</v>
      </c>
      <c r="D8079" s="8" t="s">
        <v>788</v>
      </c>
      <c r="E8079" s="52">
        <v>804</v>
      </c>
      <c r="F8079" s="13">
        <v>396</v>
      </c>
      <c r="G8079" s="13"/>
    </row>
    <row r="8080" spans="1:7" hidden="1" x14ac:dyDescent="0.75">
      <c r="A8080" s="51">
        <v>44936</v>
      </c>
      <c r="B8080" s="52">
        <v>1362</v>
      </c>
      <c r="C8080" s="8" t="s">
        <v>2126</v>
      </c>
      <c r="D8080" s="8" t="s">
        <v>788</v>
      </c>
      <c r="E8080" s="52">
        <v>806</v>
      </c>
      <c r="F8080" s="13">
        <v>396</v>
      </c>
      <c r="G8080" s="13"/>
    </row>
    <row r="8081" spans="1:7" hidden="1" x14ac:dyDescent="0.75">
      <c r="A8081" s="51">
        <v>44936</v>
      </c>
      <c r="B8081" s="52">
        <v>1362</v>
      </c>
      <c r="C8081" s="8" t="s">
        <v>2126</v>
      </c>
      <c r="D8081" s="8" t="s">
        <v>788</v>
      </c>
      <c r="E8081" s="52">
        <v>806</v>
      </c>
      <c r="F8081" s="13">
        <v>140</v>
      </c>
      <c r="G8081" s="13"/>
    </row>
    <row r="8082" spans="1:7" hidden="1" x14ac:dyDescent="0.75">
      <c r="A8082" s="51">
        <v>44936</v>
      </c>
      <c r="B8082" s="52">
        <v>1362</v>
      </c>
      <c r="C8082" s="8" t="s">
        <v>2126</v>
      </c>
      <c r="D8082" s="8" t="s">
        <v>788</v>
      </c>
      <c r="E8082" s="52">
        <v>806</v>
      </c>
      <c r="F8082" s="13">
        <v>2388.5</v>
      </c>
      <c r="G8082" s="13"/>
    </row>
    <row r="8083" spans="1:7" hidden="1" x14ac:dyDescent="0.75">
      <c r="A8083" s="51">
        <v>44936</v>
      </c>
      <c r="B8083" s="52">
        <v>1362</v>
      </c>
      <c r="C8083" s="8" t="s">
        <v>2237</v>
      </c>
      <c r="D8083" s="8" t="s">
        <v>788</v>
      </c>
      <c r="E8083" s="52">
        <v>804</v>
      </c>
      <c r="F8083" s="13">
        <v>490.5</v>
      </c>
      <c r="G8083" s="13"/>
    </row>
    <row r="8084" spans="1:7" hidden="1" x14ac:dyDescent="0.75">
      <c r="A8084" s="51">
        <v>44936</v>
      </c>
      <c r="B8084" s="52">
        <v>1362</v>
      </c>
      <c r="C8084" s="8" t="s">
        <v>2126</v>
      </c>
      <c r="D8084" s="8" t="s">
        <v>788</v>
      </c>
      <c r="E8084" s="52">
        <v>806</v>
      </c>
      <c r="F8084" s="13">
        <v>1526.2</v>
      </c>
      <c r="G8084" s="13"/>
    </row>
    <row r="8085" spans="1:7" hidden="1" x14ac:dyDescent="0.75">
      <c r="A8085" s="51">
        <v>44936</v>
      </c>
      <c r="B8085" s="52">
        <v>1362</v>
      </c>
      <c r="C8085" s="8" t="s">
        <v>2237</v>
      </c>
      <c r="D8085" s="8" t="s">
        <v>788</v>
      </c>
      <c r="E8085" s="52">
        <v>804</v>
      </c>
      <c r="F8085" s="13">
        <v>807.5</v>
      </c>
      <c r="G8085" s="13"/>
    </row>
    <row r="8086" spans="1:7" hidden="1" x14ac:dyDescent="0.75">
      <c r="A8086" s="51">
        <v>44936</v>
      </c>
      <c r="B8086" s="52">
        <v>1362</v>
      </c>
      <c r="C8086" s="8" t="s">
        <v>2126</v>
      </c>
      <c r="D8086" s="8" t="s">
        <v>788</v>
      </c>
      <c r="E8086" s="52">
        <v>806</v>
      </c>
      <c r="F8086" s="13">
        <v>990</v>
      </c>
      <c r="G8086" s="13"/>
    </row>
    <row r="8087" spans="1:7" hidden="1" x14ac:dyDescent="0.75">
      <c r="A8087" s="51">
        <v>44936</v>
      </c>
      <c r="B8087" s="52">
        <v>1362</v>
      </c>
      <c r="C8087" s="8" t="s">
        <v>2237</v>
      </c>
      <c r="D8087" s="8" t="s">
        <v>788</v>
      </c>
      <c r="E8087" s="52">
        <v>804</v>
      </c>
      <c r="F8087" s="13">
        <v>396</v>
      </c>
      <c r="G8087" s="13"/>
    </row>
    <row r="8088" spans="1:7" hidden="1" x14ac:dyDescent="0.75">
      <c r="A8088" s="51">
        <v>44936</v>
      </c>
      <c r="B8088" s="52">
        <v>1362</v>
      </c>
      <c r="C8088" s="8" t="s">
        <v>2237</v>
      </c>
      <c r="D8088" s="8" t="s">
        <v>788</v>
      </c>
      <c r="E8088" s="52">
        <v>804</v>
      </c>
      <c r="F8088" s="13">
        <v>917.1</v>
      </c>
      <c r="G8088" s="13"/>
    </row>
    <row r="8089" spans="1:7" hidden="1" x14ac:dyDescent="0.75">
      <c r="A8089" s="51">
        <v>44936</v>
      </c>
      <c r="B8089" s="52">
        <v>1362</v>
      </c>
      <c r="C8089" s="8" t="s">
        <v>2126</v>
      </c>
      <c r="D8089" s="8" t="s">
        <v>788</v>
      </c>
      <c r="E8089" s="52">
        <v>806</v>
      </c>
      <c r="F8089" s="13">
        <v>990</v>
      </c>
      <c r="G8089" s="13"/>
    </row>
    <row r="8090" spans="1:7" hidden="1" x14ac:dyDescent="0.75">
      <c r="A8090" s="51">
        <v>44936</v>
      </c>
      <c r="B8090" s="52">
        <v>1362</v>
      </c>
      <c r="C8090" s="8" t="s">
        <v>2126</v>
      </c>
      <c r="D8090" s="8" t="s">
        <v>788</v>
      </c>
      <c r="E8090" s="52">
        <v>806</v>
      </c>
      <c r="F8090" s="13">
        <v>382</v>
      </c>
      <c r="G8090" s="13"/>
    </row>
    <row r="8091" spans="1:7" hidden="1" x14ac:dyDescent="0.75">
      <c r="A8091" s="51">
        <v>44936</v>
      </c>
      <c r="B8091" s="52">
        <v>1362</v>
      </c>
      <c r="C8091" s="8" t="s">
        <v>2126</v>
      </c>
      <c r="D8091" s="8" t="s">
        <v>788</v>
      </c>
      <c r="E8091" s="52">
        <v>806</v>
      </c>
      <c r="F8091" s="13">
        <v>2491</v>
      </c>
      <c r="G8091" s="13"/>
    </row>
    <row r="8092" spans="1:7" hidden="1" x14ac:dyDescent="0.75">
      <c r="A8092" s="51">
        <v>44936</v>
      </c>
      <c r="B8092" s="52">
        <v>1362</v>
      </c>
      <c r="C8092" s="8" t="s">
        <v>2126</v>
      </c>
      <c r="D8092" s="8" t="s">
        <v>788</v>
      </c>
      <c r="E8092" s="52">
        <v>806</v>
      </c>
      <c r="F8092" s="13">
        <v>396</v>
      </c>
      <c r="G8092" s="13"/>
    </row>
    <row r="8093" spans="1:7" hidden="1" x14ac:dyDescent="0.75">
      <c r="A8093" s="51">
        <v>44936</v>
      </c>
      <c r="B8093" s="52">
        <v>1362</v>
      </c>
      <c r="C8093" s="8" t="s">
        <v>2126</v>
      </c>
      <c r="D8093" s="8" t="s">
        <v>788</v>
      </c>
      <c r="E8093" s="52">
        <v>806</v>
      </c>
      <c r="F8093" s="13">
        <v>2589.5</v>
      </c>
      <c r="G8093" s="13"/>
    </row>
    <row r="8094" spans="1:7" hidden="1" x14ac:dyDescent="0.75">
      <c r="A8094" s="51">
        <v>44936</v>
      </c>
      <c r="B8094" s="52">
        <v>1362</v>
      </c>
      <c r="C8094" s="8" t="s">
        <v>2237</v>
      </c>
      <c r="D8094" s="8" t="s">
        <v>788</v>
      </c>
      <c r="E8094" s="52">
        <v>804</v>
      </c>
      <c r="F8094" s="13">
        <v>671.5</v>
      </c>
      <c r="G8094" s="13"/>
    </row>
    <row r="8095" spans="1:7" hidden="1" x14ac:dyDescent="0.75">
      <c r="A8095" s="51">
        <v>44936</v>
      </c>
      <c r="B8095" s="52">
        <v>1362</v>
      </c>
      <c r="C8095" s="8" t="s">
        <v>2126</v>
      </c>
      <c r="D8095" s="8" t="s">
        <v>788</v>
      </c>
      <c r="E8095" s="52">
        <v>806</v>
      </c>
      <c r="F8095" s="13">
        <v>2236</v>
      </c>
      <c r="G8095" s="13"/>
    </row>
    <row r="8096" spans="1:7" hidden="1" x14ac:dyDescent="0.75">
      <c r="A8096" s="51">
        <v>44936</v>
      </c>
      <c r="B8096" s="52">
        <v>1362</v>
      </c>
      <c r="C8096" s="8" t="s">
        <v>2126</v>
      </c>
      <c r="D8096" s="8" t="s">
        <v>788</v>
      </c>
      <c r="E8096" s="52">
        <v>806</v>
      </c>
      <c r="F8096" s="13">
        <v>594</v>
      </c>
      <c r="G8096" s="13"/>
    </row>
    <row r="8097" spans="1:7" hidden="1" x14ac:dyDescent="0.75">
      <c r="A8097" s="51">
        <v>44936</v>
      </c>
      <c r="B8097" s="52">
        <v>1362</v>
      </c>
      <c r="C8097" s="8" t="s">
        <v>2237</v>
      </c>
      <c r="D8097" s="8" t="s">
        <v>788</v>
      </c>
      <c r="E8097" s="52">
        <v>804</v>
      </c>
      <c r="F8097" s="13">
        <v>538.75</v>
      </c>
      <c r="G8097" s="13"/>
    </row>
    <row r="8098" spans="1:7" hidden="1" x14ac:dyDescent="0.75">
      <c r="A8098" s="51">
        <v>44936</v>
      </c>
      <c r="B8098" s="52">
        <v>1362</v>
      </c>
      <c r="C8098" s="8" t="s">
        <v>2237</v>
      </c>
      <c r="D8098" s="8" t="s">
        <v>788</v>
      </c>
      <c r="E8098" s="52">
        <v>804</v>
      </c>
      <c r="F8098" s="13">
        <v>666.5</v>
      </c>
      <c r="G8098" s="13"/>
    </row>
    <row r="8099" spans="1:7" hidden="1" x14ac:dyDescent="0.75">
      <c r="A8099" s="51">
        <v>44936</v>
      </c>
      <c r="B8099" s="52">
        <v>1362</v>
      </c>
      <c r="C8099" s="8" t="s">
        <v>2237</v>
      </c>
      <c r="D8099" s="8" t="s">
        <v>788</v>
      </c>
      <c r="E8099" s="52">
        <v>804</v>
      </c>
      <c r="F8099" s="13">
        <v>594</v>
      </c>
      <c r="G8099" s="13"/>
    </row>
    <row r="8100" spans="1:7" hidden="1" x14ac:dyDescent="0.75">
      <c r="A8100" s="51">
        <v>44936</v>
      </c>
      <c r="B8100" s="52">
        <v>1362</v>
      </c>
      <c r="C8100" s="8" t="s">
        <v>2126</v>
      </c>
      <c r="D8100" s="8" t="s">
        <v>788</v>
      </c>
      <c r="E8100" s="52">
        <v>806</v>
      </c>
      <c r="F8100" s="13">
        <v>990</v>
      </c>
      <c r="G8100" s="13"/>
    </row>
    <row r="8101" spans="1:7" hidden="1" x14ac:dyDescent="0.75">
      <c r="A8101" s="51">
        <v>44936</v>
      </c>
      <c r="B8101" s="52">
        <v>1362</v>
      </c>
      <c r="C8101" s="8" t="s">
        <v>2126</v>
      </c>
      <c r="D8101" s="8" t="s">
        <v>788</v>
      </c>
      <c r="E8101" s="52">
        <v>712</v>
      </c>
      <c r="F8101" s="13">
        <v>2985</v>
      </c>
      <c r="G8101" s="13"/>
    </row>
    <row r="8102" spans="1:7" hidden="1" x14ac:dyDescent="0.75">
      <c r="A8102" s="51">
        <v>44936</v>
      </c>
      <c r="B8102" s="52">
        <v>1362</v>
      </c>
      <c r="C8102" s="8" t="s">
        <v>2237</v>
      </c>
      <c r="D8102" s="8" t="s">
        <v>788</v>
      </c>
      <c r="E8102" s="52">
        <v>804</v>
      </c>
      <c r="F8102" s="13">
        <v>594</v>
      </c>
      <c r="G8102" s="13"/>
    </row>
    <row r="8103" spans="1:7" hidden="1" x14ac:dyDescent="0.75">
      <c r="A8103" s="51">
        <v>44936</v>
      </c>
      <c r="B8103" s="52">
        <v>1362</v>
      </c>
      <c r="C8103" s="8" t="s">
        <v>2237</v>
      </c>
      <c r="D8103" s="8" t="s">
        <v>788</v>
      </c>
      <c r="E8103" s="52">
        <v>804</v>
      </c>
      <c r="F8103" s="13">
        <v>666.5</v>
      </c>
      <c r="G8103" s="13"/>
    </row>
    <row r="8104" spans="1:7" hidden="1" x14ac:dyDescent="0.75">
      <c r="A8104" s="51">
        <v>44936</v>
      </c>
      <c r="B8104" s="52">
        <v>1362</v>
      </c>
      <c r="C8104" s="8" t="s">
        <v>2126</v>
      </c>
      <c r="D8104" s="8" t="s">
        <v>788</v>
      </c>
      <c r="E8104" s="52">
        <v>806</v>
      </c>
      <c r="F8104" s="13">
        <v>2423.6</v>
      </c>
      <c r="G8104" s="13"/>
    </row>
    <row r="8105" spans="1:7" hidden="1" x14ac:dyDescent="0.75">
      <c r="A8105" s="51">
        <v>44936</v>
      </c>
      <c r="B8105" s="52">
        <v>1362</v>
      </c>
      <c r="C8105" s="8" t="s">
        <v>2126</v>
      </c>
      <c r="D8105" s="8" t="s">
        <v>788</v>
      </c>
      <c r="E8105" s="52">
        <v>806</v>
      </c>
      <c r="F8105" s="13">
        <v>990</v>
      </c>
      <c r="G8105" s="13"/>
    </row>
    <row r="8106" spans="1:7" hidden="1" x14ac:dyDescent="0.75">
      <c r="A8106" s="51">
        <v>44936</v>
      </c>
      <c r="B8106" s="52">
        <v>1362</v>
      </c>
      <c r="C8106" s="8" t="s">
        <v>1481</v>
      </c>
      <c r="D8106" s="8" t="s">
        <v>788</v>
      </c>
      <c r="E8106" s="52">
        <v>8</v>
      </c>
      <c r="F8106" s="13"/>
      <c r="G8106" s="13">
        <v>72284.5</v>
      </c>
    </row>
    <row r="8107" spans="1:7" hidden="1" x14ac:dyDescent="0.75">
      <c r="A8107" s="51">
        <v>44936</v>
      </c>
      <c r="B8107" s="52">
        <v>1362</v>
      </c>
      <c r="C8107" s="8" t="s">
        <v>1481</v>
      </c>
      <c r="D8107" s="8" t="s">
        <v>788</v>
      </c>
      <c r="E8107" s="52">
        <v>8</v>
      </c>
      <c r="F8107" s="13"/>
      <c r="G8107" s="13">
        <v>75523.77</v>
      </c>
    </row>
    <row r="8108" spans="1:7" hidden="1" x14ac:dyDescent="0.75">
      <c r="A8108" s="51">
        <v>44936</v>
      </c>
      <c r="B8108" s="52">
        <v>1362</v>
      </c>
      <c r="C8108" s="8" t="s">
        <v>1481</v>
      </c>
      <c r="D8108" s="8" t="s">
        <v>788</v>
      </c>
      <c r="E8108" s="52">
        <v>8</v>
      </c>
      <c r="F8108" s="13"/>
      <c r="G8108" s="13">
        <v>287012.13</v>
      </c>
    </row>
    <row r="8109" spans="1:7" hidden="1" x14ac:dyDescent="0.75">
      <c r="A8109" s="51">
        <v>44936</v>
      </c>
      <c r="B8109" s="52">
        <v>1362</v>
      </c>
      <c r="C8109" s="8" t="s">
        <v>1481</v>
      </c>
      <c r="D8109" s="8" t="s">
        <v>788</v>
      </c>
      <c r="E8109" s="52">
        <v>8</v>
      </c>
      <c r="F8109" s="13"/>
      <c r="G8109" s="13">
        <v>22771.27</v>
      </c>
    </row>
    <row r="8110" spans="1:7" hidden="1" x14ac:dyDescent="0.75">
      <c r="A8110" s="51">
        <v>44936</v>
      </c>
      <c r="B8110" s="52">
        <v>1362</v>
      </c>
      <c r="C8110" s="8" t="s">
        <v>1481</v>
      </c>
      <c r="D8110" s="8" t="s">
        <v>788</v>
      </c>
      <c r="E8110" s="52">
        <v>8</v>
      </c>
      <c r="F8110" s="13"/>
      <c r="G8110" s="13">
        <v>53296.21</v>
      </c>
    </row>
    <row r="8111" spans="1:7" hidden="1" x14ac:dyDescent="0.75">
      <c r="A8111" s="51">
        <v>44936</v>
      </c>
      <c r="B8111" s="52">
        <v>1362</v>
      </c>
      <c r="C8111" s="8" t="s">
        <v>3284</v>
      </c>
      <c r="D8111" s="8" t="s">
        <v>788</v>
      </c>
      <c r="E8111" s="52">
        <v>1434</v>
      </c>
      <c r="F8111" s="13"/>
      <c r="G8111" s="13">
        <v>48.6</v>
      </c>
    </row>
    <row r="8112" spans="1:7" hidden="1" x14ac:dyDescent="0.75">
      <c r="A8112" s="51">
        <v>44936</v>
      </c>
      <c r="B8112" s="52">
        <v>1362</v>
      </c>
      <c r="C8112" s="8" t="s">
        <v>3285</v>
      </c>
      <c r="D8112" s="8" t="s">
        <v>788</v>
      </c>
      <c r="E8112" s="52">
        <v>1434</v>
      </c>
      <c r="F8112" s="13"/>
      <c r="G8112" s="13">
        <v>64.099999999999994</v>
      </c>
    </row>
    <row r="8113" spans="1:7" hidden="1" x14ac:dyDescent="0.75">
      <c r="A8113" s="51">
        <v>44936</v>
      </c>
      <c r="B8113" s="52">
        <v>1362</v>
      </c>
      <c r="C8113" s="8" t="s">
        <v>3286</v>
      </c>
      <c r="D8113" s="8" t="s">
        <v>788</v>
      </c>
      <c r="E8113" s="52">
        <v>1434</v>
      </c>
      <c r="F8113" s="13"/>
      <c r="G8113" s="13">
        <v>78.7</v>
      </c>
    </row>
    <row r="8114" spans="1:7" hidden="1" x14ac:dyDescent="0.75">
      <c r="A8114" s="51">
        <v>44936</v>
      </c>
      <c r="B8114" s="52">
        <v>1362</v>
      </c>
      <c r="C8114" s="8" t="s">
        <v>3287</v>
      </c>
      <c r="D8114" s="8" t="s">
        <v>788</v>
      </c>
      <c r="E8114" s="52">
        <v>1434</v>
      </c>
      <c r="F8114" s="13"/>
      <c r="G8114" s="13">
        <v>57.8</v>
      </c>
    </row>
    <row r="8115" spans="1:7" hidden="1" x14ac:dyDescent="0.75">
      <c r="A8115" s="51">
        <v>44936</v>
      </c>
      <c r="B8115" s="52">
        <v>1362</v>
      </c>
      <c r="C8115" s="8" t="s">
        <v>3288</v>
      </c>
      <c r="D8115" s="8" t="s">
        <v>788</v>
      </c>
      <c r="E8115" s="52">
        <v>1434</v>
      </c>
      <c r="F8115" s="13"/>
      <c r="G8115" s="13">
        <v>102.4</v>
      </c>
    </row>
    <row r="8116" spans="1:7" hidden="1" x14ac:dyDescent="0.75">
      <c r="A8116" s="51">
        <v>44936</v>
      </c>
      <c r="B8116" s="52">
        <v>1362</v>
      </c>
      <c r="C8116" s="8" t="s">
        <v>3289</v>
      </c>
      <c r="D8116" s="8" t="s">
        <v>788</v>
      </c>
      <c r="E8116" s="52">
        <v>1434</v>
      </c>
      <c r="F8116" s="13"/>
      <c r="G8116" s="13">
        <v>74.3</v>
      </c>
    </row>
    <row r="8117" spans="1:7" hidden="1" x14ac:dyDescent="0.75">
      <c r="A8117" s="51">
        <v>44936</v>
      </c>
      <c r="B8117" s="52">
        <v>1362</v>
      </c>
      <c r="C8117" s="8" t="s">
        <v>3290</v>
      </c>
      <c r="D8117" s="8" t="s">
        <v>788</v>
      </c>
      <c r="E8117" s="52">
        <v>1434</v>
      </c>
      <c r="F8117" s="13"/>
      <c r="G8117" s="13">
        <v>45.8</v>
      </c>
    </row>
    <row r="8118" spans="1:7" hidden="1" x14ac:dyDescent="0.75">
      <c r="A8118" s="51">
        <v>44936</v>
      </c>
      <c r="B8118" s="52">
        <v>1362</v>
      </c>
      <c r="C8118" s="8" t="s">
        <v>3291</v>
      </c>
      <c r="D8118" s="8" t="s">
        <v>788</v>
      </c>
      <c r="E8118" s="52">
        <v>1434</v>
      </c>
      <c r="F8118" s="13"/>
      <c r="G8118" s="13">
        <v>150.44</v>
      </c>
    </row>
    <row r="8119" spans="1:7" hidden="1" x14ac:dyDescent="0.75">
      <c r="A8119" s="51">
        <v>44936</v>
      </c>
      <c r="B8119" s="52">
        <v>1362</v>
      </c>
      <c r="C8119" s="8" t="s">
        <v>3292</v>
      </c>
      <c r="D8119" s="8" t="s">
        <v>788</v>
      </c>
      <c r="E8119" s="52">
        <v>1434</v>
      </c>
      <c r="F8119" s="13"/>
      <c r="G8119" s="13">
        <v>137.58000000000001</v>
      </c>
    </row>
    <row r="8120" spans="1:7" hidden="1" x14ac:dyDescent="0.75">
      <c r="A8120" s="51">
        <v>44936</v>
      </c>
      <c r="B8120" s="52">
        <v>1362</v>
      </c>
      <c r="C8120" s="8" t="s">
        <v>3293</v>
      </c>
      <c r="D8120" s="8" t="s">
        <v>788</v>
      </c>
      <c r="E8120" s="52">
        <v>1434</v>
      </c>
      <c r="F8120" s="13"/>
      <c r="G8120" s="13">
        <v>154.52000000000001</v>
      </c>
    </row>
    <row r="8121" spans="1:7" hidden="1" x14ac:dyDescent="0.75">
      <c r="A8121" s="51">
        <v>44936</v>
      </c>
      <c r="B8121" s="52">
        <v>1362</v>
      </c>
      <c r="C8121" s="8" t="s">
        <v>3294</v>
      </c>
      <c r="D8121" s="8" t="s">
        <v>788</v>
      </c>
      <c r="E8121" s="52">
        <v>1434</v>
      </c>
      <c r="F8121" s="13"/>
      <c r="G8121" s="13">
        <v>364.56</v>
      </c>
    </row>
    <row r="8122" spans="1:7" hidden="1" x14ac:dyDescent="0.75">
      <c r="A8122" s="51">
        <v>44936</v>
      </c>
      <c r="B8122" s="52">
        <v>1362</v>
      </c>
      <c r="C8122" s="8" t="s">
        <v>3295</v>
      </c>
      <c r="D8122" s="8" t="s">
        <v>788</v>
      </c>
      <c r="E8122" s="52">
        <v>1434</v>
      </c>
      <c r="F8122" s="13"/>
      <c r="G8122" s="13">
        <v>195.4</v>
      </c>
    </row>
    <row r="8123" spans="1:7" hidden="1" x14ac:dyDescent="0.75">
      <c r="A8123" s="51">
        <v>44936</v>
      </c>
      <c r="B8123" s="52">
        <v>1362</v>
      </c>
      <c r="C8123" s="8" t="s">
        <v>3296</v>
      </c>
      <c r="D8123" s="8" t="s">
        <v>788</v>
      </c>
      <c r="E8123" s="52">
        <v>1434</v>
      </c>
      <c r="F8123" s="13"/>
      <c r="G8123" s="13">
        <v>238.68</v>
      </c>
    </row>
    <row r="8124" spans="1:7" hidden="1" x14ac:dyDescent="0.75">
      <c r="A8124" s="51">
        <v>44936</v>
      </c>
      <c r="B8124" s="52">
        <v>1362</v>
      </c>
      <c r="C8124" s="8" t="s">
        <v>3297</v>
      </c>
      <c r="D8124" s="8" t="s">
        <v>788</v>
      </c>
      <c r="E8124" s="52">
        <v>1434</v>
      </c>
      <c r="F8124" s="13"/>
      <c r="G8124" s="13">
        <v>61.6</v>
      </c>
    </row>
    <row r="8125" spans="1:7" hidden="1" x14ac:dyDescent="0.75">
      <c r="A8125" s="51">
        <v>44936</v>
      </c>
      <c r="B8125" s="52">
        <v>1362</v>
      </c>
      <c r="C8125" s="8" t="s">
        <v>3298</v>
      </c>
      <c r="D8125" s="8" t="s">
        <v>788</v>
      </c>
      <c r="E8125" s="52">
        <v>1434</v>
      </c>
      <c r="F8125" s="13"/>
      <c r="G8125" s="13">
        <v>72.400000000000006</v>
      </c>
    </row>
    <row r="8126" spans="1:7" hidden="1" x14ac:dyDescent="0.75">
      <c r="A8126" s="51">
        <v>44936</v>
      </c>
      <c r="B8126" s="52">
        <v>1362</v>
      </c>
      <c r="C8126" s="8" t="s">
        <v>3299</v>
      </c>
      <c r="D8126" s="8" t="s">
        <v>788</v>
      </c>
      <c r="E8126" s="52">
        <v>1434</v>
      </c>
      <c r="F8126" s="13"/>
      <c r="G8126" s="13">
        <v>58.2</v>
      </c>
    </row>
    <row r="8127" spans="1:7" hidden="1" x14ac:dyDescent="0.75">
      <c r="A8127" s="51">
        <v>44936</v>
      </c>
      <c r="B8127" s="52">
        <v>1362</v>
      </c>
      <c r="C8127" s="8" t="s">
        <v>3300</v>
      </c>
      <c r="D8127" s="8" t="s">
        <v>788</v>
      </c>
      <c r="E8127" s="52">
        <v>1434</v>
      </c>
      <c r="F8127" s="13"/>
      <c r="G8127" s="13">
        <v>174.8</v>
      </c>
    </row>
    <row r="8128" spans="1:7" hidden="1" x14ac:dyDescent="0.75">
      <c r="A8128" s="51">
        <v>44936</v>
      </c>
      <c r="B8128" s="52">
        <v>1362</v>
      </c>
      <c r="C8128" s="8" t="s">
        <v>3301</v>
      </c>
      <c r="D8128" s="8" t="s">
        <v>788</v>
      </c>
      <c r="E8128" s="52">
        <v>1434</v>
      </c>
      <c r="F8128" s="13"/>
      <c r="G8128" s="13">
        <v>244.3</v>
      </c>
    </row>
    <row r="8129" spans="1:7" hidden="1" x14ac:dyDescent="0.75">
      <c r="A8129" s="51">
        <v>44936</v>
      </c>
      <c r="B8129" s="52">
        <v>1362</v>
      </c>
      <c r="C8129" s="8" t="s">
        <v>3302</v>
      </c>
      <c r="D8129" s="8" t="s">
        <v>788</v>
      </c>
      <c r="E8129" s="52">
        <v>1434</v>
      </c>
      <c r="F8129" s="13"/>
      <c r="G8129" s="13">
        <v>360</v>
      </c>
    </row>
    <row r="8130" spans="1:7" hidden="1" x14ac:dyDescent="0.75">
      <c r="A8130" s="51">
        <v>44936</v>
      </c>
      <c r="B8130" s="52">
        <v>1362</v>
      </c>
      <c r="C8130" s="8" t="s">
        <v>3303</v>
      </c>
      <c r="D8130" s="8" t="s">
        <v>788</v>
      </c>
      <c r="E8130" s="52">
        <v>1434</v>
      </c>
      <c r="F8130" s="13"/>
      <c r="G8130" s="13">
        <v>83.7</v>
      </c>
    </row>
    <row r="8131" spans="1:7" hidden="1" x14ac:dyDescent="0.75">
      <c r="A8131" s="51">
        <v>44936</v>
      </c>
      <c r="B8131" s="52">
        <v>1362</v>
      </c>
      <c r="C8131" s="8" t="s">
        <v>3304</v>
      </c>
      <c r="D8131" s="8" t="s">
        <v>788</v>
      </c>
      <c r="E8131" s="52">
        <v>1434</v>
      </c>
      <c r="F8131" s="13"/>
      <c r="G8131" s="13">
        <v>544</v>
      </c>
    </row>
    <row r="8132" spans="1:7" hidden="1" x14ac:dyDescent="0.75">
      <c r="A8132" s="51">
        <v>44936</v>
      </c>
      <c r="B8132" s="52">
        <v>1362</v>
      </c>
      <c r="C8132" s="8" t="s">
        <v>3305</v>
      </c>
      <c r="D8132" s="8" t="s">
        <v>788</v>
      </c>
      <c r="E8132" s="52">
        <v>1434</v>
      </c>
      <c r="F8132" s="13"/>
      <c r="G8132" s="13">
        <v>79</v>
      </c>
    </row>
    <row r="8133" spans="1:7" hidden="1" x14ac:dyDescent="0.75">
      <c r="A8133" s="51">
        <v>44936</v>
      </c>
      <c r="B8133" s="52">
        <v>1362</v>
      </c>
      <c r="C8133" s="8" t="s">
        <v>4624</v>
      </c>
      <c r="D8133" s="8" t="s">
        <v>788</v>
      </c>
      <c r="E8133" s="52">
        <v>1292</v>
      </c>
      <c r="F8133" s="13"/>
      <c r="G8133" s="13">
        <v>130.12</v>
      </c>
    </row>
    <row r="8134" spans="1:7" hidden="1" x14ac:dyDescent="0.75">
      <c r="A8134" s="51">
        <v>44936</v>
      </c>
      <c r="B8134" s="52">
        <v>1362</v>
      </c>
      <c r="C8134" s="8" t="s">
        <v>4625</v>
      </c>
      <c r="D8134" s="8" t="s">
        <v>788</v>
      </c>
      <c r="E8134" s="52">
        <v>1292</v>
      </c>
      <c r="F8134" s="13"/>
      <c r="G8134" s="13">
        <v>32.53</v>
      </c>
    </row>
    <row r="8135" spans="1:7" hidden="1" x14ac:dyDescent="0.75">
      <c r="A8135" s="51">
        <v>44936</v>
      </c>
      <c r="B8135" s="52">
        <v>1362</v>
      </c>
      <c r="C8135" s="8" t="s">
        <v>4626</v>
      </c>
      <c r="D8135" s="8" t="s">
        <v>788</v>
      </c>
      <c r="E8135" s="52">
        <v>1292</v>
      </c>
      <c r="F8135" s="13"/>
      <c r="G8135" s="13">
        <v>32.53</v>
      </c>
    </row>
    <row r="8136" spans="1:7" hidden="1" x14ac:dyDescent="0.75">
      <c r="A8136" s="51">
        <v>44936</v>
      </c>
      <c r="B8136" s="52">
        <v>1362</v>
      </c>
      <c r="C8136" s="8" t="s">
        <v>4627</v>
      </c>
      <c r="D8136" s="8" t="s">
        <v>788</v>
      </c>
      <c r="E8136" s="52">
        <v>1292</v>
      </c>
      <c r="F8136" s="13"/>
      <c r="G8136" s="13">
        <v>32.53</v>
      </c>
    </row>
    <row r="8137" spans="1:7" hidden="1" x14ac:dyDescent="0.75">
      <c r="A8137" s="51">
        <v>44936</v>
      </c>
      <c r="B8137" s="52">
        <v>1362</v>
      </c>
      <c r="C8137" s="8" t="s">
        <v>4628</v>
      </c>
      <c r="D8137" s="8" t="s">
        <v>788</v>
      </c>
      <c r="E8137" s="52">
        <v>1292</v>
      </c>
      <c r="F8137" s="13"/>
      <c r="G8137" s="13">
        <v>32.53</v>
      </c>
    </row>
    <row r="8138" spans="1:7" hidden="1" x14ac:dyDescent="0.75">
      <c r="A8138" s="51">
        <v>44936</v>
      </c>
      <c r="B8138" s="52">
        <v>1362</v>
      </c>
      <c r="C8138" s="8" t="s">
        <v>4629</v>
      </c>
      <c r="D8138" s="8" t="s">
        <v>788</v>
      </c>
      <c r="E8138" s="52">
        <v>1292</v>
      </c>
      <c r="F8138" s="13"/>
      <c r="G8138" s="13">
        <v>97.59</v>
      </c>
    </row>
    <row r="8139" spans="1:7" hidden="1" x14ac:dyDescent="0.75">
      <c r="A8139" s="51">
        <v>44936</v>
      </c>
      <c r="B8139" s="52">
        <v>1362</v>
      </c>
      <c r="C8139" s="8" t="s">
        <v>4630</v>
      </c>
      <c r="D8139" s="8" t="s">
        <v>788</v>
      </c>
      <c r="E8139" s="52">
        <v>1292</v>
      </c>
      <c r="F8139" s="13"/>
      <c r="G8139" s="13">
        <v>32.53</v>
      </c>
    </row>
    <row r="8140" spans="1:7" hidden="1" x14ac:dyDescent="0.75">
      <c r="A8140" s="51">
        <v>44936</v>
      </c>
      <c r="B8140" s="52">
        <v>1362</v>
      </c>
      <c r="C8140" s="8" t="s">
        <v>4631</v>
      </c>
      <c r="D8140" s="8" t="s">
        <v>788</v>
      </c>
      <c r="E8140" s="52">
        <v>1292</v>
      </c>
      <c r="F8140" s="13"/>
      <c r="G8140" s="13">
        <v>32.53</v>
      </c>
    </row>
    <row r="8141" spans="1:7" hidden="1" x14ac:dyDescent="0.75">
      <c r="A8141" s="51">
        <v>44936</v>
      </c>
      <c r="B8141" s="52">
        <v>1362</v>
      </c>
      <c r="C8141" s="8" t="s">
        <v>3705</v>
      </c>
      <c r="D8141" s="8" t="s">
        <v>788</v>
      </c>
      <c r="E8141" s="52">
        <v>1433</v>
      </c>
      <c r="F8141" s="13"/>
      <c r="G8141" s="13">
        <v>1128.4000000000001</v>
      </c>
    </row>
    <row r="8142" spans="1:7" hidden="1" x14ac:dyDescent="0.75">
      <c r="A8142" s="51">
        <v>44936</v>
      </c>
      <c r="B8142" s="52">
        <v>1362</v>
      </c>
      <c r="C8142" s="8" t="s">
        <v>3706</v>
      </c>
      <c r="D8142" s="8" t="s">
        <v>788</v>
      </c>
      <c r="E8142" s="52">
        <v>1433</v>
      </c>
      <c r="F8142" s="13"/>
      <c r="G8142" s="13">
        <v>1699.4</v>
      </c>
    </row>
    <row r="8143" spans="1:7" hidden="1" x14ac:dyDescent="0.75">
      <c r="A8143" s="51">
        <v>44936</v>
      </c>
      <c r="B8143" s="52">
        <v>1362</v>
      </c>
      <c r="C8143" s="8" t="s">
        <v>3707</v>
      </c>
      <c r="D8143" s="8" t="s">
        <v>788</v>
      </c>
      <c r="E8143" s="52">
        <v>1433</v>
      </c>
      <c r="F8143" s="13"/>
      <c r="G8143" s="13">
        <v>436</v>
      </c>
    </row>
    <row r="8144" spans="1:7" hidden="1" x14ac:dyDescent="0.75">
      <c r="A8144" s="51">
        <v>44936</v>
      </c>
      <c r="B8144" s="52">
        <v>1362</v>
      </c>
      <c r="C8144" s="8" t="s">
        <v>4801</v>
      </c>
      <c r="D8144" s="8" t="s">
        <v>788</v>
      </c>
      <c r="E8144" s="52">
        <v>1388</v>
      </c>
      <c r="F8144" s="13"/>
      <c r="G8144" s="13">
        <v>2048.33</v>
      </c>
    </row>
    <row r="8145" spans="1:7" hidden="1" x14ac:dyDescent="0.75">
      <c r="A8145" s="51">
        <v>44936</v>
      </c>
      <c r="B8145" s="52">
        <v>1362</v>
      </c>
      <c r="C8145" s="8" t="s">
        <v>3134</v>
      </c>
      <c r="D8145" s="8" t="s">
        <v>788</v>
      </c>
      <c r="E8145" s="52">
        <v>1428</v>
      </c>
      <c r="F8145" s="13"/>
      <c r="G8145" s="13">
        <v>1257.1099999999999</v>
      </c>
    </row>
    <row r="8146" spans="1:7" hidden="1" x14ac:dyDescent="0.75">
      <c r="A8146" s="51">
        <v>44936</v>
      </c>
      <c r="B8146" s="52">
        <v>1362</v>
      </c>
      <c r="C8146" s="8" t="s">
        <v>3135</v>
      </c>
      <c r="D8146" s="8" t="s">
        <v>788</v>
      </c>
      <c r="E8146" s="52">
        <v>1428</v>
      </c>
      <c r="F8146" s="13"/>
      <c r="G8146" s="13">
        <v>2134.7800000000002</v>
      </c>
    </row>
    <row r="8147" spans="1:7" hidden="1" x14ac:dyDescent="0.75">
      <c r="A8147" s="51">
        <v>44936</v>
      </c>
      <c r="B8147" s="52">
        <v>1362</v>
      </c>
      <c r="C8147" s="8" t="s">
        <v>3136</v>
      </c>
      <c r="D8147" s="8" t="s">
        <v>788</v>
      </c>
      <c r="E8147" s="52">
        <v>1428</v>
      </c>
      <c r="F8147" s="13"/>
      <c r="G8147" s="13">
        <v>15229.91</v>
      </c>
    </row>
    <row r="8148" spans="1:7" hidden="1" x14ac:dyDescent="0.75">
      <c r="A8148" s="51">
        <v>44936</v>
      </c>
      <c r="B8148" s="52">
        <v>1362</v>
      </c>
      <c r="C8148" s="8" t="s">
        <v>3137</v>
      </c>
      <c r="D8148" s="8" t="s">
        <v>788</v>
      </c>
      <c r="E8148" s="52">
        <v>1428</v>
      </c>
      <c r="F8148" s="13"/>
      <c r="G8148" s="13">
        <v>5920.84</v>
      </c>
    </row>
    <row r="8149" spans="1:7" hidden="1" x14ac:dyDescent="0.75">
      <c r="A8149" s="51">
        <v>44936</v>
      </c>
      <c r="B8149" s="52">
        <v>1362</v>
      </c>
      <c r="C8149" s="8" t="s">
        <v>3138</v>
      </c>
      <c r="D8149" s="8" t="s">
        <v>788</v>
      </c>
      <c r="E8149" s="52">
        <v>1428</v>
      </c>
      <c r="F8149" s="13"/>
      <c r="G8149" s="13">
        <v>3828.91</v>
      </c>
    </row>
    <row r="8150" spans="1:7" hidden="1" x14ac:dyDescent="0.75">
      <c r="A8150" s="51">
        <v>44936</v>
      </c>
      <c r="B8150" s="52">
        <v>1362</v>
      </c>
      <c r="C8150" s="8" t="s">
        <v>3139</v>
      </c>
      <c r="D8150" s="8" t="s">
        <v>788</v>
      </c>
      <c r="E8150" s="52">
        <v>1428</v>
      </c>
      <c r="F8150" s="13"/>
      <c r="G8150" s="13">
        <v>6644.99</v>
      </c>
    </row>
    <row r="8151" spans="1:7" hidden="1" x14ac:dyDescent="0.75">
      <c r="A8151" s="51">
        <v>44936</v>
      </c>
      <c r="B8151" s="52">
        <v>1362</v>
      </c>
      <c r="C8151" s="8" t="s">
        <v>3140</v>
      </c>
      <c r="D8151" s="8" t="s">
        <v>788</v>
      </c>
      <c r="E8151" s="52">
        <v>1428</v>
      </c>
      <c r="F8151" s="13"/>
      <c r="G8151" s="13">
        <v>19007.66</v>
      </c>
    </row>
    <row r="8152" spans="1:7" hidden="1" x14ac:dyDescent="0.75">
      <c r="A8152" s="51">
        <v>44936</v>
      </c>
      <c r="B8152" s="52">
        <v>1362</v>
      </c>
      <c r="C8152" s="8" t="s">
        <v>3141</v>
      </c>
      <c r="D8152" s="8" t="s">
        <v>788</v>
      </c>
      <c r="E8152" s="52">
        <v>1428</v>
      </c>
      <c r="F8152" s="13"/>
      <c r="G8152" s="13">
        <v>639.21</v>
      </c>
    </row>
    <row r="8153" spans="1:7" hidden="1" x14ac:dyDescent="0.75">
      <c r="A8153" s="51">
        <v>44936</v>
      </c>
      <c r="B8153" s="52">
        <v>1362</v>
      </c>
      <c r="C8153" s="8" t="s">
        <v>3142</v>
      </c>
      <c r="D8153" s="8" t="s">
        <v>788</v>
      </c>
      <c r="E8153" s="52">
        <v>1428</v>
      </c>
      <c r="F8153" s="13"/>
      <c r="G8153" s="13">
        <v>8041.12</v>
      </c>
    </row>
    <row r="8154" spans="1:7" hidden="1" x14ac:dyDescent="0.75">
      <c r="A8154" s="51">
        <v>44936</v>
      </c>
      <c r="B8154" s="52">
        <v>1362</v>
      </c>
      <c r="C8154" s="8" t="s">
        <v>3143</v>
      </c>
      <c r="D8154" s="8" t="s">
        <v>788</v>
      </c>
      <c r="E8154" s="52">
        <v>1428</v>
      </c>
      <c r="F8154" s="13"/>
      <c r="G8154" s="13">
        <v>6700.82</v>
      </c>
    </row>
    <row r="8155" spans="1:7" hidden="1" x14ac:dyDescent="0.75">
      <c r="A8155" s="51">
        <v>44936</v>
      </c>
      <c r="B8155" s="52">
        <v>1362</v>
      </c>
      <c r="C8155" s="8" t="s">
        <v>3144</v>
      </c>
      <c r="D8155" s="8" t="s">
        <v>788</v>
      </c>
      <c r="E8155" s="52">
        <v>1428</v>
      </c>
      <c r="F8155" s="13"/>
      <c r="G8155" s="13">
        <v>1479.46</v>
      </c>
    </row>
    <row r="8156" spans="1:7" hidden="1" x14ac:dyDescent="0.75">
      <c r="A8156" s="51">
        <v>44936</v>
      </c>
      <c r="B8156" s="52">
        <v>1362</v>
      </c>
      <c r="C8156" s="8" t="s">
        <v>3145</v>
      </c>
      <c r="D8156" s="8" t="s">
        <v>788</v>
      </c>
      <c r="E8156" s="52">
        <v>1428</v>
      </c>
      <c r="F8156" s="13"/>
      <c r="G8156" s="13">
        <v>1111.25</v>
      </c>
    </row>
    <row r="8157" spans="1:7" hidden="1" x14ac:dyDescent="0.75">
      <c r="A8157" s="51">
        <v>44936</v>
      </c>
      <c r="B8157" s="52">
        <v>1362</v>
      </c>
      <c r="C8157" s="8" t="s">
        <v>3146</v>
      </c>
      <c r="D8157" s="8" t="s">
        <v>788</v>
      </c>
      <c r="E8157" s="52">
        <v>1428</v>
      </c>
      <c r="F8157" s="13"/>
      <c r="G8157" s="13">
        <v>341.31</v>
      </c>
    </row>
    <row r="8158" spans="1:7" hidden="1" x14ac:dyDescent="0.75">
      <c r="A8158" s="51">
        <v>44936</v>
      </c>
      <c r="B8158" s="52">
        <v>1362</v>
      </c>
      <c r="C8158" s="8" t="s">
        <v>3147</v>
      </c>
      <c r="D8158" s="8" t="s">
        <v>788</v>
      </c>
      <c r="E8158" s="52">
        <v>1428</v>
      </c>
      <c r="F8158" s="13"/>
      <c r="G8158" s="13">
        <v>722.36</v>
      </c>
    </row>
    <row r="8159" spans="1:7" hidden="1" x14ac:dyDescent="0.75">
      <c r="A8159" s="51">
        <v>44936</v>
      </c>
      <c r="B8159" s="52">
        <v>1362</v>
      </c>
      <c r="C8159" s="8" t="s">
        <v>3182</v>
      </c>
      <c r="D8159" s="8" t="s">
        <v>788</v>
      </c>
      <c r="E8159" s="52">
        <v>1921</v>
      </c>
      <c r="F8159" s="13"/>
      <c r="G8159" s="13">
        <v>3950.21</v>
      </c>
    </row>
    <row r="8160" spans="1:7" hidden="1" x14ac:dyDescent="0.75">
      <c r="A8160" s="51">
        <v>44936</v>
      </c>
      <c r="B8160" s="52">
        <v>1362</v>
      </c>
      <c r="C8160" s="8" t="s">
        <v>3183</v>
      </c>
      <c r="D8160" s="8" t="s">
        <v>788</v>
      </c>
      <c r="E8160" s="52">
        <v>1921</v>
      </c>
      <c r="F8160" s="13"/>
      <c r="G8160" s="13">
        <v>4563.71</v>
      </c>
    </row>
    <row r="8161" spans="1:7" hidden="1" x14ac:dyDescent="0.75">
      <c r="A8161" s="51">
        <v>44936</v>
      </c>
      <c r="B8161" s="52">
        <v>1362</v>
      </c>
      <c r="C8161" s="8" t="s">
        <v>3184</v>
      </c>
      <c r="D8161" s="8" t="s">
        <v>788</v>
      </c>
      <c r="E8161" s="52">
        <v>1921</v>
      </c>
      <c r="F8161" s="13"/>
      <c r="G8161" s="13">
        <v>4061.89</v>
      </c>
    </row>
    <row r="8162" spans="1:7" hidden="1" x14ac:dyDescent="0.75">
      <c r="A8162" s="51">
        <v>44936</v>
      </c>
      <c r="B8162" s="52">
        <v>1362</v>
      </c>
      <c r="C8162" s="8" t="s">
        <v>3185</v>
      </c>
      <c r="D8162" s="8" t="s">
        <v>788</v>
      </c>
      <c r="E8162" s="52">
        <v>1921</v>
      </c>
      <c r="F8162" s="13"/>
      <c r="G8162" s="13">
        <v>2606.9899999999998</v>
      </c>
    </row>
    <row r="8163" spans="1:7" hidden="1" x14ac:dyDescent="0.75">
      <c r="A8163" s="51">
        <v>44936</v>
      </c>
      <c r="B8163" s="52">
        <v>1362</v>
      </c>
      <c r="C8163" s="8" t="s">
        <v>4802</v>
      </c>
      <c r="D8163" s="8" t="s">
        <v>788</v>
      </c>
      <c r="E8163" s="52">
        <v>1388</v>
      </c>
      <c r="F8163" s="13"/>
      <c r="G8163" s="13">
        <v>72.55</v>
      </c>
    </row>
    <row r="8164" spans="1:7" hidden="1" x14ac:dyDescent="0.75">
      <c r="A8164" s="51">
        <v>44936</v>
      </c>
      <c r="B8164" s="52">
        <v>1362</v>
      </c>
      <c r="C8164" s="8" t="s">
        <v>4803</v>
      </c>
      <c r="D8164" s="8" t="s">
        <v>788</v>
      </c>
      <c r="E8164" s="52">
        <v>1388</v>
      </c>
      <c r="F8164" s="13"/>
      <c r="G8164" s="13">
        <v>145.43</v>
      </c>
    </row>
    <row r="8165" spans="1:7" hidden="1" x14ac:dyDescent="0.75">
      <c r="A8165" s="51">
        <v>44936</v>
      </c>
      <c r="B8165" s="52">
        <v>1362</v>
      </c>
      <c r="C8165" s="8" t="s">
        <v>4804</v>
      </c>
      <c r="D8165" s="8" t="s">
        <v>788</v>
      </c>
      <c r="E8165" s="52">
        <v>1388</v>
      </c>
      <c r="F8165" s="13"/>
      <c r="G8165" s="13">
        <v>1045.05</v>
      </c>
    </row>
    <row r="8166" spans="1:7" hidden="1" x14ac:dyDescent="0.75">
      <c r="A8166" s="51">
        <v>44936</v>
      </c>
      <c r="B8166" s="52">
        <v>1362</v>
      </c>
      <c r="C8166" s="8" t="s">
        <v>4805</v>
      </c>
      <c r="D8166" s="8" t="s">
        <v>788</v>
      </c>
      <c r="E8166" s="52">
        <v>1388</v>
      </c>
      <c r="F8166" s="13"/>
      <c r="G8166" s="13">
        <v>386.91</v>
      </c>
    </row>
    <row r="8167" spans="1:7" hidden="1" x14ac:dyDescent="0.75">
      <c r="A8167" s="51">
        <v>44936</v>
      </c>
      <c r="B8167" s="52">
        <v>1362</v>
      </c>
      <c r="C8167" s="8" t="s">
        <v>4806</v>
      </c>
      <c r="D8167" s="8" t="s">
        <v>788</v>
      </c>
      <c r="E8167" s="52">
        <v>1388</v>
      </c>
      <c r="F8167" s="13"/>
      <c r="G8167" s="13">
        <v>190.92</v>
      </c>
    </row>
    <row r="8168" spans="1:7" hidden="1" x14ac:dyDescent="0.75">
      <c r="A8168" s="51">
        <v>44936</v>
      </c>
      <c r="B8168" s="52">
        <v>1362</v>
      </c>
      <c r="C8168" s="8" t="s">
        <v>4807</v>
      </c>
      <c r="D8168" s="8" t="s">
        <v>788</v>
      </c>
      <c r="E8168" s="52">
        <v>1388</v>
      </c>
      <c r="F8168" s="13"/>
      <c r="G8168" s="13">
        <v>450.06</v>
      </c>
    </row>
    <row r="8169" spans="1:7" hidden="1" x14ac:dyDescent="0.75">
      <c r="A8169" s="51">
        <v>44936</v>
      </c>
      <c r="B8169" s="52">
        <v>1362</v>
      </c>
      <c r="C8169" s="8" t="s">
        <v>4808</v>
      </c>
      <c r="D8169" s="8" t="s">
        <v>788</v>
      </c>
      <c r="E8169" s="52">
        <v>1388</v>
      </c>
      <c r="F8169" s="13"/>
      <c r="G8169" s="13">
        <v>1212.18</v>
      </c>
    </row>
    <row r="8170" spans="1:7" hidden="1" x14ac:dyDescent="0.75">
      <c r="A8170" s="51">
        <v>44936</v>
      </c>
      <c r="B8170" s="52">
        <v>1362</v>
      </c>
      <c r="C8170" s="8" t="s">
        <v>4809</v>
      </c>
      <c r="D8170" s="8" t="s">
        <v>788</v>
      </c>
      <c r="E8170" s="52">
        <v>1388</v>
      </c>
      <c r="F8170" s="13"/>
      <c r="G8170" s="13">
        <v>47.32</v>
      </c>
    </row>
    <row r="8171" spans="1:7" hidden="1" x14ac:dyDescent="0.75">
      <c r="A8171" s="51">
        <v>44936</v>
      </c>
      <c r="B8171" s="52">
        <v>1362</v>
      </c>
      <c r="C8171" s="8" t="s">
        <v>4810</v>
      </c>
      <c r="D8171" s="8" t="s">
        <v>788</v>
      </c>
      <c r="E8171" s="52">
        <v>1388</v>
      </c>
      <c r="F8171" s="13"/>
      <c r="G8171" s="13">
        <v>531.53</v>
      </c>
    </row>
    <row r="8172" spans="1:7" hidden="1" x14ac:dyDescent="0.75">
      <c r="A8172" s="51">
        <v>44936</v>
      </c>
      <c r="B8172" s="52">
        <v>1362</v>
      </c>
      <c r="C8172" s="8" t="s">
        <v>4811</v>
      </c>
      <c r="D8172" s="8" t="s">
        <v>788</v>
      </c>
      <c r="E8172" s="52">
        <v>1388</v>
      </c>
      <c r="F8172" s="13"/>
      <c r="G8172" s="13">
        <v>2006.38</v>
      </c>
    </row>
    <row r="8173" spans="1:7" hidden="1" x14ac:dyDescent="0.75">
      <c r="A8173" s="51">
        <v>44936</v>
      </c>
      <c r="B8173" s="52">
        <v>1362</v>
      </c>
      <c r="C8173" s="8" t="s">
        <v>4812</v>
      </c>
      <c r="D8173" s="8" t="s">
        <v>788</v>
      </c>
      <c r="E8173" s="52">
        <v>1388</v>
      </c>
      <c r="F8173" s="13"/>
      <c r="G8173" s="13">
        <v>445.05</v>
      </c>
    </row>
    <row r="8174" spans="1:7" hidden="1" x14ac:dyDescent="0.75">
      <c r="A8174" s="51">
        <v>44936</v>
      </c>
      <c r="B8174" s="52">
        <v>1362</v>
      </c>
      <c r="C8174" s="8" t="s">
        <v>4813</v>
      </c>
      <c r="D8174" s="8" t="s">
        <v>788</v>
      </c>
      <c r="E8174" s="52">
        <v>1388</v>
      </c>
      <c r="F8174" s="13"/>
      <c r="G8174" s="13">
        <v>109.53</v>
      </c>
    </row>
    <row r="8175" spans="1:7" hidden="1" x14ac:dyDescent="0.75">
      <c r="A8175" s="51">
        <v>44936</v>
      </c>
      <c r="B8175" s="52">
        <v>1362</v>
      </c>
      <c r="C8175" s="8" t="s">
        <v>4814</v>
      </c>
      <c r="D8175" s="8" t="s">
        <v>788</v>
      </c>
      <c r="E8175" s="52">
        <v>1388</v>
      </c>
      <c r="F8175" s="13"/>
      <c r="G8175" s="13">
        <v>70.569999999999993</v>
      </c>
    </row>
    <row r="8176" spans="1:7" hidden="1" x14ac:dyDescent="0.75">
      <c r="A8176" s="51">
        <v>44936</v>
      </c>
      <c r="B8176" s="52">
        <v>1362</v>
      </c>
      <c r="C8176" s="8" t="s">
        <v>4815</v>
      </c>
      <c r="D8176" s="8" t="s">
        <v>788</v>
      </c>
      <c r="E8176" s="52">
        <v>1388</v>
      </c>
      <c r="F8176" s="13"/>
      <c r="G8176" s="13">
        <v>10.31</v>
      </c>
    </row>
    <row r="8177" spans="1:7" hidden="1" x14ac:dyDescent="0.75">
      <c r="A8177" s="51">
        <v>44936</v>
      </c>
      <c r="B8177" s="52">
        <v>1362</v>
      </c>
      <c r="C8177" s="8" t="s">
        <v>4816</v>
      </c>
      <c r="D8177" s="8" t="s">
        <v>788</v>
      </c>
      <c r="E8177" s="52">
        <v>1388</v>
      </c>
      <c r="F8177" s="13"/>
      <c r="G8177" s="13">
        <v>53.48</v>
      </c>
    </row>
    <row r="8178" spans="1:7" hidden="1" x14ac:dyDescent="0.75">
      <c r="A8178" s="51">
        <v>44936</v>
      </c>
      <c r="B8178" s="52">
        <v>1362</v>
      </c>
      <c r="C8178" s="8" t="s">
        <v>4817</v>
      </c>
      <c r="D8178" s="8" t="s">
        <v>788</v>
      </c>
      <c r="E8178" s="52">
        <v>1388</v>
      </c>
      <c r="F8178" s="13"/>
      <c r="G8178" s="13">
        <v>265.37</v>
      </c>
    </row>
    <row r="8179" spans="1:7" hidden="1" x14ac:dyDescent="0.75">
      <c r="A8179" s="51">
        <v>44936</v>
      </c>
      <c r="B8179" s="52">
        <v>1362</v>
      </c>
      <c r="C8179" s="8" t="s">
        <v>4818</v>
      </c>
      <c r="D8179" s="8" t="s">
        <v>788</v>
      </c>
      <c r="E8179" s="52">
        <v>1388</v>
      </c>
      <c r="F8179" s="13"/>
      <c r="G8179" s="13">
        <v>303.74</v>
      </c>
    </row>
    <row r="8180" spans="1:7" hidden="1" x14ac:dyDescent="0.75">
      <c r="A8180" s="51">
        <v>44936</v>
      </c>
      <c r="B8180" s="52">
        <v>1362</v>
      </c>
      <c r="C8180" s="8" t="s">
        <v>4819</v>
      </c>
      <c r="D8180" s="8" t="s">
        <v>788</v>
      </c>
      <c r="E8180" s="52">
        <v>1388</v>
      </c>
      <c r="F8180" s="13"/>
      <c r="G8180" s="13">
        <v>279.7</v>
      </c>
    </row>
    <row r="8181" spans="1:7" hidden="1" x14ac:dyDescent="0.75">
      <c r="A8181" s="51">
        <v>44936</v>
      </c>
      <c r="B8181" s="52">
        <v>1362</v>
      </c>
      <c r="C8181" s="8" t="s">
        <v>4820</v>
      </c>
      <c r="D8181" s="8" t="s">
        <v>788</v>
      </c>
      <c r="E8181" s="52">
        <v>1388</v>
      </c>
      <c r="F8181" s="13"/>
      <c r="G8181" s="13">
        <v>178.78</v>
      </c>
    </row>
    <row r="8182" spans="1:7" hidden="1" x14ac:dyDescent="0.75">
      <c r="A8182" s="51">
        <v>44936</v>
      </c>
      <c r="B8182" s="52">
        <v>1362</v>
      </c>
      <c r="C8182" s="8" t="s">
        <v>3149</v>
      </c>
      <c r="D8182" s="8" t="s">
        <v>788</v>
      </c>
      <c r="E8182" s="52">
        <v>1424</v>
      </c>
      <c r="F8182" s="13"/>
      <c r="G8182" s="13">
        <v>11467.95</v>
      </c>
    </row>
    <row r="8183" spans="1:7" hidden="1" x14ac:dyDescent="0.75">
      <c r="A8183" s="51">
        <v>44936</v>
      </c>
      <c r="B8183" s="52">
        <v>1362</v>
      </c>
      <c r="C8183" s="8" t="s">
        <v>3150</v>
      </c>
      <c r="D8183" s="8" t="s">
        <v>788</v>
      </c>
      <c r="E8183" s="52">
        <v>1424</v>
      </c>
      <c r="F8183" s="13"/>
      <c r="G8183" s="13">
        <v>3849.28</v>
      </c>
    </row>
    <row r="8184" spans="1:7" hidden="1" x14ac:dyDescent="0.75">
      <c r="A8184" s="51">
        <v>44936</v>
      </c>
      <c r="B8184" s="52">
        <v>1362</v>
      </c>
      <c r="C8184" s="8" t="s">
        <v>3151</v>
      </c>
      <c r="D8184" s="8" t="s">
        <v>788</v>
      </c>
      <c r="E8184" s="52">
        <v>1424</v>
      </c>
      <c r="F8184" s="13"/>
      <c r="G8184" s="13">
        <v>1076.4000000000001</v>
      </c>
    </row>
    <row r="8185" spans="1:7" hidden="1" x14ac:dyDescent="0.75">
      <c r="A8185" s="51">
        <v>44936</v>
      </c>
      <c r="B8185" s="52">
        <v>1362</v>
      </c>
      <c r="C8185" s="8" t="s">
        <v>3208</v>
      </c>
      <c r="D8185" s="8" t="s">
        <v>788</v>
      </c>
      <c r="E8185" s="52">
        <v>1435</v>
      </c>
      <c r="F8185" s="13"/>
      <c r="G8185" s="13">
        <v>47.25</v>
      </c>
    </row>
    <row r="8186" spans="1:7" hidden="1" x14ac:dyDescent="0.75">
      <c r="A8186" s="51">
        <v>44936</v>
      </c>
      <c r="B8186" s="52">
        <v>1362</v>
      </c>
      <c r="C8186" s="8" t="s">
        <v>3209</v>
      </c>
      <c r="D8186" s="8" t="s">
        <v>788</v>
      </c>
      <c r="E8186" s="52">
        <v>1435</v>
      </c>
      <c r="F8186" s="13"/>
      <c r="G8186" s="13">
        <v>150.19999999999999</v>
      </c>
    </row>
    <row r="8187" spans="1:7" hidden="1" x14ac:dyDescent="0.75">
      <c r="A8187" s="51">
        <v>44936</v>
      </c>
      <c r="B8187" s="52">
        <v>1362</v>
      </c>
      <c r="C8187" s="8" t="s">
        <v>3210</v>
      </c>
      <c r="D8187" s="8" t="s">
        <v>788</v>
      </c>
      <c r="E8187" s="52">
        <v>1435</v>
      </c>
      <c r="F8187" s="13"/>
      <c r="G8187" s="13">
        <v>10.199999999999999</v>
      </c>
    </row>
    <row r="8188" spans="1:7" hidden="1" x14ac:dyDescent="0.75">
      <c r="A8188" s="51">
        <v>44936</v>
      </c>
      <c r="B8188" s="52">
        <v>1362</v>
      </c>
      <c r="C8188" s="8" t="s">
        <v>3152</v>
      </c>
      <c r="D8188" s="8" t="s">
        <v>788</v>
      </c>
      <c r="E8188" s="52">
        <v>1424</v>
      </c>
      <c r="F8188" s="13"/>
      <c r="G8188" s="13">
        <v>3934.43</v>
      </c>
    </row>
    <row r="8189" spans="1:7" hidden="1" x14ac:dyDescent="0.75">
      <c r="A8189" s="51">
        <v>44936</v>
      </c>
      <c r="B8189" s="52">
        <v>1362</v>
      </c>
      <c r="C8189" s="8" t="s">
        <v>4821</v>
      </c>
      <c r="D8189" s="8" t="s">
        <v>788</v>
      </c>
      <c r="E8189" s="52">
        <v>1388</v>
      </c>
      <c r="F8189" s="13"/>
      <c r="G8189" s="13">
        <v>1174.3599999999999</v>
      </c>
    </row>
    <row r="8190" spans="1:7" hidden="1" x14ac:dyDescent="0.75">
      <c r="A8190" s="51">
        <v>44936</v>
      </c>
      <c r="B8190" s="52">
        <v>1362</v>
      </c>
      <c r="C8190" s="8" t="s">
        <v>3179</v>
      </c>
      <c r="D8190" s="8" t="s">
        <v>788</v>
      </c>
      <c r="E8190" s="52">
        <v>1426</v>
      </c>
      <c r="F8190" s="13"/>
      <c r="G8190" s="13">
        <v>3993.72</v>
      </c>
    </row>
    <row r="8191" spans="1:7" hidden="1" x14ac:dyDescent="0.75">
      <c r="A8191" s="51">
        <v>44936</v>
      </c>
      <c r="B8191" s="52">
        <v>1362</v>
      </c>
      <c r="C8191" s="8" t="s">
        <v>3179</v>
      </c>
      <c r="D8191" s="8" t="s">
        <v>788</v>
      </c>
      <c r="E8191" s="52">
        <v>1426</v>
      </c>
      <c r="F8191" s="13"/>
      <c r="G8191" s="13">
        <v>1070.8499999999999</v>
      </c>
    </row>
    <row r="8192" spans="1:7" hidden="1" x14ac:dyDescent="0.75">
      <c r="A8192" s="51">
        <v>44937</v>
      </c>
      <c r="B8192" s="52">
        <v>1362</v>
      </c>
      <c r="C8192" s="8" t="s">
        <v>2876</v>
      </c>
      <c r="D8192" s="8" t="s">
        <v>788</v>
      </c>
      <c r="E8192" s="52">
        <v>1508</v>
      </c>
      <c r="F8192" s="13">
        <v>2677</v>
      </c>
      <c r="G8192" s="13"/>
    </row>
    <row r="8193" spans="1:7" hidden="1" x14ac:dyDescent="0.75">
      <c r="A8193" s="51">
        <v>44937</v>
      </c>
      <c r="B8193" s="52">
        <v>1362</v>
      </c>
      <c r="C8193" s="8" t="s">
        <v>2876</v>
      </c>
      <c r="D8193" s="8" t="s">
        <v>788</v>
      </c>
      <c r="E8193" s="52">
        <v>1508</v>
      </c>
      <c r="F8193" s="13">
        <v>2366.9</v>
      </c>
      <c r="G8193" s="13"/>
    </row>
    <row r="8194" spans="1:7" hidden="1" x14ac:dyDescent="0.75">
      <c r="A8194" s="51">
        <v>44937</v>
      </c>
      <c r="B8194" s="52">
        <v>1362</v>
      </c>
      <c r="C8194" s="8" t="s">
        <v>2876</v>
      </c>
      <c r="D8194" s="8" t="s">
        <v>788</v>
      </c>
      <c r="E8194" s="52">
        <v>1508</v>
      </c>
      <c r="F8194" s="13">
        <v>2760.6</v>
      </c>
      <c r="G8194" s="13"/>
    </row>
    <row r="8195" spans="1:7" hidden="1" x14ac:dyDescent="0.75">
      <c r="A8195" s="51">
        <v>44937</v>
      </c>
      <c r="B8195" s="52">
        <v>1362</v>
      </c>
      <c r="C8195" s="8" t="s">
        <v>2876</v>
      </c>
      <c r="D8195" s="8" t="s">
        <v>788</v>
      </c>
      <c r="E8195" s="52">
        <v>1508</v>
      </c>
      <c r="F8195" s="13">
        <v>2762.3</v>
      </c>
      <c r="G8195" s="13"/>
    </row>
    <row r="8196" spans="1:7" hidden="1" x14ac:dyDescent="0.75">
      <c r="A8196" s="51">
        <v>44937</v>
      </c>
      <c r="B8196" s="52">
        <v>1362</v>
      </c>
      <c r="C8196" s="8" t="s">
        <v>2897</v>
      </c>
      <c r="D8196" s="8" t="s">
        <v>788</v>
      </c>
      <c r="E8196" s="52">
        <v>1508</v>
      </c>
      <c r="F8196" s="13">
        <v>1985.98</v>
      </c>
      <c r="G8196" s="13"/>
    </row>
    <row r="8197" spans="1:7" hidden="1" x14ac:dyDescent="0.75">
      <c r="A8197" s="51">
        <v>44937</v>
      </c>
      <c r="B8197" s="52">
        <v>1362</v>
      </c>
      <c r="C8197" s="8" t="s">
        <v>2898</v>
      </c>
      <c r="D8197" s="8" t="s">
        <v>788</v>
      </c>
      <c r="E8197" s="52">
        <v>1508</v>
      </c>
      <c r="F8197" s="13">
        <v>1593.82</v>
      </c>
      <c r="G8197" s="13"/>
    </row>
    <row r="8198" spans="1:7" hidden="1" x14ac:dyDescent="0.75">
      <c r="A8198" s="51">
        <v>44937</v>
      </c>
      <c r="B8198" s="52">
        <v>1362</v>
      </c>
      <c r="C8198" s="8" t="s">
        <v>2899</v>
      </c>
      <c r="D8198" s="8" t="s">
        <v>788</v>
      </c>
      <c r="E8198" s="52">
        <v>1508</v>
      </c>
      <c r="F8198" s="13">
        <v>3191.05</v>
      </c>
      <c r="G8198" s="13"/>
    </row>
    <row r="8199" spans="1:7" hidden="1" x14ac:dyDescent="0.75">
      <c r="A8199" s="51">
        <v>44937</v>
      </c>
      <c r="B8199" s="52">
        <v>1362</v>
      </c>
      <c r="C8199" s="8" t="s">
        <v>2900</v>
      </c>
      <c r="D8199" s="8" t="s">
        <v>788</v>
      </c>
      <c r="E8199" s="52">
        <v>1508</v>
      </c>
      <c r="F8199" s="13">
        <v>2049.44</v>
      </c>
      <c r="G8199" s="13"/>
    </row>
    <row r="8200" spans="1:7" hidden="1" x14ac:dyDescent="0.75">
      <c r="A8200" s="51">
        <v>44937</v>
      </c>
      <c r="B8200" s="52">
        <v>1362</v>
      </c>
      <c r="C8200" s="8" t="s">
        <v>2901</v>
      </c>
      <c r="D8200" s="8" t="s">
        <v>788</v>
      </c>
      <c r="E8200" s="52">
        <v>1508</v>
      </c>
      <c r="F8200" s="13">
        <v>427.5</v>
      </c>
      <c r="G8200" s="13"/>
    </row>
    <row r="8201" spans="1:7" hidden="1" x14ac:dyDescent="0.75">
      <c r="A8201" s="51">
        <v>44937</v>
      </c>
      <c r="B8201" s="52">
        <v>1362</v>
      </c>
      <c r="C8201" s="8" t="s">
        <v>2902</v>
      </c>
      <c r="D8201" s="8" t="s">
        <v>788</v>
      </c>
      <c r="E8201" s="52">
        <v>1508</v>
      </c>
      <c r="F8201" s="13">
        <v>2251.54</v>
      </c>
      <c r="G8201" s="13"/>
    </row>
    <row r="8202" spans="1:7" hidden="1" x14ac:dyDescent="0.75">
      <c r="A8202" s="51">
        <v>44937</v>
      </c>
      <c r="B8202" s="52">
        <v>1362</v>
      </c>
      <c r="C8202" s="8" t="s">
        <v>3190</v>
      </c>
      <c r="D8202" s="8" t="s">
        <v>788</v>
      </c>
      <c r="E8202" s="52">
        <v>1946</v>
      </c>
      <c r="F8202" s="13">
        <v>48.13</v>
      </c>
      <c r="G8202" s="13"/>
    </row>
    <row r="8203" spans="1:7" hidden="1" x14ac:dyDescent="0.75">
      <c r="A8203" s="51">
        <v>44937</v>
      </c>
      <c r="B8203" s="52">
        <v>1362</v>
      </c>
      <c r="C8203" s="8" t="s">
        <v>1481</v>
      </c>
      <c r="D8203" s="8" t="s">
        <v>788</v>
      </c>
      <c r="E8203" s="52">
        <v>8</v>
      </c>
      <c r="F8203" s="13"/>
      <c r="G8203" s="13">
        <v>20512.349999999999</v>
      </c>
    </row>
    <row r="8204" spans="1:7" hidden="1" x14ac:dyDescent="0.75">
      <c r="A8204" s="51">
        <v>44937</v>
      </c>
      <c r="B8204" s="52">
        <v>1362</v>
      </c>
      <c r="C8204" s="8" t="s">
        <v>3466</v>
      </c>
      <c r="D8204" s="8" t="s">
        <v>788</v>
      </c>
      <c r="E8204" s="52">
        <v>1523</v>
      </c>
      <c r="F8204" s="13"/>
      <c r="G8204" s="13">
        <v>12.6</v>
      </c>
    </row>
    <row r="8205" spans="1:7" hidden="1" x14ac:dyDescent="0.75">
      <c r="A8205" s="51">
        <v>44937</v>
      </c>
      <c r="B8205" s="52">
        <v>1362</v>
      </c>
      <c r="C8205" s="8" t="s">
        <v>3467</v>
      </c>
      <c r="D8205" s="8" t="s">
        <v>788</v>
      </c>
      <c r="E8205" s="52">
        <v>1523</v>
      </c>
      <c r="F8205" s="13"/>
      <c r="G8205" s="13">
        <v>310.60000000000002</v>
      </c>
    </row>
    <row r="8206" spans="1:7" hidden="1" x14ac:dyDescent="0.75">
      <c r="A8206" s="51">
        <v>44937</v>
      </c>
      <c r="B8206" s="52">
        <v>1362</v>
      </c>
      <c r="C8206" s="8" t="s">
        <v>3468</v>
      </c>
      <c r="D8206" s="8" t="s">
        <v>788</v>
      </c>
      <c r="E8206" s="52">
        <v>1523</v>
      </c>
      <c r="F8206" s="13"/>
      <c r="G8206" s="13">
        <v>9.8000000000000007</v>
      </c>
    </row>
    <row r="8207" spans="1:7" hidden="1" x14ac:dyDescent="0.75">
      <c r="A8207" s="51">
        <v>44937</v>
      </c>
      <c r="B8207" s="52">
        <v>1362</v>
      </c>
      <c r="C8207" s="8" t="s">
        <v>3469</v>
      </c>
      <c r="D8207" s="8" t="s">
        <v>788</v>
      </c>
      <c r="E8207" s="52">
        <v>1523</v>
      </c>
      <c r="F8207" s="13"/>
      <c r="G8207" s="13">
        <v>9.3000000000000007</v>
      </c>
    </row>
    <row r="8208" spans="1:7" hidden="1" x14ac:dyDescent="0.75">
      <c r="A8208" s="51">
        <v>44937</v>
      </c>
      <c r="B8208" s="52">
        <v>1362</v>
      </c>
      <c r="C8208" s="8" t="s">
        <v>3470</v>
      </c>
      <c r="D8208" s="8" t="s">
        <v>788</v>
      </c>
      <c r="E8208" s="52">
        <v>1523</v>
      </c>
      <c r="F8208" s="13"/>
      <c r="G8208" s="13">
        <v>156.4</v>
      </c>
    </row>
    <row r="8209" spans="1:7" hidden="1" x14ac:dyDescent="0.75">
      <c r="A8209" s="51">
        <v>44937</v>
      </c>
      <c r="B8209" s="52">
        <v>1362</v>
      </c>
      <c r="C8209" s="8" t="s">
        <v>3471</v>
      </c>
      <c r="D8209" s="8" t="s">
        <v>788</v>
      </c>
      <c r="E8209" s="52">
        <v>1523</v>
      </c>
      <c r="F8209" s="13"/>
      <c r="G8209" s="13">
        <v>9.8000000000000007</v>
      </c>
    </row>
    <row r="8210" spans="1:7" hidden="1" x14ac:dyDescent="0.75">
      <c r="A8210" s="51">
        <v>44937</v>
      </c>
      <c r="B8210" s="52">
        <v>1362</v>
      </c>
      <c r="C8210" s="8" t="s">
        <v>3472</v>
      </c>
      <c r="D8210" s="8" t="s">
        <v>788</v>
      </c>
      <c r="E8210" s="52">
        <v>1523</v>
      </c>
      <c r="F8210" s="13"/>
      <c r="G8210" s="13">
        <v>5.6</v>
      </c>
    </row>
    <row r="8211" spans="1:7" hidden="1" x14ac:dyDescent="0.75">
      <c r="A8211" s="51">
        <v>44937</v>
      </c>
      <c r="B8211" s="52">
        <v>1362</v>
      </c>
      <c r="C8211" s="8" t="s">
        <v>3473</v>
      </c>
      <c r="D8211" s="8" t="s">
        <v>788</v>
      </c>
      <c r="E8211" s="52">
        <v>1523</v>
      </c>
      <c r="F8211" s="13"/>
      <c r="G8211" s="13">
        <v>72</v>
      </c>
    </row>
    <row r="8212" spans="1:7" hidden="1" x14ac:dyDescent="0.75">
      <c r="A8212" s="51">
        <v>44937</v>
      </c>
      <c r="B8212" s="52">
        <v>1362</v>
      </c>
      <c r="C8212" s="8" t="s">
        <v>3474</v>
      </c>
      <c r="D8212" s="8" t="s">
        <v>788</v>
      </c>
      <c r="E8212" s="52">
        <v>1523</v>
      </c>
      <c r="F8212" s="13"/>
      <c r="G8212" s="13">
        <v>7.5</v>
      </c>
    </row>
    <row r="8213" spans="1:7" hidden="1" x14ac:dyDescent="0.75">
      <c r="A8213" s="51">
        <v>44937</v>
      </c>
      <c r="B8213" s="52">
        <v>1362</v>
      </c>
      <c r="C8213" s="8" t="s">
        <v>3475</v>
      </c>
      <c r="D8213" s="8" t="s">
        <v>788</v>
      </c>
      <c r="E8213" s="52">
        <v>1523</v>
      </c>
      <c r="F8213" s="13"/>
      <c r="G8213" s="13">
        <v>146.5</v>
      </c>
    </row>
    <row r="8214" spans="1:7" hidden="1" x14ac:dyDescent="0.75">
      <c r="A8214" s="51">
        <v>44937</v>
      </c>
      <c r="B8214" s="52">
        <v>1362</v>
      </c>
      <c r="C8214" s="8" t="s">
        <v>3476</v>
      </c>
      <c r="D8214" s="8" t="s">
        <v>788</v>
      </c>
      <c r="E8214" s="52">
        <v>1523</v>
      </c>
      <c r="F8214" s="13"/>
      <c r="G8214" s="13">
        <v>20.9</v>
      </c>
    </row>
    <row r="8215" spans="1:7" hidden="1" x14ac:dyDescent="0.75">
      <c r="A8215" s="51">
        <v>44937</v>
      </c>
      <c r="B8215" s="52">
        <v>1362</v>
      </c>
      <c r="C8215" s="8" t="s">
        <v>3477</v>
      </c>
      <c r="D8215" s="8" t="s">
        <v>788</v>
      </c>
      <c r="E8215" s="52">
        <v>1523</v>
      </c>
      <c r="F8215" s="13"/>
      <c r="G8215" s="13">
        <v>62</v>
      </c>
    </row>
    <row r="8216" spans="1:7" hidden="1" x14ac:dyDescent="0.75">
      <c r="A8216" s="51">
        <v>44937</v>
      </c>
      <c r="B8216" s="52">
        <v>1362</v>
      </c>
      <c r="C8216" s="8" t="s">
        <v>3478</v>
      </c>
      <c r="D8216" s="8" t="s">
        <v>788</v>
      </c>
      <c r="E8216" s="52">
        <v>1523</v>
      </c>
      <c r="F8216" s="13"/>
      <c r="G8216" s="13">
        <v>10.5</v>
      </c>
    </row>
    <row r="8217" spans="1:7" hidden="1" x14ac:dyDescent="0.75">
      <c r="A8217" s="51">
        <v>44937</v>
      </c>
      <c r="B8217" s="52">
        <v>1362</v>
      </c>
      <c r="C8217" s="8" t="s">
        <v>3479</v>
      </c>
      <c r="D8217" s="8" t="s">
        <v>788</v>
      </c>
      <c r="E8217" s="52">
        <v>1523</v>
      </c>
      <c r="F8217" s="13"/>
      <c r="G8217" s="13">
        <v>7.5</v>
      </c>
    </row>
    <row r="8218" spans="1:7" hidden="1" x14ac:dyDescent="0.75">
      <c r="A8218" s="51">
        <v>44937</v>
      </c>
      <c r="B8218" s="52">
        <v>1362</v>
      </c>
      <c r="C8218" s="8" t="s">
        <v>3480</v>
      </c>
      <c r="D8218" s="8" t="s">
        <v>788</v>
      </c>
      <c r="E8218" s="52">
        <v>1523</v>
      </c>
      <c r="F8218" s="13"/>
      <c r="G8218" s="13">
        <v>36.799999999999997</v>
      </c>
    </row>
    <row r="8219" spans="1:7" hidden="1" x14ac:dyDescent="0.75">
      <c r="A8219" s="51">
        <v>44937</v>
      </c>
      <c r="B8219" s="52">
        <v>1362</v>
      </c>
      <c r="C8219" s="8" t="s">
        <v>3481</v>
      </c>
      <c r="D8219" s="8" t="s">
        <v>788</v>
      </c>
      <c r="E8219" s="52">
        <v>1523</v>
      </c>
      <c r="F8219" s="13"/>
      <c r="G8219" s="13">
        <v>84.8</v>
      </c>
    </row>
    <row r="8220" spans="1:7" hidden="1" x14ac:dyDescent="0.75">
      <c r="A8220" s="51">
        <v>44937</v>
      </c>
      <c r="B8220" s="52">
        <v>1362</v>
      </c>
      <c r="C8220" s="8" t="s">
        <v>3189</v>
      </c>
      <c r="D8220" s="8" t="s">
        <v>788</v>
      </c>
      <c r="E8220" s="52">
        <v>1946</v>
      </c>
      <c r="F8220" s="13"/>
      <c r="G8220" s="13">
        <v>528.34</v>
      </c>
    </row>
    <row r="8221" spans="1:7" hidden="1" x14ac:dyDescent="0.75">
      <c r="A8221" s="51">
        <v>44937</v>
      </c>
      <c r="B8221" s="52">
        <v>1362</v>
      </c>
      <c r="C8221" s="8" t="s">
        <v>3482</v>
      </c>
      <c r="D8221" s="8" t="s">
        <v>788</v>
      </c>
      <c r="E8221" s="52">
        <v>1523</v>
      </c>
      <c r="F8221" s="13"/>
      <c r="G8221" s="13">
        <v>110.97</v>
      </c>
    </row>
    <row r="8222" spans="1:7" hidden="1" x14ac:dyDescent="0.75">
      <c r="A8222" s="51">
        <v>44942</v>
      </c>
      <c r="B8222" s="52">
        <v>1362</v>
      </c>
      <c r="C8222" s="8" t="s">
        <v>2686</v>
      </c>
      <c r="D8222" s="8" t="s">
        <v>788</v>
      </c>
      <c r="E8222" s="52">
        <v>883</v>
      </c>
      <c r="F8222" s="13">
        <v>3394.4</v>
      </c>
      <c r="G8222" s="13"/>
    </row>
    <row r="8223" spans="1:7" hidden="1" x14ac:dyDescent="0.75">
      <c r="A8223" s="51">
        <v>44942</v>
      </c>
      <c r="B8223" s="52">
        <v>1362</v>
      </c>
      <c r="C8223" s="8" t="s">
        <v>2686</v>
      </c>
      <c r="D8223" s="8" t="s">
        <v>788</v>
      </c>
      <c r="E8223" s="52">
        <v>883</v>
      </c>
      <c r="F8223" s="13">
        <v>786</v>
      </c>
      <c r="G8223" s="13"/>
    </row>
    <row r="8224" spans="1:7" hidden="1" x14ac:dyDescent="0.75">
      <c r="A8224" s="51">
        <v>44942</v>
      </c>
      <c r="B8224" s="52">
        <v>1362</v>
      </c>
      <c r="C8224" s="8" t="s">
        <v>2711</v>
      </c>
      <c r="D8224" s="8" t="s">
        <v>788</v>
      </c>
      <c r="E8224" s="52">
        <v>885</v>
      </c>
      <c r="F8224" s="13">
        <v>1003.4</v>
      </c>
      <c r="G8224" s="13"/>
    </row>
    <row r="8225" spans="1:7" hidden="1" x14ac:dyDescent="0.75">
      <c r="A8225" s="51">
        <v>44942</v>
      </c>
      <c r="B8225" s="52">
        <v>1362</v>
      </c>
      <c r="C8225" s="8" t="s">
        <v>2803</v>
      </c>
      <c r="D8225" s="8" t="s">
        <v>788</v>
      </c>
      <c r="E8225" s="52">
        <v>1025</v>
      </c>
      <c r="F8225" s="13">
        <v>479.5</v>
      </c>
      <c r="G8225" s="13"/>
    </row>
    <row r="8226" spans="1:7" hidden="1" x14ac:dyDescent="0.75">
      <c r="A8226" s="51">
        <v>44942</v>
      </c>
      <c r="B8226" s="52">
        <v>1362</v>
      </c>
      <c r="C8226" s="8" t="s">
        <v>2757</v>
      </c>
      <c r="D8226" s="8" t="s">
        <v>788</v>
      </c>
      <c r="E8226" s="52">
        <v>884</v>
      </c>
      <c r="F8226" s="13">
        <v>4264.3999999999996</v>
      </c>
      <c r="G8226" s="13"/>
    </row>
    <row r="8227" spans="1:7" hidden="1" x14ac:dyDescent="0.75">
      <c r="A8227" s="51">
        <v>44942</v>
      </c>
      <c r="B8227" s="52">
        <v>1362</v>
      </c>
      <c r="C8227" s="8" t="s">
        <v>2729</v>
      </c>
      <c r="D8227" s="8" t="s">
        <v>788</v>
      </c>
      <c r="E8227" s="52">
        <v>882</v>
      </c>
      <c r="F8227" s="13">
        <v>213.7</v>
      </c>
      <c r="G8227" s="13"/>
    </row>
    <row r="8228" spans="1:7" hidden="1" x14ac:dyDescent="0.75">
      <c r="A8228" s="51">
        <v>44942</v>
      </c>
      <c r="B8228" s="52">
        <v>1362</v>
      </c>
      <c r="C8228" s="8" t="s">
        <v>2757</v>
      </c>
      <c r="D8228" s="8" t="s">
        <v>788</v>
      </c>
      <c r="E8228" s="52">
        <v>884</v>
      </c>
      <c r="F8228" s="13">
        <v>440</v>
      </c>
      <c r="G8228" s="13"/>
    </row>
    <row r="8229" spans="1:7" hidden="1" x14ac:dyDescent="0.75">
      <c r="A8229" s="51">
        <v>44942</v>
      </c>
      <c r="B8229" s="52">
        <v>1362</v>
      </c>
      <c r="C8229" s="8" t="s">
        <v>2803</v>
      </c>
      <c r="D8229" s="8" t="s">
        <v>788</v>
      </c>
      <c r="E8229" s="52">
        <v>1025</v>
      </c>
      <c r="F8229" s="13">
        <v>2118.5</v>
      </c>
      <c r="G8229" s="13"/>
    </row>
    <row r="8230" spans="1:7" hidden="1" x14ac:dyDescent="0.75">
      <c r="A8230" s="51">
        <v>44942</v>
      </c>
      <c r="B8230" s="52">
        <v>1362</v>
      </c>
      <c r="C8230" s="8" t="s">
        <v>2686</v>
      </c>
      <c r="D8230" s="8" t="s">
        <v>788</v>
      </c>
      <c r="E8230" s="52">
        <v>883</v>
      </c>
      <c r="F8230" s="13">
        <v>3456.1</v>
      </c>
      <c r="G8230" s="13"/>
    </row>
    <row r="8231" spans="1:7" hidden="1" x14ac:dyDescent="0.75">
      <c r="A8231" s="51">
        <v>44942</v>
      </c>
      <c r="B8231" s="52">
        <v>1362</v>
      </c>
      <c r="C8231" s="8" t="s">
        <v>2686</v>
      </c>
      <c r="D8231" s="8" t="s">
        <v>788</v>
      </c>
      <c r="E8231" s="52">
        <v>883</v>
      </c>
      <c r="F8231" s="13">
        <v>786</v>
      </c>
      <c r="G8231" s="13"/>
    </row>
    <row r="8232" spans="1:7" hidden="1" x14ac:dyDescent="0.75">
      <c r="A8232" s="51">
        <v>44942</v>
      </c>
      <c r="B8232" s="52">
        <v>1362</v>
      </c>
      <c r="C8232" s="8" t="s">
        <v>2711</v>
      </c>
      <c r="D8232" s="8" t="s">
        <v>788</v>
      </c>
      <c r="E8232" s="52">
        <v>885</v>
      </c>
      <c r="F8232" s="13">
        <v>725.2</v>
      </c>
      <c r="G8232" s="13"/>
    </row>
    <row r="8233" spans="1:7" hidden="1" x14ac:dyDescent="0.75">
      <c r="A8233" s="51">
        <v>44942</v>
      </c>
      <c r="B8233" s="52">
        <v>1362</v>
      </c>
      <c r="C8233" s="8" t="s">
        <v>2729</v>
      </c>
      <c r="D8233" s="8" t="s">
        <v>788</v>
      </c>
      <c r="E8233" s="52">
        <v>882</v>
      </c>
      <c r="F8233" s="13">
        <v>276.7</v>
      </c>
      <c r="G8233" s="13"/>
    </row>
    <row r="8234" spans="1:7" hidden="1" x14ac:dyDescent="0.75">
      <c r="A8234" s="51">
        <v>44942</v>
      </c>
      <c r="B8234" s="52">
        <v>1362</v>
      </c>
      <c r="C8234" s="8" t="s">
        <v>2757</v>
      </c>
      <c r="D8234" s="8" t="s">
        <v>788</v>
      </c>
      <c r="E8234" s="52">
        <v>884</v>
      </c>
      <c r="F8234" s="13">
        <v>4090.9</v>
      </c>
      <c r="G8234" s="13"/>
    </row>
    <row r="8235" spans="1:7" hidden="1" x14ac:dyDescent="0.75">
      <c r="A8235" s="51">
        <v>44942</v>
      </c>
      <c r="B8235" s="52">
        <v>1362</v>
      </c>
      <c r="C8235" s="8" t="s">
        <v>2757</v>
      </c>
      <c r="D8235" s="8" t="s">
        <v>788</v>
      </c>
      <c r="E8235" s="52">
        <v>884</v>
      </c>
      <c r="F8235" s="13">
        <v>440</v>
      </c>
      <c r="G8235" s="13"/>
    </row>
    <row r="8236" spans="1:7" hidden="1" x14ac:dyDescent="0.75">
      <c r="A8236" s="51">
        <v>44942</v>
      </c>
      <c r="B8236" s="52">
        <v>1362</v>
      </c>
      <c r="C8236" s="8" t="s">
        <v>2803</v>
      </c>
      <c r="D8236" s="8" t="s">
        <v>788</v>
      </c>
      <c r="E8236" s="52">
        <v>1025</v>
      </c>
      <c r="F8236" s="13">
        <v>2307.6</v>
      </c>
      <c r="G8236" s="13"/>
    </row>
    <row r="8237" spans="1:7" hidden="1" x14ac:dyDescent="0.75">
      <c r="A8237" s="51">
        <v>44942</v>
      </c>
      <c r="B8237" s="52">
        <v>1362</v>
      </c>
      <c r="C8237" s="8" t="s">
        <v>2803</v>
      </c>
      <c r="D8237" s="8" t="s">
        <v>788</v>
      </c>
      <c r="E8237" s="52">
        <v>1025</v>
      </c>
      <c r="F8237" s="13">
        <v>479.5</v>
      </c>
      <c r="G8237" s="13"/>
    </row>
    <row r="8238" spans="1:7" hidden="1" x14ac:dyDescent="0.75">
      <c r="A8238" s="51">
        <v>44942</v>
      </c>
      <c r="B8238" s="52">
        <v>1362</v>
      </c>
      <c r="C8238" s="8" t="s">
        <v>2729</v>
      </c>
      <c r="D8238" s="8" t="s">
        <v>788</v>
      </c>
      <c r="E8238" s="52">
        <v>882</v>
      </c>
      <c r="F8238" s="13">
        <v>261.7</v>
      </c>
      <c r="G8238" s="13"/>
    </row>
    <row r="8239" spans="1:7" hidden="1" x14ac:dyDescent="0.75">
      <c r="A8239" s="51">
        <v>44942</v>
      </c>
      <c r="B8239" s="52">
        <v>1362</v>
      </c>
      <c r="C8239" s="8" t="s">
        <v>2686</v>
      </c>
      <c r="D8239" s="8" t="s">
        <v>788</v>
      </c>
      <c r="E8239" s="52">
        <v>883</v>
      </c>
      <c r="F8239" s="13">
        <v>5223</v>
      </c>
      <c r="G8239" s="13"/>
    </row>
    <row r="8240" spans="1:7" hidden="1" x14ac:dyDescent="0.75">
      <c r="A8240" s="51">
        <v>44942</v>
      </c>
      <c r="B8240" s="52">
        <v>1362</v>
      </c>
      <c r="C8240" s="8" t="s">
        <v>2686</v>
      </c>
      <c r="D8240" s="8" t="s">
        <v>788</v>
      </c>
      <c r="E8240" s="52">
        <v>883</v>
      </c>
      <c r="F8240" s="13">
        <v>833</v>
      </c>
      <c r="G8240" s="13"/>
    </row>
    <row r="8241" spans="1:7" hidden="1" x14ac:dyDescent="0.75">
      <c r="A8241" s="51">
        <v>44942</v>
      </c>
      <c r="B8241" s="52">
        <v>1362</v>
      </c>
      <c r="C8241" s="8" t="s">
        <v>2711</v>
      </c>
      <c r="D8241" s="8" t="s">
        <v>788</v>
      </c>
      <c r="E8241" s="52">
        <v>885</v>
      </c>
      <c r="F8241" s="13">
        <v>1171</v>
      </c>
      <c r="G8241" s="13"/>
    </row>
    <row r="8242" spans="1:7" hidden="1" x14ac:dyDescent="0.75">
      <c r="A8242" s="51">
        <v>44942</v>
      </c>
      <c r="B8242" s="52">
        <v>1362</v>
      </c>
      <c r="C8242" s="8" t="s">
        <v>2757</v>
      </c>
      <c r="D8242" s="8" t="s">
        <v>788</v>
      </c>
      <c r="E8242" s="52">
        <v>884</v>
      </c>
      <c r="F8242" s="13">
        <v>3620.8</v>
      </c>
      <c r="G8242" s="13"/>
    </row>
    <row r="8243" spans="1:7" hidden="1" x14ac:dyDescent="0.75">
      <c r="A8243" s="51">
        <v>44942</v>
      </c>
      <c r="B8243" s="52">
        <v>1362</v>
      </c>
      <c r="C8243" s="8" t="s">
        <v>2757</v>
      </c>
      <c r="D8243" s="8" t="s">
        <v>788</v>
      </c>
      <c r="E8243" s="52">
        <v>884</v>
      </c>
      <c r="F8243" s="13">
        <v>896</v>
      </c>
      <c r="G8243" s="13"/>
    </row>
    <row r="8244" spans="1:7" hidden="1" x14ac:dyDescent="0.75">
      <c r="A8244" s="51">
        <v>44942</v>
      </c>
      <c r="B8244" s="52">
        <v>1362</v>
      </c>
      <c r="C8244" s="8" t="s">
        <v>2777</v>
      </c>
      <c r="D8244" s="8" t="s">
        <v>788</v>
      </c>
      <c r="E8244" s="52">
        <v>881</v>
      </c>
      <c r="F8244" s="13">
        <v>692</v>
      </c>
      <c r="G8244" s="13"/>
    </row>
    <row r="8245" spans="1:7" hidden="1" x14ac:dyDescent="0.75">
      <c r="A8245" s="51">
        <v>44942</v>
      </c>
      <c r="B8245" s="52">
        <v>1362</v>
      </c>
      <c r="C8245" s="8" t="s">
        <v>2803</v>
      </c>
      <c r="D8245" s="8" t="s">
        <v>788</v>
      </c>
      <c r="E8245" s="52">
        <v>1025</v>
      </c>
      <c r="F8245" s="13">
        <v>2682.7</v>
      </c>
      <c r="G8245" s="13"/>
    </row>
    <row r="8246" spans="1:7" hidden="1" x14ac:dyDescent="0.75">
      <c r="A8246" s="51">
        <v>44942</v>
      </c>
      <c r="B8246" s="52">
        <v>1362</v>
      </c>
      <c r="C8246" s="8" t="s">
        <v>2803</v>
      </c>
      <c r="D8246" s="8" t="s">
        <v>788</v>
      </c>
      <c r="E8246" s="52">
        <v>1025</v>
      </c>
      <c r="F8246" s="13">
        <v>220</v>
      </c>
      <c r="G8246" s="13"/>
    </row>
    <row r="8247" spans="1:7" hidden="1" x14ac:dyDescent="0.75">
      <c r="A8247" s="51">
        <v>44942</v>
      </c>
      <c r="B8247" s="52">
        <v>1362</v>
      </c>
      <c r="C8247" s="8" t="s">
        <v>2757</v>
      </c>
      <c r="D8247" s="8" t="s">
        <v>788</v>
      </c>
      <c r="E8247" s="52">
        <v>884</v>
      </c>
      <c r="F8247" s="13">
        <v>3879</v>
      </c>
      <c r="G8247" s="13"/>
    </row>
    <row r="8248" spans="1:7" hidden="1" x14ac:dyDescent="0.75">
      <c r="A8248" s="51">
        <v>44942</v>
      </c>
      <c r="B8248" s="52">
        <v>1362</v>
      </c>
      <c r="C8248" s="8" t="s">
        <v>2686</v>
      </c>
      <c r="D8248" s="8" t="s">
        <v>788</v>
      </c>
      <c r="E8248" s="52">
        <v>883</v>
      </c>
      <c r="F8248" s="13">
        <v>4786.8</v>
      </c>
      <c r="G8248" s="13"/>
    </row>
    <row r="8249" spans="1:7" hidden="1" x14ac:dyDescent="0.75">
      <c r="A8249" s="51">
        <v>44942</v>
      </c>
      <c r="B8249" s="52">
        <v>1362</v>
      </c>
      <c r="C8249" s="8" t="s">
        <v>2803</v>
      </c>
      <c r="D8249" s="8" t="s">
        <v>788</v>
      </c>
      <c r="E8249" s="52">
        <v>1025</v>
      </c>
      <c r="F8249" s="13">
        <v>1837</v>
      </c>
      <c r="G8249" s="13"/>
    </row>
    <row r="8250" spans="1:7" hidden="1" x14ac:dyDescent="0.75">
      <c r="A8250" s="51">
        <v>44942</v>
      </c>
      <c r="B8250" s="52">
        <v>1362</v>
      </c>
      <c r="C8250" s="8" t="s">
        <v>2729</v>
      </c>
      <c r="D8250" s="8" t="s">
        <v>788</v>
      </c>
      <c r="E8250" s="52">
        <v>882</v>
      </c>
      <c r="F8250" s="13">
        <v>283</v>
      </c>
      <c r="G8250" s="13"/>
    </row>
    <row r="8251" spans="1:7" hidden="1" x14ac:dyDescent="0.75">
      <c r="A8251" s="51">
        <v>44942</v>
      </c>
      <c r="B8251" s="52">
        <v>1362</v>
      </c>
      <c r="C8251" s="8" t="s">
        <v>2803</v>
      </c>
      <c r="D8251" s="8" t="s">
        <v>788</v>
      </c>
      <c r="E8251" s="52">
        <v>1025</v>
      </c>
      <c r="F8251" s="13">
        <v>479.5</v>
      </c>
      <c r="G8251" s="13"/>
    </row>
    <row r="8252" spans="1:7" hidden="1" x14ac:dyDescent="0.75">
      <c r="A8252" s="51">
        <v>44942</v>
      </c>
      <c r="B8252" s="52">
        <v>1362</v>
      </c>
      <c r="C8252" s="8" t="s">
        <v>2711</v>
      </c>
      <c r="D8252" s="8" t="s">
        <v>788</v>
      </c>
      <c r="E8252" s="52">
        <v>885</v>
      </c>
      <c r="F8252" s="13">
        <v>826</v>
      </c>
      <c r="G8252" s="13"/>
    </row>
    <row r="8253" spans="1:7" hidden="1" x14ac:dyDescent="0.75">
      <c r="A8253" s="51">
        <v>44942</v>
      </c>
      <c r="B8253" s="52">
        <v>1362</v>
      </c>
      <c r="C8253" s="8" t="s">
        <v>2757</v>
      </c>
      <c r="D8253" s="8" t="s">
        <v>788</v>
      </c>
      <c r="E8253" s="52">
        <v>884</v>
      </c>
      <c r="F8253" s="13">
        <v>1242</v>
      </c>
      <c r="G8253" s="13"/>
    </row>
    <row r="8254" spans="1:7" hidden="1" x14ac:dyDescent="0.75">
      <c r="A8254" s="51">
        <v>44942</v>
      </c>
      <c r="B8254" s="52">
        <v>1362</v>
      </c>
      <c r="C8254" s="8" t="s">
        <v>2686</v>
      </c>
      <c r="D8254" s="8" t="s">
        <v>788</v>
      </c>
      <c r="E8254" s="52">
        <v>883</v>
      </c>
      <c r="F8254" s="13">
        <v>896</v>
      </c>
      <c r="G8254" s="13"/>
    </row>
    <row r="8255" spans="1:7" hidden="1" x14ac:dyDescent="0.75">
      <c r="A8255" s="51">
        <v>44942</v>
      </c>
      <c r="B8255" s="52">
        <v>1362</v>
      </c>
      <c r="C8255" s="8" t="s">
        <v>2777</v>
      </c>
      <c r="D8255" s="8" t="s">
        <v>788</v>
      </c>
      <c r="E8255" s="52">
        <v>881</v>
      </c>
      <c r="F8255" s="13">
        <v>396</v>
      </c>
      <c r="G8255" s="13"/>
    </row>
    <row r="8256" spans="1:7" hidden="1" x14ac:dyDescent="0.75">
      <c r="A8256" s="51">
        <v>44942</v>
      </c>
      <c r="B8256" s="52">
        <v>1362</v>
      </c>
      <c r="C8256" s="8" t="s">
        <v>2711</v>
      </c>
      <c r="D8256" s="8" t="s">
        <v>788</v>
      </c>
      <c r="E8256" s="52">
        <v>885</v>
      </c>
      <c r="F8256" s="13">
        <v>1251.0999999999999</v>
      </c>
      <c r="G8256" s="13"/>
    </row>
    <row r="8257" spans="1:7" hidden="1" x14ac:dyDescent="0.75">
      <c r="A8257" s="51">
        <v>44942</v>
      </c>
      <c r="B8257" s="52">
        <v>1362</v>
      </c>
      <c r="C8257" s="8" t="s">
        <v>2729</v>
      </c>
      <c r="D8257" s="8" t="s">
        <v>788</v>
      </c>
      <c r="E8257" s="52">
        <v>882</v>
      </c>
      <c r="F8257" s="13">
        <v>241.5</v>
      </c>
      <c r="G8257" s="13"/>
    </row>
    <row r="8258" spans="1:7" hidden="1" x14ac:dyDescent="0.75">
      <c r="A8258" s="51">
        <v>44942</v>
      </c>
      <c r="B8258" s="52">
        <v>1362</v>
      </c>
      <c r="C8258" s="8" t="s">
        <v>2757</v>
      </c>
      <c r="D8258" s="8" t="s">
        <v>788</v>
      </c>
      <c r="E8258" s="52">
        <v>884</v>
      </c>
      <c r="F8258" s="13">
        <v>3815.6</v>
      </c>
      <c r="G8258" s="13"/>
    </row>
    <row r="8259" spans="1:7" hidden="1" x14ac:dyDescent="0.75">
      <c r="A8259" s="51">
        <v>44942</v>
      </c>
      <c r="B8259" s="52">
        <v>1362</v>
      </c>
      <c r="C8259" s="8" t="s">
        <v>2757</v>
      </c>
      <c r="D8259" s="8" t="s">
        <v>788</v>
      </c>
      <c r="E8259" s="52">
        <v>884</v>
      </c>
      <c r="F8259" s="13">
        <v>1155.5</v>
      </c>
      <c r="G8259" s="13"/>
    </row>
    <row r="8260" spans="1:7" hidden="1" x14ac:dyDescent="0.75">
      <c r="A8260" s="51">
        <v>44942</v>
      </c>
      <c r="B8260" s="52">
        <v>1362</v>
      </c>
      <c r="C8260" s="8" t="s">
        <v>2803</v>
      </c>
      <c r="D8260" s="8" t="s">
        <v>788</v>
      </c>
      <c r="E8260" s="52">
        <v>1025</v>
      </c>
      <c r="F8260" s="13">
        <v>2128</v>
      </c>
      <c r="G8260" s="13"/>
    </row>
    <row r="8261" spans="1:7" hidden="1" x14ac:dyDescent="0.75">
      <c r="A8261" s="51">
        <v>44942</v>
      </c>
      <c r="B8261" s="52">
        <v>1362</v>
      </c>
      <c r="C8261" s="8" t="s">
        <v>2803</v>
      </c>
      <c r="D8261" s="8" t="s">
        <v>788</v>
      </c>
      <c r="E8261" s="52">
        <v>1025</v>
      </c>
      <c r="F8261" s="13">
        <v>479.5</v>
      </c>
      <c r="G8261" s="13"/>
    </row>
    <row r="8262" spans="1:7" hidden="1" x14ac:dyDescent="0.75">
      <c r="A8262" s="51">
        <v>44942</v>
      </c>
      <c r="B8262" s="52">
        <v>1362</v>
      </c>
      <c r="C8262" s="8" t="s">
        <v>2686</v>
      </c>
      <c r="D8262" s="8" t="s">
        <v>788</v>
      </c>
      <c r="E8262" s="52">
        <v>883</v>
      </c>
      <c r="F8262" s="13">
        <v>4166.8</v>
      </c>
      <c r="G8262" s="13"/>
    </row>
    <row r="8263" spans="1:7" hidden="1" x14ac:dyDescent="0.75">
      <c r="A8263" s="51">
        <v>44942</v>
      </c>
      <c r="B8263" s="52">
        <v>1362</v>
      </c>
      <c r="C8263" s="8" t="s">
        <v>2686</v>
      </c>
      <c r="D8263" s="8" t="s">
        <v>788</v>
      </c>
      <c r="E8263" s="52">
        <v>883</v>
      </c>
      <c r="F8263" s="13">
        <v>589.5</v>
      </c>
      <c r="G8263" s="13"/>
    </row>
    <row r="8264" spans="1:7" hidden="1" x14ac:dyDescent="0.75">
      <c r="A8264" s="51">
        <v>44942</v>
      </c>
      <c r="B8264" s="52">
        <v>1362</v>
      </c>
      <c r="C8264" s="8" t="s">
        <v>3163</v>
      </c>
      <c r="D8264" s="8" t="s">
        <v>788</v>
      </c>
      <c r="E8264" s="52">
        <v>1398</v>
      </c>
      <c r="F8264" s="13">
        <v>125.14</v>
      </c>
      <c r="G8264" s="13"/>
    </row>
    <row r="8265" spans="1:7" hidden="1" x14ac:dyDescent="0.75">
      <c r="A8265" s="51">
        <v>44942</v>
      </c>
      <c r="B8265" s="52">
        <v>1362</v>
      </c>
      <c r="C8265" s="8" t="s">
        <v>3164</v>
      </c>
      <c r="D8265" s="8" t="s">
        <v>788</v>
      </c>
      <c r="E8265" s="52">
        <v>1398</v>
      </c>
      <c r="F8265" s="13">
        <v>21.53</v>
      </c>
      <c r="G8265" s="13"/>
    </row>
    <row r="8266" spans="1:7" hidden="1" x14ac:dyDescent="0.75">
      <c r="A8266" s="51">
        <v>44942</v>
      </c>
      <c r="B8266" s="52">
        <v>1362</v>
      </c>
      <c r="C8266" s="8" t="s">
        <v>3165</v>
      </c>
      <c r="D8266" s="8" t="s">
        <v>788</v>
      </c>
      <c r="E8266" s="52">
        <v>1398</v>
      </c>
      <c r="F8266" s="13">
        <v>55.32</v>
      </c>
      <c r="G8266" s="13"/>
    </row>
    <row r="8267" spans="1:7" hidden="1" x14ac:dyDescent="0.75">
      <c r="A8267" s="51">
        <v>44942</v>
      </c>
      <c r="B8267" s="52">
        <v>1362</v>
      </c>
      <c r="C8267" s="8" t="s">
        <v>3166</v>
      </c>
      <c r="D8267" s="8" t="s">
        <v>788</v>
      </c>
      <c r="E8267" s="52">
        <v>1398</v>
      </c>
      <c r="F8267" s="13">
        <v>77.03</v>
      </c>
      <c r="G8267" s="13"/>
    </row>
    <row r="8268" spans="1:7" hidden="1" x14ac:dyDescent="0.75">
      <c r="A8268" s="51">
        <v>44942</v>
      </c>
      <c r="B8268" s="52">
        <v>1362</v>
      </c>
      <c r="C8268" s="8" t="s">
        <v>3167</v>
      </c>
      <c r="D8268" s="8" t="s">
        <v>788</v>
      </c>
      <c r="E8268" s="52">
        <v>1398</v>
      </c>
      <c r="F8268" s="13">
        <v>125.52</v>
      </c>
      <c r="G8268" s="13"/>
    </row>
    <row r="8269" spans="1:7" hidden="1" x14ac:dyDescent="0.75">
      <c r="A8269" s="51">
        <v>44942</v>
      </c>
      <c r="B8269" s="52">
        <v>1362</v>
      </c>
      <c r="C8269" s="8" t="s">
        <v>1481</v>
      </c>
      <c r="D8269" s="8" t="s">
        <v>788</v>
      </c>
      <c r="E8269" s="52">
        <v>8</v>
      </c>
      <c r="F8269" s="13"/>
      <c r="G8269" s="13">
        <v>56625.09</v>
      </c>
    </row>
    <row r="8270" spans="1:7" hidden="1" x14ac:dyDescent="0.75">
      <c r="A8270" s="51">
        <v>44942</v>
      </c>
      <c r="B8270" s="52">
        <v>1362</v>
      </c>
      <c r="C8270" s="8" t="s">
        <v>3632</v>
      </c>
      <c r="D8270" s="8" t="s">
        <v>788</v>
      </c>
      <c r="E8270" s="52">
        <v>1429</v>
      </c>
      <c r="F8270" s="13"/>
      <c r="G8270" s="13">
        <v>30.4</v>
      </c>
    </row>
    <row r="8271" spans="1:7" hidden="1" x14ac:dyDescent="0.75">
      <c r="A8271" s="51">
        <v>44942</v>
      </c>
      <c r="B8271" s="52">
        <v>1362</v>
      </c>
      <c r="C8271" s="8" t="s">
        <v>3633</v>
      </c>
      <c r="D8271" s="8" t="s">
        <v>788</v>
      </c>
      <c r="E8271" s="52">
        <v>1429</v>
      </c>
      <c r="F8271" s="13"/>
      <c r="G8271" s="13">
        <v>15.5</v>
      </c>
    </row>
    <row r="8272" spans="1:7" hidden="1" x14ac:dyDescent="0.75">
      <c r="A8272" s="51">
        <v>44942</v>
      </c>
      <c r="B8272" s="52">
        <v>1362</v>
      </c>
      <c r="C8272" s="8" t="s">
        <v>3634</v>
      </c>
      <c r="D8272" s="8" t="s">
        <v>788</v>
      </c>
      <c r="E8272" s="52">
        <v>1429</v>
      </c>
      <c r="F8272" s="13"/>
      <c r="G8272" s="13">
        <v>93.55</v>
      </c>
    </row>
    <row r="8273" spans="1:7" hidden="1" x14ac:dyDescent="0.75">
      <c r="A8273" s="51">
        <v>44942</v>
      </c>
      <c r="B8273" s="52">
        <v>1362</v>
      </c>
      <c r="C8273" s="8" t="s">
        <v>3635</v>
      </c>
      <c r="D8273" s="8" t="s">
        <v>788</v>
      </c>
      <c r="E8273" s="52">
        <v>1429</v>
      </c>
      <c r="F8273" s="13"/>
      <c r="G8273" s="13">
        <v>194.4</v>
      </c>
    </row>
    <row r="8274" spans="1:7" hidden="1" x14ac:dyDescent="0.75">
      <c r="A8274" s="51">
        <v>44942</v>
      </c>
      <c r="B8274" s="52">
        <v>1362</v>
      </c>
      <c r="C8274" s="8" t="s">
        <v>3636</v>
      </c>
      <c r="D8274" s="8" t="s">
        <v>788</v>
      </c>
      <c r="E8274" s="52">
        <v>1429</v>
      </c>
      <c r="F8274" s="13"/>
      <c r="G8274" s="13">
        <v>178.6</v>
      </c>
    </row>
    <row r="8275" spans="1:7" hidden="1" x14ac:dyDescent="0.75">
      <c r="A8275" s="51">
        <v>44942</v>
      </c>
      <c r="B8275" s="52">
        <v>1362</v>
      </c>
      <c r="C8275" s="8" t="s">
        <v>3637</v>
      </c>
      <c r="D8275" s="8" t="s">
        <v>788</v>
      </c>
      <c r="E8275" s="52">
        <v>1429</v>
      </c>
      <c r="F8275" s="13"/>
      <c r="G8275" s="13">
        <v>34.6</v>
      </c>
    </row>
    <row r="8276" spans="1:7" hidden="1" x14ac:dyDescent="0.75">
      <c r="A8276" s="51">
        <v>44942</v>
      </c>
      <c r="B8276" s="52">
        <v>1362</v>
      </c>
      <c r="C8276" s="8" t="s">
        <v>3638</v>
      </c>
      <c r="D8276" s="8" t="s">
        <v>788</v>
      </c>
      <c r="E8276" s="52">
        <v>1429</v>
      </c>
      <c r="F8276" s="13"/>
      <c r="G8276" s="13">
        <v>87.1</v>
      </c>
    </row>
    <row r="8277" spans="1:7" hidden="1" x14ac:dyDescent="0.75">
      <c r="A8277" s="51">
        <v>44942</v>
      </c>
      <c r="B8277" s="52">
        <v>1362</v>
      </c>
      <c r="C8277" s="8" t="s">
        <v>3639</v>
      </c>
      <c r="D8277" s="8" t="s">
        <v>788</v>
      </c>
      <c r="E8277" s="52">
        <v>1429</v>
      </c>
      <c r="F8277" s="13"/>
      <c r="G8277" s="13">
        <v>136.9</v>
      </c>
    </row>
    <row r="8278" spans="1:7" hidden="1" x14ac:dyDescent="0.75">
      <c r="A8278" s="51">
        <v>44942</v>
      </c>
      <c r="B8278" s="52">
        <v>1362</v>
      </c>
      <c r="C8278" s="8" t="s">
        <v>3640</v>
      </c>
      <c r="D8278" s="8" t="s">
        <v>788</v>
      </c>
      <c r="E8278" s="52">
        <v>1429</v>
      </c>
      <c r="F8278" s="13"/>
      <c r="G8278" s="13">
        <v>110</v>
      </c>
    </row>
    <row r="8279" spans="1:7" hidden="1" x14ac:dyDescent="0.75">
      <c r="A8279" s="51">
        <v>44942</v>
      </c>
      <c r="B8279" s="52">
        <v>1362</v>
      </c>
      <c r="C8279" s="8" t="s">
        <v>3641</v>
      </c>
      <c r="D8279" s="8" t="s">
        <v>788</v>
      </c>
      <c r="E8279" s="52">
        <v>1429</v>
      </c>
      <c r="F8279" s="13"/>
      <c r="G8279" s="13">
        <v>176</v>
      </c>
    </row>
    <row r="8280" spans="1:7" hidden="1" x14ac:dyDescent="0.75">
      <c r="A8280" s="51">
        <v>44942</v>
      </c>
      <c r="B8280" s="52">
        <v>1362</v>
      </c>
      <c r="C8280" s="8" t="s">
        <v>3642</v>
      </c>
      <c r="D8280" s="8" t="s">
        <v>788</v>
      </c>
      <c r="E8280" s="52">
        <v>1429</v>
      </c>
      <c r="F8280" s="13"/>
      <c r="G8280" s="13">
        <v>52</v>
      </c>
    </row>
    <row r="8281" spans="1:7" hidden="1" x14ac:dyDescent="0.75">
      <c r="A8281" s="51">
        <v>44942</v>
      </c>
      <c r="B8281" s="52">
        <v>1362</v>
      </c>
      <c r="C8281" s="8" t="s">
        <v>3643</v>
      </c>
      <c r="D8281" s="8" t="s">
        <v>788</v>
      </c>
      <c r="E8281" s="52">
        <v>1429</v>
      </c>
      <c r="F8281" s="13"/>
      <c r="G8281" s="13">
        <v>17.3</v>
      </c>
    </row>
    <row r="8282" spans="1:7" hidden="1" x14ac:dyDescent="0.75">
      <c r="A8282" s="51">
        <v>44942</v>
      </c>
      <c r="B8282" s="52">
        <v>1362</v>
      </c>
      <c r="C8282" s="8" t="s">
        <v>3644</v>
      </c>
      <c r="D8282" s="8" t="s">
        <v>788</v>
      </c>
      <c r="E8282" s="52">
        <v>1429</v>
      </c>
      <c r="F8282" s="13"/>
      <c r="G8282" s="13">
        <v>180.3</v>
      </c>
    </row>
    <row r="8283" spans="1:7" hidden="1" x14ac:dyDescent="0.75">
      <c r="A8283" s="51">
        <v>44942</v>
      </c>
      <c r="B8283" s="52">
        <v>1362</v>
      </c>
      <c r="C8283" s="8" t="s">
        <v>3645</v>
      </c>
      <c r="D8283" s="8" t="s">
        <v>788</v>
      </c>
      <c r="E8283" s="52">
        <v>1429</v>
      </c>
      <c r="F8283" s="13"/>
      <c r="G8283" s="13">
        <v>2.2000000000000002</v>
      </c>
    </row>
    <row r="8284" spans="1:7" hidden="1" x14ac:dyDescent="0.75">
      <c r="A8284" s="51">
        <v>44942</v>
      </c>
      <c r="B8284" s="52">
        <v>1362</v>
      </c>
      <c r="C8284" s="8" t="s">
        <v>3646</v>
      </c>
      <c r="D8284" s="8" t="s">
        <v>788</v>
      </c>
      <c r="E8284" s="52">
        <v>1429</v>
      </c>
      <c r="F8284" s="13"/>
      <c r="G8284" s="13">
        <v>54.5</v>
      </c>
    </row>
    <row r="8285" spans="1:7" hidden="1" x14ac:dyDescent="0.75">
      <c r="A8285" s="51">
        <v>44942</v>
      </c>
      <c r="B8285" s="52">
        <v>1362</v>
      </c>
      <c r="C8285" s="8" t="s">
        <v>3647</v>
      </c>
      <c r="D8285" s="8" t="s">
        <v>788</v>
      </c>
      <c r="E8285" s="52">
        <v>1429</v>
      </c>
      <c r="F8285" s="13"/>
      <c r="G8285" s="13">
        <v>106.5</v>
      </c>
    </row>
    <row r="8286" spans="1:7" hidden="1" x14ac:dyDescent="0.75">
      <c r="A8286" s="51">
        <v>44942</v>
      </c>
      <c r="B8286" s="52">
        <v>1362</v>
      </c>
      <c r="C8286" s="8" t="s">
        <v>3648</v>
      </c>
      <c r="D8286" s="8" t="s">
        <v>788</v>
      </c>
      <c r="E8286" s="52">
        <v>1429</v>
      </c>
      <c r="F8286" s="13"/>
      <c r="G8286" s="13">
        <v>173</v>
      </c>
    </row>
    <row r="8287" spans="1:7" hidden="1" x14ac:dyDescent="0.75">
      <c r="A8287" s="51">
        <v>44942</v>
      </c>
      <c r="B8287" s="52">
        <v>1362</v>
      </c>
      <c r="C8287" s="8" t="s">
        <v>3649</v>
      </c>
      <c r="D8287" s="8" t="s">
        <v>788</v>
      </c>
      <c r="E8287" s="52">
        <v>1429</v>
      </c>
      <c r="F8287" s="13"/>
      <c r="G8287" s="13">
        <v>62</v>
      </c>
    </row>
    <row r="8288" spans="1:7" hidden="1" x14ac:dyDescent="0.75">
      <c r="A8288" s="51">
        <v>44942</v>
      </c>
      <c r="B8288" s="52">
        <v>1362</v>
      </c>
      <c r="C8288" s="8" t="s">
        <v>3650</v>
      </c>
      <c r="D8288" s="8" t="s">
        <v>788</v>
      </c>
      <c r="E8288" s="52">
        <v>1429</v>
      </c>
      <c r="F8288" s="13"/>
      <c r="G8288" s="13">
        <v>37</v>
      </c>
    </row>
    <row r="8289" spans="1:7" hidden="1" x14ac:dyDescent="0.75">
      <c r="A8289" s="51">
        <v>44942</v>
      </c>
      <c r="B8289" s="52">
        <v>1362</v>
      </c>
      <c r="C8289" s="8" t="s">
        <v>3651</v>
      </c>
      <c r="D8289" s="8" t="s">
        <v>788</v>
      </c>
      <c r="E8289" s="52">
        <v>1429</v>
      </c>
      <c r="F8289" s="13"/>
      <c r="G8289" s="13">
        <v>91.5</v>
      </c>
    </row>
    <row r="8290" spans="1:7" hidden="1" x14ac:dyDescent="0.75">
      <c r="A8290" s="51">
        <v>44942</v>
      </c>
      <c r="B8290" s="52">
        <v>1362</v>
      </c>
      <c r="C8290" s="8" t="s">
        <v>3652</v>
      </c>
      <c r="D8290" s="8" t="s">
        <v>788</v>
      </c>
      <c r="E8290" s="52">
        <v>1429</v>
      </c>
      <c r="F8290" s="13"/>
      <c r="G8290" s="13">
        <v>80.8</v>
      </c>
    </row>
    <row r="8291" spans="1:7" hidden="1" x14ac:dyDescent="0.75">
      <c r="A8291" s="51">
        <v>44942</v>
      </c>
      <c r="B8291" s="52">
        <v>1362</v>
      </c>
      <c r="C8291" s="8" t="s">
        <v>3653</v>
      </c>
      <c r="D8291" s="8" t="s">
        <v>788</v>
      </c>
      <c r="E8291" s="52">
        <v>1429</v>
      </c>
      <c r="F8291" s="13"/>
      <c r="G8291" s="13">
        <v>44.4</v>
      </c>
    </row>
    <row r="8292" spans="1:7" hidden="1" x14ac:dyDescent="0.75">
      <c r="A8292" s="51">
        <v>44942</v>
      </c>
      <c r="B8292" s="52">
        <v>1362</v>
      </c>
      <c r="C8292" s="8" t="s">
        <v>3654</v>
      </c>
      <c r="D8292" s="8" t="s">
        <v>788</v>
      </c>
      <c r="E8292" s="52">
        <v>1429</v>
      </c>
      <c r="F8292" s="13"/>
      <c r="G8292" s="13">
        <v>62</v>
      </c>
    </row>
    <row r="8293" spans="1:7" hidden="1" x14ac:dyDescent="0.75">
      <c r="A8293" s="51">
        <v>44942</v>
      </c>
      <c r="B8293" s="52">
        <v>1362</v>
      </c>
      <c r="C8293" s="8" t="s">
        <v>3655</v>
      </c>
      <c r="D8293" s="8" t="s">
        <v>788</v>
      </c>
      <c r="E8293" s="52">
        <v>1429</v>
      </c>
      <c r="F8293" s="13"/>
      <c r="G8293" s="13">
        <v>272</v>
      </c>
    </row>
    <row r="8294" spans="1:7" hidden="1" x14ac:dyDescent="0.75">
      <c r="A8294" s="51">
        <v>44942</v>
      </c>
      <c r="B8294" s="52">
        <v>1362</v>
      </c>
      <c r="C8294" s="8" t="s">
        <v>3656</v>
      </c>
      <c r="D8294" s="8" t="s">
        <v>788</v>
      </c>
      <c r="E8294" s="52">
        <v>1429</v>
      </c>
      <c r="F8294" s="13"/>
      <c r="G8294" s="13">
        <v>60.4</v>
      </c>
    </row>
    <row r="8295" spans="1:7" hidden="1" x14ac:dyDescent="0.75">
      <c r="A8295" s="51">
        <v>44942</v>
      </c>
      <c r="B8295" s="52">
        <v>1362</v>
      </c>
      <c r="C8295" s="8" t="s">
        <v>3657</v>
      </c>
      <c r="D8295" s="8" t="s">
        <v>788</v>
      </c>
      <c r="E8295" s="52">
        <v>1429</v>
      </c>
      <c r="F8295" s="13"/>
      <c r="G8295" s="13">
        <v>108.5</v>
      </c>
    </row>
    <row r="8296" spans="1:7" hidden="1" x14ac:dyDescent="0.75">
      <c r="A8296" s="51">
        <v>44942</v>
      </c>
      <c r="B8296" s="52">
        <v>1362</v>
      </c>
      <c r="C8296" s="8" t="s">
        <v>3658</v>
      </c>
      <c r="D8296" s="8" t="s">
        <v>788</v>
      </c>
      <c r="E8296" s="52">
        <v>1429</v>
      </c>
      <c r="F8296" s="13"/>
      <c r="G8296" s="13">
        <v>235.4</v>
      </c>
    </row>
    <row r="8297" spans="1:7" hidden="1" x14ac:dyDescent="0.75">
      <c r="A8297" s="51">
        <v>44942</v>
      </c>
      <c r="B8297" s="52">
        <v>1362</v>
      </c>
      <c r="C8297" s="8" t="s">
        <v>3157</v>
      </c>
      <c r="D8297" s="8" t="s">
        <v>788</v>
      </c>
      <c r="E8297" s="52">
        <v>1398</v>
      </c>
      <c r="F8297" s="13"/>
      <c r="G8297" s="13">
        <v>3737.6</v>
      </c>
    </row>
    <row r="8298" spans="1:7" hidden="1" x14ac:dyDescent="0.75">
      <c r="A8298" s="51">
        <v>44942</v>
      </c>
      <c r="B8298" s="52">
        <v>1362</v>
      </c>
      <c r="C8298" s="8" t="s">
        <v>3158</v>
      </c>
      <c r="D8298" s="8" t="s">
        <v>788</v>
      </c>
      <c r="E8298" s="52">
        <v>1398</v>
      </c>
      <c r="F8298" s="13"/>
      <c r="G8298" s="13">
        <v>746.51</v>
      </c>
    </row>
    <row r="8299" spans="1:7" hidden="1" x14ac:dyDescent="0.75">
      <c r="A8299" s="51">
        <v>44942</v>
      </c>
      <c r="B8299" s="52">
        <v>1362</v>
      </c>
      <c r="C8299" s="8" t="s">
        <v>3159</v>
      </c>
      <c r="D8299" s="8" t="s">
        <v>788</v>
      </c>
      <c r="E8299" s="52">
        <v>1398</v>
      </c>
      <c r="F8299" s="13"/>
      <c r="G8299" s="13">
        <v>191.49</v>
      </c>
    </row>
    <row r="8300" spans="1:7" hidden="1" x14ac:dyDescent="0.75">
      <c r="A8300" s="51">
        <v>44942</v>
      </c>
      <c r="B8300" s="52">
        <v>1362</v>
      </c>
      <c r="C8300" s="8" t="s">
        <v>3160</v>
      </c>
      <c r="D8300" s="8" t="s">
        <v>788</v>
      </c>
      <c r="E8300" s="52">
        <v>1398</v>
      </c>
      <c r="F8300" s="13"/>
      <c r="G8300" s="13">
        <v>3576.63</v>
      </c>
    </row>
    <row r="8301" spans="1:7" hidden="1" x14ac:dyDescent="0.75">
      <c r="A8301" s="51">
        <v>44942</v>
      </c>
      <c r="B8301" s="52">
        <v>1362</v>
      </c>
      <c r="C8301" s="8" t="s">
        <v>3161</v>
      </c>
      <c r="D8301" s="8" t="s">
        <v>788</v>
      </c>
      <c r="E8301" s="52">
        <v>1398</v>
      </c>
      <c r="F8301" s="13"/>
      <c r="G8301" s="13">
        <v>163.5</v>
      </c>
    </row>
    <row r="8302" spans="1:7" hidden="1" x14ac:dyDescent="0.75">
      <c r="A8302" s="51">
        <v>44942</v>
      </c>
      <c r="B8302" s="52">
        <v>1362</v>
      </c>
      <c r="C8302" s="8" t="s">
        <v>3162</v>
      </c>
      <c r="D8302" s="8" t="s">
        <v>788</v>
      </c>
      <c r="E8302" s="52">
        <v>1398</v>
      </c>
      <c r="F8302" s="13"/>
      <c r="G8302" s="13">
        <v>1981.77</v>
      </c>
    </row>
    <row r="8303" spans="1:7" hidden="1" x14ac:dyDescent="0.75">
      <c r="A8303" s="51">
        <v>44943</v>
      </c>
      <c r="B8303" s="52">
        <v>1362</v>
      </c>
      <c r="C8303" s="8" t="s">
        <v>3148</v>
      </c>
      <c r="D8303" s="8" t="s">
        <v>788</v>
      </c>
      <c r="E8303" s="52">
        <v>1428</v>
      </c>
      <c r="F8303" s="13"/>
      <c r="G8303" s="13">
        <v>30983.61</v>
      </c>
    </row>
    <row r="8304" spans="1:7" hidden="1" x14ac:dyDescent="0.75">
      <c r="A8304" s="51">
        <v>44944</v>
      </c>
      <c r="B8304" s="52">
        <v>1362</v>
      </c>
      <c r="C8304" s="8" t="s">
        <v>2876</v>
      </c>
      <c r="D8304" s="8" t="s">
        <v>788</v>
      </c>
      <c r="E8304" s="52">
        <v>1508</v>
      </c>
      <c r="F8304" s="13">
        <v>2735.2</v>
      </c>
      <c r="G8304" s="13"/>
    </row>
    <row r="8305" spans="1:7" hidden="1" x14ac:dyDescent="0.75">
      <c r="A8305" s="51">
        <v>44944</v>
      </c>
      <c r="B8305" s="52">
        <v>1362</v>
      </c>
      <c r="C8305" s="8" t="s">
        <v>2876</v>
      </c>
      <c r="D8305" s="8" t="s">
        <v>788</v>
      </c>
      <c r="E8305" s="52">
        <v>1508</v>
      </c>
      <c r="F8305" s="13">
        <v>312</v>
      </c>
      <c r="G8305" s="13"/>
    </row>
    <row r="8306" spans="1:7" hidden="1" x14ac:dyDescent="0.75">
      <c r="A8306" s="51">
        <v>44944</v>
      </c>
      <c r="B8306" s="52">
        <v>1362</v>
      </c>
      <c r="C8306" s="8" t="s">
        <v>2876</v>
      </c>
      <c r="D8306" s="8" t="s">
        <v>788</v>
      </c>
      <c r="E8306" s="52">
        <v>1508</v>
      </c>
      <c r="F8306" s="13">
        <v>3310.6</v>
      </c>
      <c r="G8306" s="13"/>
    </row>
    <row r="8307" spans="1:7" hidden="1" x14ac:dyDescent="0.75">
      <c r="A8307" s="51">
        <v>44944</v>
      </c>
      <c r="B8307" s="52">
        <v>1362</v>
      </c>
      <c r="C8307" s="8" t="s">
        <v>2876</v>
      </c>
      <c r="D8307" s="8" t="s">
        <v>788</v>
      </c>
      <c r="E8307" s="52">
        <v>1508</v>
      </c>
      <c r="F8307" s="13">
        <v>3793.7</v>
      </c>
      <c r="G8307" s="13"/>
    </row>
    <row r="8308" spans="1:7" hidden="1" x14ac:dyDescent="0.75">
      <c r="A8308" s="51">
        <v>44944</v>
      </c>
      <c r="B8308" s="52">
        <v>1362</v>
      </c>
      <c r="C8308" s="8" t="s">
        <v>2876</v>
      </c>
      <c r="D8308" s="8" t="s">
        <v>788</v>
      </c>
      <c r="E8308" s="52">
        <v>1508</v>
      </c>
      <c r="F8308" s="13">
        <v>2266.6</v>
      </c>
      <c r="G8308" s="13"/>
    </row>
    <row r="8309" spans="1:7" hidden="1" x14ac:dyDescent="0.75">
      <c r="A8309" s="51">
        <v>44944</v>
      </c>
      <c r="B8309" s="52">
        <v>1362</v>
      </c>
      <c r="C8309" s="8" t="s">
        <v>2914</v>
      </c>
      <c r="D8309" s="8" t="s">
        <v>788</v>
      </c>
      <c r="E8309" s="52">
        <v>1508</v>
      </c>
      <c r="F8309" s="13">
        <v>1548.22</v>
      </c>
      <c r="G8309" s="13"/>
    </row>
    <row r="8310" spans="1:7" hidden="1" x14ac:dyDescent="0.75">
      <c r="A8310" s="51">
        <v>44944</v>
      </c>
      <c r="B8310" s="52">
        <v>1362</v>
      </c>
      <c r="C8310" s="8" t="s">
        <v>2915</v>
      </c>
      <c r="D8310" s="8" t="s">
        <v>788</v>
      </c>
      <c r="E8310" s="52">
        <v>1508</v>
      </c>
      <c r="F8310" s="13">
        <v>804.18</v>
      </c>
      <c r="G8310" s="13"/>
    </row>
    <row r="8311" spans="1:7" hidden="1" x14ac:dyDescent="0.75">
      <c r="A8311" s="51">
        <v>44944</v>
      </c>
      <c r="B8311" s="52">
        <v>1362</v>
      </c>
      <c r="C8311" s="8" t="s">
        <v>2916</v>
      </c>
      <c r="D8311" s="8" t="s">
        <v>788</v>
      </c>
      <c r="E8311" s="52">
        <v>1508</v>
      </c>
      <c r="F8311" s="13">
        <v>1876.63</v>
      </c>
      <c r="G8311" s="13"/>
    </row>
    <row r="8312" spans="1:7" hidden="1" x14ac:dyDescent="0.75">
      <c r="A8312" s="51">
        <v>44944</v>
      </c>
      <c r="B8312" s="52">
        <v>1362</v>
      </c>
      <c r="C8312" s="8" t="s">
        <v>2917</v>
      </c>
      <c r="D8312" s="8" t="s">
        <v>788</v>
      </c>
      <c r="E8312" s="52">
        <v>1508</v>
      </c>
      <c r="F8312" s="13">
        <v>1593.4</v>
      </c>
      <c r="G8312" s="13"/>
    </row>
    <row r="8313" spans="1:7" hidden="1" x14ac:dyDescent="0.75">
      <c r="A8313" s="51">
        <v>44944</v>
      </c>
      <c r="B8313" s="52">
        <v>1362</v>
      </c>
      <c r="C8313" s="8" t="s">
        <v>2918</v>
      </c>
      <c r="D8313" s="8" t="s">
        <v>788</v>
      </c>
      <c r="E8313" s="52">
        <v>1508</v>
      </c>
      <c r="F8313" s="13">
        <v>1663.45</v>
      </c>
      <c r="G8313" s="13"/>
    </row>
    <row r="8314" spans="1:7" hidden="1" x14ac:dyDescent="0.75">
      <c r="A8314" s="51">
        <v>44944</v>
      </c>
      <c r="B8314" s="52">
        <v>1362</v>
      </c>
      <c r="C8314" s="8" t="s">
        <v>3192</v>
      </c>
      <c r="D8314" s="8" t="s">
        <v>788</v>
      </c>
      <c r="E8314" s="52">
        <v>1946</v>
      </c>
      <c r="F8314" s="13">
        <v>104.18</v>
      </c>
      <c r="G8314" s="13"/>
    </row>
    <row r="8315" spans="1:7" hidden="1" x14ac:dyDescent="0.75">
      <c r="A8315" s="51">
        <v>44944</v>
      </c>
      <c r="B8315" s="52">
        <v>1362</v>
      </c>
      <c r="C8315" s="8" t="s">
        <v>1481</v>
      </c>
      <c r="D8315" s="8" t="s">
        <v>788</v>
      </c>
      <c r="E8315" s="52">
        <v>8</v>
      </c>
      <c r="F8315" s="13"/>
      <c r="G8315" s="13">
        <v>17303.78</v>
      </c>
    </row>
    <row r="8316" spans="1:7" hidden="1" x14ac:dyDescent="0.75">
      <c r="A8316" s="51">
        <v>44944</v>
      </c>
      <c r="B8316" s="52">
        <v>1362</v>
      </c>
      <c r="C8316" s="8" t="s">
        <v>3506</v>
      </c>
      <c r="D8316" s="8" t="s">
        <v>788</v>
      </c>
      <c r="E8316" s="52">
        <v>1523</v>
      </c>
      <c r="F8316" s="13"/>
      <c r="G8316" s="13">
        <v>552.70000000000005</v>
      </c>
    </row>
    <row r="8317" spans="1:7" hidden="1" x14ac:dyDescent="0.75">
      <c r="A8317" s="51">
        <v>44944</v>
      </c>
      <c r="B8317" s="52">
        <v>1362</v>
      </c>
      <c r="C8317" s="8" t="s">
        <v>3507</v>
      </c>
      <c r="D8317" s="8" t="s">
        <v>788</v>
      </c>
      <c r="E8317" s="52">
        <v>1523</v>
      </c>
      <c r="F8317" s="13"/>
      <c r="G8317" s="13">
        <v>151.5</v>
      </c>
    </row>
    <row r="8318" spans="1:7" hidden="1" x14ac:dyDescent="0.75">
      <c r="A8318" s="51">
        <v>44944</v>
      </c>
      <c r="B8318" s="52">
        <v>1362</v>
      </c>
      <c r="C8318" s="8" t="s">
        <v>3508</v>
      </c>
      <c r="D8318" s="8" t="s">
        <v>788</v>
      </c>
      <c r="E8318" s="52">
        <v>1523</v>
      </c>
      <c r="F8318" s="13"/>
      <c r="G8318" s="13">
        <v>12.1</v>
      </c>
    </row>
    <row r="8319" spans="1:7" hidden="1" x14ac:dyDescent="0.75">
      <c r="A8319" s="51">
        <v>44944</v>
      </c>
      <c r="B8319" s="52">
        <v>1362</v>
      </c>
      <c r="C8319" s="8" t="s">
        <v>3509</v>
      </c>
      <c r="D8319" s="8" t="s">
        <v>788</v>
      </c>
      <c r="E8319" s="52">
        <v>1523</v>
      </c>
      <c r="F8319" s="13"/>
      <c r="G8319" s="13">
        <v>2.2999999999999998</v>
      </c>
    </row>
    <row r="8320" spans="1:7" hidden="1" x14ac:dyDescent="0.75">
      <c r="A8320" s="51">
        <v>44944</v>
      </c>
      <c r="B8320" s="52">
        <v>1362</v>
      </c>
      <c r="C8320" s="8" t="s">
        <v>3510</v>
      </c>
      <c r="D8320" s="8" t="s">
        <v>788</v>
      </c>
      <c r="E8320" s="52">
        <v>1523</v>
      </c>
      <c r="F8320" s="13"/>
      <c r="G8320" s="13">
        <v>278.10000000000002</v>
      </c>
    </row>
    <row r="8321" spans="1:7" hidden="1" x14ac:dyDescent="0.75">
      <c r="A8321" s="51">
        <v>44944</v>
      </c>
      <c r="B8321" s="52">
        <v>1362</v>
      </c>
      <c r="C8321" s="8" t="s">
        <v>3511</v>
      </c>
      <c r="D8321" s="8" t="s">
        <v>788</v>
      </c>
      <c r="E8321" s="52">
        <v>1523</v>
      </c>
      <c r="F8321" s="13"/>
      <c r="G8321" s="13">
        <v>9.1999999999999993</v>
      </c>
    </row>
    <row r="8322" spans="1:7" hidden="1" x14ac:dyDescent="0.75">
      <c r="A8322" s="51">
        <v>44944</v>
      </c>
      <c r="B8322" s="52">
        <v>1362</v>
      </c>
      <c r="C8322" s="8" t="s">
        <v>3512</v>
      </c>
      <c r="D8322" s="8" t="s">
        <v>788</v>
      </c>
      <c r="E8322" s="52">
        <v>1523</v>
      </c>
      <c r="F8322" s="13"/>
      <c r="G8322" s="13">
        <v>12</v>
      </c>
    </row>
    <row r="8323" spans="1:7" hidden="1" x14ac:dyDescent="0.75">
      <c r="A8323" s="51">
        <v>44944</v>
      </c>
      <c r="B8323" s="52">
        <v>1362</v>
      </c>
      <c r="C8323" s="8" t="s">
        <v>3513</v>
      </c>
      <c r="D8323" s="8" t="s">
        <v>788</v>
      </c>
      <c r="E8323" s="52">
        <v>1523</v>
      </c>
      <c r="F8323" s="13"/>
      <c r="G8323" s="13">
        <v>7</v>
      </c>
    </row>
    <row r="8324" spans="1:7" hidden="1" x14ac:dyDescent="0.75">
      <c r="A8324" s="51">
        <v>44944</v>
      </c>
      <c r="B8324" s="52">
        <v>1362</v>
      </c>
      <c r="C8324" s="8" t="s">
        <v>3514</v>
      </c>
      <c r="D8324" s="8" t="s">
        <v>788</v>
      </c>
      <c r="E8324" s="52">
        <v>1523</v>
      </c>
      <c r="F8324" s="13"/>
      <c r="G8324" s="13">
        <v>68.599999999999994</v>
      </c>
    </row>
    <row r="8325" spans="1:7" hidden="1" x14ac:dyDescent="0.75">
      <c r="A8325" s="51">
        <v>44944</v>
      </c>
      <c r="B8325" s="52">
        <v>1362</v>
      </c>
      <c r="C8325" s="8" t="s">
        <v>3515</v>
      </c>
      <c r="D8325" s="8" t="s">
        <v>788</v>
      </c>
      <c r="E8325" s="52">
        <v>1523</v>
      </c>
      <c r="F8325" s="13"/>
      <c r="G8325" s="13">
        <v>43.5</v>
      </c>
    </row>
    <row r="8326" spans="1:7" hidden="1" x14ac:dyDescent="0.75">
      <c r="A8326" s="51">
        <v>44944</v>
      </c>
      <c r="B8326" s="52">
        <v>1362</v>
      </c>
      <c r="C8326" s="8" t="s">
        <v>3516</v>
      </c>
      <c r="D8326" s="8" t="s">
        <v>788</v>
      </c>
      <c r="E8326" s="52">
        <v>1523</v>
      </c>
      <c r="F8326" s="13"/>
      <c r="G8326" s="13">
        <v>32</v>
      </c>
    </row>
    <row r="8327" spans="1:7" hidden="1" x14ac:dyDescent="0.75">
      <c r="A8327" s="51">
        <v>44944</v>
      </c>
      <c r="B8327" s="52">
        <v>1362</v>
      </c>
      <c r="C8327" s="8" t="s">
        <v>3517</v>
      </c>
      <c r="D8327" s="8" t="s">
        <v>788</v>
      </c>
      <c r="E8327" s="52">
        <v>1523</v>
      </c>
      <c r="F8327" s="13"/>
      <c r="G8327" s="13">
        <v>108.4</v>
      </c>
    </row>
    <row r="8328" spans="1:7" hidden="1" x14ac:dyDescent="0.75">
      <c r="A8328" s="51">
        <v>44944</v>
      </c>
      <c r="B8328" s="52">
        <v>1362</v>
      </c>
      <c r="C8328" s="8" t="s">
        <v>3518</v>
      </c>
      <c r="D8328" s="8" t="s">
        <v>788</v>
      </c>
      <c r="E8328" s="52">
        <v>1523</v>
      </c>
      <c r="F8328" s="13"/>
      <c r="G8328" s="13">
        <v>52.8</v>
      </c>
    </row>
    <row r="8329" spans="1:7" hidden="1" x14ac:dyDescent="0.75">
      <c r="A8329" s="51">
        <v>44944</v>
      </c>
      <c r="B8329" s="52">
        <v>1362</v>
      </c>
      <c r="C8329" s="8" t="s">
        <v>3519</v>
      </c>
      <c r="D8329" s="8" t="s">
        <v>788</v>
      </c>
      <c r="E8329" s="52">
        <v>1523</v>
      </c>
      <c r="F8329" s="13"/>
      <c r="G8329" s="13">
        <v>139</v>
      </c>
    </row>
    <row r="8330" spans="1:7" hidden="1" x14ac:dyDescent="0.75">
      <c r="A8330" s="51">
        <v>44944</v>
      </c>
      <c r="B8330" s="52">
        <v>1362</v>
      </c>
      <c r="C8330" s="8" t="s">
        <v>3520</v>
      </c>
      <c r="D8330" s="8" t="s">
        <v>788</v>
      </c>
      <c r="E8330" s="52">
        <v>1523</v>
      </c>
      <c r="F8330" s="13"/>
      <c r="G8330" s="13">
        <v>141.30000000000001</v>
      </c>
    </row>
    <row r="8331" spans="1:7" hidden="1" x14ac:dyDescent="0.75">
      <c r="A8331" s="51">
        <v>44944</v>
      </c>
      <c r="B8331" s="52">
        <v>1362</v>
      </c>
      <c r="C8331" s="8" t="s">
        <v>3521</v>
      </c>
      <c r="D8331" s="8" t="s">
        <v>788</v>
      </c>
      <c r="E8331" s="52">
        <v>1523</v>
      </c>
      <c r="F8331" s="13"/>
      <c r="G8331" s="13">
        <v>131.5</v>
      </c>
    </row>
    <row r="8332" spans="1:7" hidden="1" x14ac:dyDescent="0.75">
      <c r="A8332" s="51">
        <v>44944</v>
      </c>
      <c r="B8332" s="52">
        <v>1362</v>
      </c>
      <c r="C8332" s="8" t="s">
        <v>3522</v>
      </c>
      <c r="D8332" s="8" t="s">
        <v>788</v>
      </c>
      <c r="E8332" s="52">
        <v>1523</v>
      </c>
      <c r="F8332" s="13"/>
      <c r="G8332" s="13">
        <v>187.9</v>
      </c>
    </row>
    <row r="8333" spans="1:7" hidden="1" x14ac:dyDescent="0.75">
      <c r="A8333" s="51">
        <v>44944</v>
      </c>
      <c r="B8333" s="52">
        <v>1362</v>
      </c>
      <c r="C8333" s="8" t="s">
        <v>3523</v>
      </c>
      <c r="D8333" s="8" t="s">
        <v>788</v>
      </c>
      <c r="E8333" s="52">
        <v>1523</v>
      </c>
      <c r="F8333" s="13"/>
      <c r="G8333" s="13">
        <v>127.5</v>
      </c>
    </row>
    <row r="8334" spans="1:7" hidden="1" x14ac:dyDescent="0.75">
      <c r="A8334" s="51">
        <v>44944</v>
      </c>
      <c r="B8334" s="52">
        <v>1362</v>
      </c>
      <c r="C8334" s="8" t="s">
        <v>3524</v>
      </c>
      <c r="D8334" s="8" t="s">
        <v>788</v>
      </c>
      <c r="E8334" s="52">
        <v>1523</v>
      </c>
      <c r="F8334" s="13"/>
      <c r="G8334" s="13">
        <v>26.1</v>
      </c>
    </row>
    <row r="8335" spans="1:7" hidden="1" x14ac:dyDescent="0.75">
      <c r="A8335" s="51">
        <v>44944</v>
      </c>
      <c r="B8335" s="52">
        <v>1362</v>
      </c>
      <c r="C8335" s="8" t="s">
        <v>3191</v>
      </c>
      <c r="D8335" s="8" t="s">
        <v>788</v>
      </c>
      <c r="E8335" s="52">
        <v>1946</v>
      </c>
      <c r="F8335" s="13"/>
      <c r="G8335" s="13">
        <v>620.88</v>
      </c>
    </row>
    <row r="8336" spans="1:7" hidden="1" x14ac:dyDescent="0.75">
      <c r="A8336" s="51">
        <v>44946</v>
      </c>
      <c r="B8336" s="52">
        <v>1362</v>
      </c>
      <c r="C8336" s="8" t="s">
        <v>2324</v>
      </c>
      <c r="D8336" s="8" t="s">
        <v>788</v>
      </c>
      <c r="E8336" s="52">
        <v>717</v>
      </c>
      <c r="F8336" s="13">
        <v>766</v>
      </c>
      <c r="G8336" s="13"/>
    </row>
    <row r="8337" spans="1:7" hidden="1" x14ac:dyDescent="0.75">
      <c r="A8337" s="51">
        <v>44946</v>
      </c>
      <c r="B8337" s="52">
        <v>1362</v>
      </c>
      <c r="C8337" s="8" t="s">
        <v>2431</v>
      </c>
      <c r="D8337" s="8" t="s">
        <v>788</v>
      </c>
      <c r="E8337" s="52">
        <v>1821</v>
      </c>
      <c r="F8337" s="13">
        <v>114.4</v>
      </c>
      <c r="G8337" s="13"/>
    </row>
    <row r="8338" spans="1:7" hidden="1" x14ac:dyDescent="0.75">
      <c r="A8338" s="51">
        <v>44946</v>
      </c>
      <c r="B8338" s="52">
        <v>1362</v>
      </c>
      <c r="C8338" s="8" t="s">
        <v>2376</v>
      </c>
      <c r="D8338" s="8" t="s">
        <v>788</v>
      </c>
      <c r="E8338" s="52">
        <v>1818</v>
      </c>
      <c r="F8338" s="13">
        <v>3428.8</v>
      </c>
      <c r="G8338" s="13"/>
    </row>
    <row r="8339" spans="1:7" hidden="1" x14ac:dyDescent="0.75">
      <c r="A8339" s="51">
        <v>44946</v>
      </c>
      <c r="B8339" s="52">
        <v>1362</v>
      </c>
      <c r="C8339" s="8" t="s">
        <v>2432</v>
      </c>
      <c r="D8339" s="8" t="s">
        <v>788</v>
      </c>
      <c r="E8339" s="52">
        <v>1821</v>
      </c>
      <c r="F8339" s="13">
        <v>119.1</v>
      </c>
      <c r="G8339" s="13"/>
    </row>
    <row r="8340" spans="1:7" hidden="1" x14ac:dyDescent="0.75">
      <c r="A8340" s="51">
        <v>44946</v>
      </c>
      <c r="B8340" s="52">
        <v>1362</v>
      </c>
      <c r="C8340" s="8" t="s">
        <v>2377</v>
      </c>
      <c r="D8340" s="8" t="s">
        <v>788</v>
      </c>
      <c r="E8340" s="52">
        <v>1818</v>
      </c>
      <c r="F8340" s="13">
        <v>1116.2</v>
      </c>
      <c r="G8340" s="13"/>
    </row>
    <row r="8341" spans="1:7" hidden="1" x14ac:dyDescent="0.75">
      <c r="A8341" s="51">
        <v>44946</v>
      </c>
      <c r="B8341" s="52">
        <v>1362</v>
      </c>
      <c r="C8341" s="8" t="s">
        <v>2472</v>
      </c>
      <c r="D8341" s="8" t="s">
        <v>788</v>
      </c>
      <c r="E8341" s="52">
        <v>714</v>
      </c>
      <c r="F8341" s="13">
        <v>519.4</v>
      </c>
      <c r="G8341" s="13"/>
    </row>
    <row r="8342" spans="1:7" hidden="1" x14ac:dyDescent="0.75">
      <c r="A8342" s="51">
        <v>44946</v>
      </c>
      <c r="B8342" s="52">
        <v>1362</v>
      </c>
      <c r="C8342" s="8" t="s">
        <v>2325</v>
      </c>
      <c r="D8342" s="8" t="s">
        <v>788</v>
      </c>
      <c r="E8342" s="52">
        <v>717</v>
      </c>
      <c r="F8342" s="13">
        <v>2606.25</v>
      </c>
      <c r="G8342" s="13"/>
    </row>
    <row r="8343" spans="1:7" hidden="1" x14ac:dyDescent="0.75">
      <c r="A8343" s="51">
        <v>44946</v>
      </c>
      <c r="B8343" s="52">
        <v>1362</v>
      </c>
      <c r="C8343" s="8" t="s">
        <v>2473</v>
      </c>
      <c r="D8343" s="8" t="s">
        <v>788</v>
      </c>
      <c r="E8343" s="52">
        <v>714</v>
      </c>
      <c r="F8343" s="13">
        <v>921.1</v>
      </c>
      <c r="G8343" s="13"/>
    </row>
    <row r="8344" spans="1:7" hidden="1" x14ac:dyDescent="0.75">
      <c r="A8344" s="51">
        <v>44946</v>
      </c>
      <c r="B8344" s="52">
        <v>1362</v>
      </c>
      <c r="C8344" s="8" t="s">
        <v>2433</v>
      </c>
      <c r="D8344" s="8" t="s">
        <v>788</v>
      </c>
      <c r="E8344" s="52">
        <v>1821</v>
      </c>
      <c r="F8344" s="13">
        <v>195.8</v>
      </c>
      <c r="G8344" s="13"/>
    </row>
    <row r="8345" spans="1:7" hidden="1" x14ac:dyDescent="0.75">
      <c r="A8345" s="51">
        <v>44946</v>
      </c>
      <c r="B8345" s="52">
        <v>1362</v>
      </c>
      <c r="C8345" s="8" t="s">
        <v>2378</v>
      </c>
      <c r="D8345" s="8" t="s">
        <v>788</v>
      </c>
      <c r="E8345" s="52">
        <v>1818</v>
      </c>
      <c r="F8345" s="13">
        <v>2469.75</v>
      </c>
      <c r="G8345" s="13"/>
    </row>
    <row r="8346" spans="1:7" hidden="1" x14ac:dyDescent="0.75">
      <c r="A8346" s="51">
        <v>44946</v>
      </c>
      <c r="B8346" s="52">
        <v>1362</v>
      </c>
      <c r="C8346" s="8" t="s">
        <v>2615</v>
      </c>
      <c r="D8346" s="8" t="s">
        <v>788</v>
      </c>
      <c r="E8346" s="52">
        <v>1024</v>
      </c>
      <c r="F8346" s="13">
        <v>3866</v>
      </c>
      <c r="G8346" s="13"/>
    </row>
    <row r="8347" spans="1:7" hidden="1" x14ac:dyDescent="0.75">
      <c r="A8347" s="51">
        <v>44946</v>
      </c>
      <c r="B8347" s="52">
        <v>1362</v>
      </c>
      <c r="C8347" s="8" t="s">
        <v>2615</v>
      </c>
      <c r="D8347" s="8" t="s">
        <v>788</v>
      </c>
      <c r="E8347" s="52">
        <v>1024</v>
      </c>
      <c r="F8347" s="13">
        <v>3417</v>
      </c>
      <c r="G8347" s="13"/>
    </row>
    <row r="8348" spans="1:7" hidden="1" x14ac:dyDescent="0.75">
      <c r="A8348" s="51">
        <v>44946</v>
      </c>
      <c r="B8348" s="52">
        <v>1362</v>
      </c>
      <c r="C8348" s="8" t="s">
        <v>2325</v>
      </c>
      <c r="D8348" s="8" t="s">
        <v>788</v>
      </c>
      <c r="E8348" s="52">
        <v>717</v>
      </c>
      <c r="F8348" s="13">
        <v>621.5</v>
      </c>
      <c r="G8348" s="13"/>
    </row>
    <row r="8349" spans="1:7" hidden="1" x14ac:dyDescent="0.75">
      <c r="A8349" s="51">
        <v>44946</v>
      </c>
      <c r="B8349" s="52">
        <v>1362</v>
      </c>
      <c r="C8349" s="8" t="s">
        <v>2325</v>
      </c>
      <c r="D8349" s="8" t="s">
        <v>788</v>
      </c>
      <c r="E8349" s="52">
        <v>717</v>
      </c>
      <c r="F8349" s="13">
        <v>650</v>
      </c>
      <c r="G8349" s="13"/>
    </row>
    <row r="8350" spans="1:7" hidden="1" x14ac:dyDescent="0.75">
      <c r="A8350" s="51">
        <v>44946</v>
      </c>
      <c r="B8350" s="52">
        <v>1362</v>
      </c>
      <c r="C8350" s="8" t="s">
        <v>2378</v>
      </c>
      <c r="D8350" s="8" t="s">
        <v>788</v>
      </c>
      <c r="E8350" s="52">
        <v>1818</v>
      </c>
      <c r="F8350" s="13">
        <v>2128.25</v>
      </c>
      <c r="G8350" s="13"/>
    </row>
    <row r="8351" spans="1:7" hidden="1" x14ac:dyDescent="0.75">
      <c r="A8351" s="51">
        <v>44946</v>
      </c>
      <c r="B8351" s="52">
        <v>1362</v>
      </c>
      <c r="C8351" s="8" t="s">
        <v>2473</v>
      </c>
      <c r="D8351" s="8" t="s">
        <v>788</v>
      </c>
      <c r="E8351" s="52">
        <v>714</v>
      </c>
      <c r="F8351" s="13">
        <v>1616.47</v>
      </c>
      <c r="G8351" s="13"/>
    </row>
    <row r="8352" spans="1:7" hidden="1" x14ac:dyDescent="0.75">
      <c r="A8352" s="51">
        <v>44946</v>
      </c>
      <c r="B8352" s="52">
        <v>1362</v>
      </c>
      <c r="C8352" s="8" t="s">
        <v>2433</v>
      </c>
      <c r="D8352" s="8" t="s">
        <v>788</v>
      </c>
      <c r="E8352" s="52">
        <v>1821</v>
      </c>
      <c r="F8352" s="13">
        <v>184.5</v>
      </c>
      <c r="G8352" s="13"/>
    </row>
    <row r="8353" spans="1:7" hidden="1" x14ac:dyDescent="0.75">
      <c r="A8353" s="51">
        <v>44946</v>
      </c>
      <c r="B8353" s="52">
        <v>1362</v>
      </c>
      <c r="C8353" s="8" t="s">
        <v>2615</v>
      </c>
      <c r="D8353" s="8" t="s">
        <v>788</v>
      </c>
      <c r="E8353" s="52">
        <v>1024</v>
      </c>
      <c r="F8353" s="13">
        <v>2083</v>
      </c>
      <c r="G8353" s="13"/>
    </row>
    <row r="8354" spans="1:7" hidden="1" x14ac:dyDescent="0.75">
      <c r="A8354" s="51">
        <v>44946</v>
      </c>
      <c r="B8354" s="52">
        <v>1362</v>
      </c>
      <c r="C8354" s="8" t="s">
        <v>2615</v>
      </c>
      <c r="D8354" s="8" t="s">
        <v>788</v>
      </c>
      <c r="E8354" s="52">
        <v>1024</v>
      </c>
      <c r="F8354" s="13">
        <v>5458</v>
      </c>
      <c r="G8354" s="13"/>
    </row>
    <row r="8355" spans="1:7" hidden="1" x14ac:dyDescent="0.75">
      <c r="A8355" s="51">
        <v>44946</v>
      </c>
      <c r="B8355" s="52">
        <v>1362</v>
      </c>
      <c r="C8355" s="8" t="s">
        <v>2615</v>
      </c>
      <c r="D8355" s="8" t="s">
        <v>788</v>
      </c>
      <c r="E8355" s="52">
        <v>1024</v>
      </c>
      <c r="F8355" s="13">
        <v>23310</v>
      </c>
      <c r="G8355" s="13"/>
    </row>
    <row r="8356" spans="1:7" hidden="1" x14ac:dyDescent="0.75">
      <c r="A8356" s="51">
        <v>44946</v>
      </c>
      <c r="B8356" s="52">
        <v>1362</v>
      </c>
      <c r="C8356" s="8" t="s">
        <v>2325</v>
      </c>
      <c r="D8356" s="8" t="s">
        <v>788</v>
      </c>
      <c r="E8356" s="52">
        <v>717</v>
      </c>
      <c r="F8356" s="13">
        <v>1257.1500000000001</v>
      </c>
      <c r="G8356" s="13"/>
    </row>
    <row r="8357" spans="1:7" hidden="1" x14ac:dyDescent="0.75">
      <c r="A8357" s="51">
        <v>44946</v>
      </c>
      <c r="B8357" s="52">
        <v>1362</v>
      </c>
      <c r="C8357" s="8" t="s">
        <v>2433</v>
      </c>
      <c r="D8357" s="8" t="s">
        <v>788</v>
      </c>
      <c r="E8357" s="52">
        <v>1821</v>
      </c>
      <c r="F8357" s="13">
        <v>148.19999999999999</v>
      </c>
      <c r="G8357" s="13"/>
    </row>
    <row r="8358" spans="1:7" hidden="1" x14ac:dyDescent="0.75">
      <c r="A8358" s="51">
        <v>44946</v>
      </c>
      <c r="B8358" s="52">
        <v>1362</v>
      </c>
      <c r="C8358" s="8" t="s">
        <v>2406</v>
      </c>
      <c r="D8358" s="8" t="s">
        <v>788</v>
      </c>
      <c r="E8358" s="52">
        <v>719</v>
      </c>
      <c r="F8358" s="13">
        <v>262.98</v>
      </c>
      <c r="G8358" s="13"/>
    </row>
    <row r="8359" spans="1:7" hidden="1" x14ac:dyDescent="0.75">
      <c r="A8359" s="51">
        <v>44946</v>
      </c>
      <c r="B8359" s="52">
        <v>1362</v>
      </c>
      <c r="C8359" s="8" t="s">
        <v>2378</v>
      </c>
      <c r="D8359" s="8" t="s">
        <v>788</v>
      </c>
      <c r="E8359" s="52">
        <v>1818</v>
      </c>
      <c r="F8359" s="13">
        <v>3123.9</v>
      </c>
      <c r="G8359" s="13"/>
    </row>
    <row r="8360" spans="1:7" hidden="1" x14ac:dyDescent="0.75">
      <c r="A8360" s="51">
        <v>44946</v>
      </c>
      <c r="B8360" s="52">
        <v>1362</v>
      </c>
      <c r="C8360" s="8" t="s">
        <v>2473</v>
      </c>
      <c r="D8360" s="8" t="s">
        <v>788</v>
      </c>
      <c r="E8360" s="52">
        <v>714</v>
      </c>
      <c r="F8360" s="13">
        <v>867.2</v>
      </c>
      <c r="G8360" s="13"/>
    </row>
    <row r="8361" spans="1:7" hidden="1" x14ac:dyDescent="0.75">
      <c r="A8361" s="51">
        <v>44946</v>
      </c>
      <c r="B8361" s="52">
        <v>1362</v>
      </c>
      <c r="C8361" s="8" t="s">
        <v>2407</v>
      </c>
      <c r="D8361" s="8" t="s">
        <v>788</v>
      </c>
      <c r="E8361" s="52">
        <v>719</v>
      </c>
      <c r="F8361" s="13">
        <v>1123.8499999999999</v>
      </c>
      <c r="G8361" s="13"/>
    </row>
    <row r="8362" spans="1:7" hidden="1" x14ac:dyDescent="0.75">
      <c r="A8362" s="51">
        <v>44946</v>
      </c>
      <c r="B8362" s="52">
        <v>1362</v>
      </c>
      <c r="C8362" s="8" t="s">
        <v>2615</v>
      </c>
      <c r="D8362" s="8" t="s">
        <v>788</v>
      </c>
      <c r="E8362" s="52">
        <v>1024</v>
      </c>
      <c r="F8362" s="13">
        <v>732.75</v>
      </c>
      <c r="G8362" s="13"/>
    </row>
    <row r="8363" spans="1:7" hidden="1" x14ac:dyDescent="0.75">
      <c r="A8363" s="51">
        <v>44946</v>
      </c>
      <c r="B8363" s="52">
        <v>1362</v>
      </c>
      <c r="C8363" s="8" t="s">
        <v>2615</v>
      </c>
      <c r="D8363" s="8" t="s">
        <v>788</v>
      </c>
      <c r="E8363" s="52">
        <v>1024</v>
      </c>
      <c r="F8363" s="13">
        <v>1408</v>
      </c>
      <c r="G8363" s="13"/>
    </row>
    <row r="8364" spans="1:7" hidden="1" x14ac:dyDescent="0.75">
      <c r="A8364" s="51">
        <v>44946</v>
      </c>
      <c r="B8364" s="52">
        <v>1362</v>
      </c>
      <c r="C8364" s="8" t="s">
        <v>2615</v>
      </c>
      <c r="D8364" s="8" t="s">
        <v>788</v>
      </c>
      <c r="E8364" s="52">
        <v>1024</v>
      </c>
      <c r="F8364" s="13">
        <v>2111</v>
      </c>
      <c r="G8364" s="13"/>
    </row>
    <row r="8365" spans="1:7" hidden="1" x14ac:dyDescent="0.75">
      <c r="A8365" s="51">
        <v>44946</v>
      </c>
      <c r="B8365" s="52">
        <v>1362</v>
      </c>
      <c r="C8365" s="8" t="s">
        <v>2378</v>
      </c>
      <c r="D8365" s="8" t="s">
        <v>788</v>
      </c>
      <c r="E8365" s="52">
        <v>1818</v>
      </c>
      <c r="F8365" s="13">
        <v>2455.1</v>
      </c>
      <c r="G8365" s="13"/>
    </row>
    <row r="8366" spans="1:7" hidden="1" x14ac:dyDescent="0.75">
      <c r="A8366" s="51">
        <v>44946</v>
      </c>
      <c r="B8366" s="52">
        <v>1362</v>
      </c>
      <c r="C8366" s="8" t="s">
        <v>2433</v>
      </c>
      <c r="D8366" s="8" t="s">
        <v>788</v>
      </c>
      <c r="E8366" s="52">
        <v>1821</v>
      </c>
      <c r="F8366" s="13">
        <v>164.2</v>
      </c>
      <c r="G8366" s="13"/>
    </row>
    <row r="8367" spans="1:7" hidden="1" x14ac:dyDescent="0.75">
      <c r="A8367" s="51">
        <v>44946</v>
      </c>
      <c r="B8367" s="52">
        <v>1362</v>
      </c>
      <c r="C8367" s="8" t="s">
        <v>2473</v>
      </c>
      <c r="D8367" s="8" t="s">
        <v>788</v>
      </c>
      <c r="E8367" s="52">
        <v>714</v>
      </c>
      <c r="F8367" s="13">
        <v>978.9</v>
      </c>
      <c r="G8367" s="13"/>
    </row>
    <row r="8368" spans="1:7" hidden="1" x14ac:dyDescent="0.75">
      <c r="A8368" s="51">
        <v>44946</v>
      </c>
      <c r="B8368" s="52">
        <v>1362</v>
      </c>
      <c r="C8368" s="8" t="s">
        <v>2615</v>
      </c>
      <c r="D8368" s="8" t="s">
        <v>788</v>
      </c>
      <c r="E8368" s="52">
        <v>1024</v>
      </c>
      <c r="F8368" s="13">
        <v>252</v>
      </c>
      <c r="G8368" s="13"/>
    </row>
    <row r="8369" spans="1:7" hidden="1" x14ac:dyDescent="0.75">
      <c r="A8369" s="51">
        <v>44946</v>
      </c>
      <c r="B8369" s="52">
        <v>1362</v>
      </c>
      <c r="C8369" s="8" t="s">
        <v>2615</v>
      </c>
      <c r="D8369" s="8" t="s">
        <v>788</v>
      </c>
      <c r="E8369" s="52">
        <v>1024</v>
      </c>
      <c r="F8369" s="13">
        <v>1788</v>
      </c>
      <c r="G8369" s="13"/>
    </row>
    <row r="8370" spans="1:7" hidden="1" x14ac:dyDescent="0.75">
      <c r="A8370" s="51">
        <v>44946</v>
      </c>
      <c r="B8370" s="52">
        <v>1362</v>
      </c>
      <c r="C8370" s="8" t="s">
        <v>2615</v>
      </c>
      <c r="D8370" s="8" t="s">
        <v>788</v>
      </c>
      <c r="E8370" s="52">
        <v>1024</v>
      </c>
      <c r="F8370" s="13">
        <v>408</v>
      </c>
      <c r="G8370" s="13"/>
    </row>
    <row r="8371" spans="1:7" hidden="1" x14ac:dyDescent="0.75">
      <c r="A8371" s="51">
        <v>44946</v>
      </c>
      <c r="B8371" s="52">
        <v>1362</v>
      </c>
      <c r="C8371" s="8" t="s">
        <v>2615</v>
      </c>
      <c r="D8371" s="8" t="s">
        <v>788</v>
      </c>
      <c r="E8371" s="52">
        <v>1024</v>
      </c>
      <c r="F8371" s="13">
        <v>2030</v>
      </c>
      <c r="G8371" s="13"/>
    </row>
    <row r="8372" spans="1:7" hidden="1" x14ac:dyDescent="0.75">
      <c r="A8372" s="51">
        <v>44946</v>
      </c>
      <c r="B8372" s="52">
        <v>1362</v>
      </c>
      <c r="C8372" s="8" t="s">
        <v>2615</v>
      </c>
      <c r="D8372" s="8" t="s">
        <v>788</v>
      </c>
      <c r="E8372" s="52">
        <v>1024</v>
      </c>
      <c r="F8372" s="13">
        <v>2948</v>
      </c>
      <c r="G8372" s="13"/>
    </row>
    <row r="8373" spans="1:7" hidden="1" x14ac:dyDescent="0.75">
      <c r="A8373" s="51">
        <v>44946</v>
      </c>
      <c r="B8373" s="52">
        <v>1362</v>
      </c>
      <c r="C8373" s="8" t="s">
        <v>2473</v>
      </c>
      <c r="D8373" s="8" t="s">
        <v>788</v>
      </c>
      <c r="E8373" s="52">
        <v>714</v>
      </c>
      <c r="F8373" s="13">
        <v>746.8</v>
      </c>
      <c r="G8373" s="13"/>
    </row>
    <row r="8374" spans="1:7" hidden="1" x14ac:dyDescent="0.75">
      <c r="A8374" s="51">
        <v>44946</v>
      </c>
      <c r="B8374" s="52">
        <v>1362</v>
      </c>
      <c r="C8374" s="8" t="s">
        <v>2433</v>
      </c>
      <c r="D8374" s="8" t="s">
        <v>788</v>
      </c>
      <c r="E8374" s="52">
        <v>1821</v>
      </c>
      <c r="F8374" s="13">
        <v>250.2</v>
      </c>
      <c r="G8374" s="13"/>
    </row>
    <row r="8375" spans="1:7" hidden="1" x14ac:dyDescent="0.75">
      <c r="A8375" s="51">
        <v>44946</v>
      </c>
      <c r="B8375" s="52">
        <v>1362</v>
      </c>
      <c r="C8375" s="8" t="s">
        <v>2406</v>
      </c>
      <c r="D8375" s="8" t="s">
        <v>788</v>
      </c>
      <c r="E8375" s="52">
        <v>719</v>
      </c>
      <c r="F8375" s="13">
        <v>274.39999999999998</v>
      </c>
      <c r="G8375" s="13"/>
    </row>
    <row r="8376" spans="1:7" hidden="1" x14ac:dyDescent="0.75">
      <c r="A8376" s="51">
        <v>44946</v>
      </c>
      <c r="B8376" s="52">
        <v>1362</v>
      </c>
      <c r="C8376" s="8" t="s">
        <v>2325</v>
      </c>
      <c r="D8376" s="8" t="s">
        <v>788</v>
      </c>
      <c r="E8376" s="52">
        <v>717</v>
      </c>
      <c r="F8376" s="13">
        <v>1504.7</v>
      </c>
      <c r="G8376" s="13"/>
    </row>
    <row r="8377" spans="1:7" hidden="1" x14ac:dyDescent="0.75">
      <c r="A8377" s="51">
        <v>44946</v>
      </c>
      <c r="B8377" s="52">
        <v>1362</v>
      </c>
      <c r="C8377" s="8" t="s">
        <v>2378</v>
      </c>
      <c r="D8377" s="8" t="s">
        <v>788</v>
      </c>
      <c r="E8377" s="52">
        <v>1818</v>
      </c>
      <c r="F8377" s="13">
        <v>2764.6</v>
      </c>
      <c r="G8377" s="13"/>
    </row>
    <row r="8378" spans="1:7" hidden="1" x14ac:dyDescent="0.75">
      <c r="A8378" s="51">
        <v>44946</v>
      </c>
      <c r="B8378" s="52">
        <v>1362</v>
      </c>
      <c r="C8378" s="8" t="s">
        <v>2615</v>
      </c>
      <c r="D8378" s="8" t="s">
        <v>788</v>
      </c>
      <c r="E8378" s="52">
        <v>1024</v>
      </c>
      <c r="F8378" s="13">
        <v>4116</v>
      </c>
      <c r="G8378" s="13"/>
    </row>
    <row r="8379" spans="1:7" hidden="1" x14ac:dyDescent="0.75">
      <c r="A8379" s="51">
        <v>44946</v>
      </c>
      <c r="B8379" s="52">
        <v>1362</v>
      </c>
      <c r="C8379" s="8" t="s">
        <v>2615</v>
      </c>
      <c r="D8379" s="8" t="s">
        <v>788</v>
      </c>
      <c r="E8379" s="52">
        <v>1024</v>
      </c>
      <c r="F8379" s="13">
        <v>2642</v>
      </c>
      <c r="G8379" s="13"/>
    </row>
    <row r="8380" spans="1:7" hidden="1" x14ac:dyDescent="0.75">
      <c r="A8380" s="51">
        <v>44946</v>
      </c>
      <c r="B8380" s="52">
        <v>1362</v>
      </c>
      <c r="C8380" s="8" t="s">
        <v>2433</v>
      </c>
      <c r="D8380" s="8" t="s">
        <v>788</v>
      </c>
      <c r="E8380" s="52">
        <v>1821</v>
      </c>
      <c r="F8380" s="13">
        <v>224.5</v>
      </c>
      <c r="G8380" s="13"/>
    </row>
    <row r="8381" spans="1:7" hidden="1" x14ac:dyDescent="0.75">
      <c r="A8381" s="51">
        <v>44946</v>
      </c>
      <c r="B8381" s="52">
        <v>1362</v>
      </c>
      <c r="C8381" s="8" t="s">
        <v>2378</v>
      </c>
      <c r="D8381" s="8" t="s">
        <v>788</v>
      </c>
      <c r="E8381" s="52">
        <v>1818</v>
      </c>
      <c r="F8381" s="13">
        <v>786.2</v>
      </c>
      <c r="G8381" s="13"/>
    </row>
    <row r="8382" spans="1:7" hidden="1" x14ac:dyDescent="0.75">
      <c r="A8382" s="51">
        <v>44946</v>
      </c>
      <c r="B8382" s="52">
        <v>1362</v>
      </c>
      <c r="C8382" s="8" t="s">
        <v>2473</v>
      </c>
      <c r="D8382" s="8" t="s">
        <v>788</v>
      </c>
      <c r="E8382" s="52">
        <v>714</v>
      </c>
      <c r="F8382" s="13">
        <v>396.3</v>
      </c>
      <c r="G8382" s="13"/>
    </row>
    <row r="8383" spans="1:7" hidden="1" x14ac:dyDescent="0.75">
      <c r="A8383" s="51">
        <v>44946</v>
      </c>
      <c r="B8383" s="52">
        <v>1362</v>
      </c>
      <c r="C8383" s="8" t="s">
        <v>2615</v>
      </c>
      <c r="D8383" s="8" t="s">
        <v>788</v>
      </c>
      <c r="E8383" s="52">
        <v>1024</v>
      </c>
      <c r="F8383" s="13">
        <v>4740</v>
      </c>
      <c r="G8383" s="13"/>
    </row>
    <row r="8384" spans="1:7" hidden="1" x14ac:dyDescent="0.75">
      <c r="A8384" s="51">
        <v>44946</v>
      </c>
      <c r="B8384" s="52">
        <v>1362</v>
      </c>
      <c r="C8384" s="8" t="s">
        <v>2615</v>
      </c>
      <c r="D8384" s="8" t="s">
        <v>788</v>
      </c>
      <c r="E8384" s="52">
        <v>1024</v>
      </c>
      <c r="F8384" s="13">
        <v>1218</v>
      </c>
      <c r="G8384" s="13"/>
    </row>
    <row r="8385" spans="1:7" hidden="1" x14ac:dyDescent="0.75">
      <c r="A8385" s="51">
        <v>44946</v>
      </c>
      <c r="B8385" s="52">
        <v>1362</v>
      </c>
      <c r="C8385" s="8" t="s">
        <v>2615</v>
      </c>
      <c r="D8385" s="8" t="s">
        <v>788</v>
      </c>
      <c r="E8385" s="52">
        <v>1024</v>
      </c>
      <c r="F8385" s="13">
        <v>4736</v>
      </c>
      <c r="G8385" s="13"/>
    </row>
    <row r="8386" spans="1:7" hidden="1" x14ac:dyDescent="0.75">
      <c r="A8386" s="51">
        <v>44946</v>
      </c>
      <c r="B8386" s="52">
        <v>1362</v>
      </c>
      <c r="C8386" s="8" t="s">
        <v>2473</v>
      </c>
      <c r="D8386" s="8" t="s">
        <v>788</v>
      </c>
      <c r="E8386" s="52">
        <v>714</v>
      </c>
      <c r="F8386" s="13">
        <v>889.2</v>
      </c>
      <c r="G8386" s="13"/>
    </row>
    <row r="8387" spans="1:7" hidden="1" x14ac:dyDescent="0.75">
      <c r="A8387" s="51">
        <v>44946</v>
      </c>
      <c r="B8387" s="52">
        <v>1362</v>
      </c>
      <c r="C8387" s="8" t="s">
        <v>2406</v>
      </c>
      <c r="D8387" s="8" t="s">
        <v>788</v>
      </c>
      <c r="E8387" s="52">
        <v>719</v>
      </c>
      <c r="F8387" s="13">
        <v>119.1</v>
      </c>
      <c r="G8387" s="13"/>
    </row>
    <row r="8388" spans="1:7" hidden="1" x14ac:dyDescent="0.75">
      <c r="A8388" s="51">
        <v>44946</v>
      </c>
      <c r="B8388" s="52">
        <v>1362</v>
      </c>
      <c r="C8388" s="8" t="s">
        <v>2378</v>
      </c>
      <c r="D8388" s="8" t="s">
        <v>788</v>
      </c>
      <c r="E8388" s="52">
        <v>1818</v>
      </c>
      <c r="F8388" s="13">
        <v>1396.7</v>
      </c>
      <c r="G8388" s="13"/>
    </row>
    <row r="8389" spans="1:7" hidden="1" x14ac:dyDescent="0.75">
      <c r="A8389" s="51">
        <v>44946</v>
      </c>
      <c r="B8389" s="52">
        <v>1362</v>
      </c>
      <c r="C8389" s="8" t="s">
        <v>2433</v>
      </c>
      <c r="D8389" s="8" t="s">
        <v>788</v>
      </c>
      <c r="E8389" s="52">
        <v>1821</v>
      </c>
      <c r="F8389" s="13">
        <v>221.6</v>
      </c>
      <c r="G8389" s="13"/>
    </row>
    <row r="8390" spans="1:7" hidden="1" x14ac:dyDescent="0.75">
      <c r="A8390" s="51">
        <v>44946</v>
      </c>
      <c r="B8390" s="52">
        <v>1362</v>
      </c>
      <c r="C8390" s="8" t="s">
        <v>2325</v>
      </c>
      <c r="D8390" s="8" t="s">
        <v>788</v>
      </c>
      <c r="E8390" s="52">
        <v>717</v>
      </c>
      <c r="F8390" s="13">
        <v>2867</v>
      </c>
      <c r="G8390" s="13"/>
    </row>
    <row r="8391" spans="1:7" hidden="1" x14ac:dyDescent="0.75">
      <c r="A8391" s="51">
        <v>44946</v>
      </c>
      <c r="B8391" s="52">
        <v>1362</v>
      </c>
      <c r="C8391" s="8" t="s">
        <v>2615</v>
      </c>
      <c r="D8391" s="8" t="s">
        <v>788</v>
      </c>
      <c r="E8391" s="52">
        <v>1024</v>
      </c>
      <c r="F8391" s="13">
        <v>2360</v>
      </c>
      <c r="G8391" s="13"/>
    </row>
    <row r="8392" spans="1:7" hidden="1" x14ac:dyDescent="0.75">
      <c r="A8392" s="51">
        <v>44946</v>
      </c>
      <c r="B8392" s="52">
        <v>1362</v>
      </c>
      <c r="C8392" s="8" t="s">
        <v>2615</v>
      </c>
      <c r="D8392" s="8" t="s">
        <v>788</v>
      </c>
      <c r="E8392" s="52">
        <v>1024</v>
      </c>
      <c r="F8392" s="13">
        <v>2860</v>
      </c>
      <c r="G8392" s="13"/>
    </row>
    <row r="8393" spans="1:7" hidden="1" x14ac:dyDescent="0.75">
      <c r="A8393" s="51">
        <v>44946</v>
      </c>
      <c r="B8393" s="52">
        <v>1362</v>
      </c>
      <c r="C8393" s="8" t="s">
        <v>2615</v>
      </c>
      <c r="D8393" s="8" t="s">
        <v>788</v>
      </c>
      <c r="E8393" s="52">
        <v>1024</v>
      </c>
      <c r="F8393" s="13">
        <v>3449.5</v>
      </c>
      <c r="G8393" s="13"/>
    </row>
    <row r="8394" spans="1:7" hidden="1" x14ac:dyDescent="0.75">
      <c r="A8394" s="51">
        <v>44946</v>
      </c>
      <c r="B8394" s="52">
        <v>1362</v>
      </c>
      <c r="C8394" s="8" t="s">
        <v>2473</v>
      </c>
      <c r="D8394" s="8" t="s">
        <v>788</v>
      </c>
      <c r="E8394" s="52">
        <v>714</v>
      </c>
      <c r="F8394" s="13">
        <v>1663.57</v>
      </c>
      <c r="G8394" s="13"/>
    </row>
    <row r="8395" spans="1:7" hidden="1" x14ac:dyDescent="0.75">
      <c r="A8395" s="51">
        <v>44946</v>
      </c>
      <c r="B8395" s="52">
        <v>1362</v>
      </c>
      <c r="C8395" s="8" t="s">
        <v>2325</v>
      </c>
      <c r="D8395" s="8" t="s">
        <v>788</v>
      </c>
      <c r="E8395" s="52">
        <v>717</v>
      </c>
      <c r="F8395" s="13">
        <v>1300.5</v>
      </c>
      <c r="G8395" s="13"/>
    </row>
    <row r="8396" spans="1:7" hidden="1" x14ac:dyDescent="0.75">
      <c r="A8396" s="51">
        <v>44946</v>
      </c>
      <c r="B8396" s="52">
        <v>1362</v>
      </c>
      <c r="C8396" s="8" t="s">
        <v>2378</v>
      </c>
      <c r="D8396" s="8" t="s">
        <v>788</v>
      </c>
      <c r="E8396" s="52">
        <v>1818</v>
      </c>
      <c r="F8396" s="13">
        <v>2065.1</v>
      </c>
      <c r="G8396" s="13"/>
    </row>
    <row r="8397" spans="1:7" hidden="1" x14ac:dyDescent="0.75">
      <c r="A8397" s="51">
        <v>44946</v>
      </c>
      <c r="B8397" s="52">
        <v>1362</v>
      </c>
      <c r="C8397" s="8" t="s">
        <v>2615</v>
      </c>
      <c r="D8397" s="8" t="s">
        <v>788</v>
      </c>
      <c r="E8397" s="52">
        <v>1024</v>
      </c>
      <c r="F8397" s="13">
        <v>434.5</v>
      </c>
      <c r="G8397" s="13"/>
    </row>
    <row r="8398" spans="1:7" hidden="1" x14ac:dyDescent="0.75">
      <c r="A8398" s="51">
        <v>44946</v>
      </c>
      <c r="B8398" s="52">
        <v>1362</v>
      </c>
      <c r="C8398" s="8" t="s">
        <v>2615</v>
      </c>
      <c r="D8398" s="8" t="s">
        <v>788</v>
      </c>
      <c r="E8398" s="52">
        <v>1024</v>
      </c>
      <c r="F8398" s="13">
        <v>2932</v>
      </c>
      <c r="G8398" s="13"/>
    </row>
    <row r="8399" spans="1:7" hidden="1" x14ac:dyDescent="0.75">
      <c r="A8399" s="51">
        <v>44946</v>
      </c>
      <c r="B8399" s="52">
        <v>1362</v>
      </c>
      <c r="C8399" s="8" t="s">
        <v>2615</v>
      </c>
      <c r="D8399" s="8" t="s">
        <v>788</v>
      </c>
      <c r="E8399" s="52">
        <v>1024</v>
      </c>
      <c r="F8399" s="13">
        <v>4360</v>
      </c>
      <c r="G8399" s="13"/>
    </row>
    <row r="8400" spans="1:7" hidden="1" x14ac:dyDescent="0.75">
      <c r="A8400" s="51">
        <v>44946</v>
      </c>
      <c r="B8400" s="52">
        <v>1362</v>
      </c>
      <c r="C8400" s="8" t="s">
        <v>2473</v>
      </c>
      <c r="D8400" s="8" t="s">
        <v>788</v>
      </c>
      <c r="E8400" s="52">
        <v>714</v>
      </c>
      <c r="F8400" s="13">
        <v>621.6</v>
      </c>
      <c r="G8400" s="13"/>
    </row>
    <row r="8401" spans="1:7" hidden="1" x14ac:dyDescent="0.75">
      <c r="A8401" s="51">
        <v>44946</v>
      </c>
      <c r="B8401" s="52">
        <v>1362</v>
      </c>
      <c r="C8401" s="8" t="s">
        <v>2325</v>
      </c>
      <c r="D8401" s="8" t="s">
        <v>788</v>
      </c>
      <c r="E8401" s="52">
        <v>717</v>
      </c>
      <c r="F8401" s="13">
        <v>1338</v>
      </c>
      <c r="G8401" s="13"/>
    </row>
    <row r="8402" spans="1:7" hidden="1" x14ac:dyDescent="0.75">
      <c r="A8402" s="51">
        <v>44946</v>
      </c>
      <c r="B8402" s="52">
        <v>1362</v>
      </c>
      <c r="C8402" s="8" t="s">
        <v>2378</v>
      </c>
      <c r="D8402" s="8" t="s">
        <v>788</v>
      </c>
      <c r="E8402" s="52">
        <v>1818</v>
      </c>
      <c r="F8402" s="13">
        <v>2351.6</v>
      </c>
      <c r="G8402" s="13"/>
    </row>
    <row r="8403" spans="1:7" hidden="1" x14ac:dyDescent="0.75">
      <c r="A8403" s="51">
        <v>44946</v>
      </c>
      <c r="B8403" s="52">
        <v>1362</v>
      </c>
      <c r="C8403" s="8" t="s">
        <v>2615</v>
      </c>
      <c r="D8403" s="8" t="s">
        <v>788</v>
      </c>
      <c r="E8403" s="52">
        <v>1024</v>
      </c>
      <c r="F8403" s="13">
        <v>19425</v>
      </c>
      <c r="G8403" s="13"/>
    </row>
    <row r="8404" spans="1:7" hidden="1" x14ac:dyDescent="0.75">
      <c r="A8404" s="51">
        <v>44946</v>
      </c>
      <c r="B8404" s="52">
        <v>1362</v>
      </c>
      <c r="C8404" s="8" t="s">
        <v>2406</v>
      </c>
      <c r="D8404" s="8" t="s">
        <v>788</v>
      </c>
      <c r="E8404" s="52">
        <v>719</v>
      </c>
      <c r="F8404" s="13">
        <v>444.98</v>
      </c>
      <c r="G8404" s="13"/>
    </row>
    <row r="8405" spans="1:7" hidden="1" x14ac:dyDescent="0.75">
      <c r="A8405" s="51">
        <v>44946</v>
      </c>
      <c r="B8405" s="52">
        <v>1362</v>
      </c>
      <c r="C8405" s="8" t="s">
        <v>2407</v>
      </c>
      <c r="D8405" s="8" t="s">
        <v>788</v>
      </c>
      <c r="E8405" s="52">
        <v>719</v>
      </c>
      <c r="F8405" s="13">
        <v>1272.25</v>
      </c>
      <c r="G8405" s="13"/>
    </row>
    <row r="8406" spans="1:7" hidden="1" x14ac:dyDescent="0.75">
      <c r="A8406" s="51">
        <v>44946</v>
      </c>
      <c r="B8406" s="52">
        <v>1362</v>
      </c>
      <c r="C8406" s="8" t="s">
        <v>2615</v>
      </c>
      <c r="D8406" s="8" t="s">
        <v>788</v>
      </c>
      <c r="E8406" s="52">
        <v>1024</v>
      </c>
      <c r="F8406" s="13">
        <v>1881</v>
      </c>
      <c r="G8406" s="13"/>
    </row>
    <row r="8407" spans="1:7" hidden="1" x14ac:dyDescent="0.75">
      <c r="A8407" s="51">
        <v>44946</v>
      </c>
      <c r="B8407" s="52">
        <v>1362</v>
      </c>
      <c r="C8407" s="8" t="s">
        <v>2615</v>
      </c>
      <c r="D8407" s="8" t="s">
        <v>788</v>
      </c>
      <c r="E8407" s="52">
        <v>1024</v>
      </c>
      <c r="F8407" s="13">
        <v>980</v>
      </c>
      <c r="G8407" s="13"/>
    </row>
    <row r="8408" spans="1:7" hidden="1" x14ac:dyDescent="0.75">
      <c r="A8408" s="51">
        <v>44946</v>
      </c>
      <c r="B8408" s="52">
        <v>1362</v>
      </c>
      <c r="C8408" s="8" t="s">
        <v>2325</v>
      </c>
      <c r="D8408" s="8" t="s">
        <v>788</v>
      </c>
      <c r="E8408" s="52">
        <v>717</v>
      </c>
      <c r="F8408" s="13">
        <v>2251.0500000000002</v>
      </c>
      <c r="G8408" s="13"/>
    </row>
    <row r="8409" spans="1:7" hidden="1" x14ac:dyDescent="0.75">
      <c r="A8409" s="51">
        <v>44946</v>
      </c>
      <c r="B8409" s="52">
        <v>1362</v>
      </c>
      <c r="C8409" s="8" t="s">
        <v>2378</v>
      </c>
      <c r="D8409" s="8" t="s">
        <v>788</v>
      </c>
      <c r="E8409" s="52">
        <v>1818</v>
      </c>
      <c r="F8409" s="13">
        <v>2014.1</v>
      </c>
      <c r="G8409" s="13"/>
    </row>
    <row r="8410" spans="1:7" hidden="1" x14ac:dyDescent="0.75">
      <c r="A8410" s="51">
        <v>44946</v>
      </c>
      <c r="B8410" s="52">
        <v>1362</v>
      </c>
      <c r="C8410" s="8" t="s">
        <v>2473</v>
      </c>
      <c r="D8410" s="8" t="s">
        <v>788</v>
      </c>
      <c r="E8410" s="52">
        <v>714</v>
      </c>
      <c r="F8410" s="13">
        <v>685.7</v>
      </c>
      <c r="G8410" s="13"/>
    </row>
    <row r="8411" spans="1:7" hidden="1" x14ac:dyDescent="0.75">
      <c r="A8411" s="51">
        <v>44946</v>
      </c>
      <c r="B8411" s="52">
        <v>1362</v>
      </c>
      <c r="C8411" s="8" t="s">
        <v>2615</v>
      </c>
      <c r="D8411" s="8" t="s">
        <v>788</v>
      </c>
      <c r="E8411" s="52">
        <v>1024</v>
      </c>
      <c r="F8411" s="13">
        <v>408</v>
      </c>
      <c r="G8411" s="13"/>
    </row>
    <row r="8412" spans="1:7" hidden="1" x14ac:dyDescent="0.75">
      <c r="A8412" s="51">
        <v>44946</v>
      </c>
      <c r="B8412" s="52">
        <v>1362</v>
      </c>
      <c r="C8412" s="8" t="s">
        <v>2615</v>
      </c>
      <c r="D8412" s="8" t="s">
        <v>788</v>
      </c>
      <c r="E8412" s="52">
        <v>1024</v>
      </c>
      <c r="F8412" s="13">
        <v>1711.5</v>
      </c>
      <c r="G8412" s="13"/>
    </row>
    <row r="8413" spans="1:7" hidden="1" x14ac:dyDescent="0.75">
      <c r="A8413" s="51">
        <v>44946</v>
      </c>
      <c r="B8413" s="52">
        <v>1362</v>
      </c>
      <c r="C8413" s="8" t="s">
        <v>2615</v>
      </c>
      <c r="D8413" s="8" t="s">
        <v>788</v>
      </c>
      <c r="E8413" s="52">
        <v>1024</v>
      </c>
      <c r="F8413" s="13">
        <v>344.5</v>
      </c>
      <c r="G8413" s="13"/>
    </row>
    <row r="8414" spans="1:7" hidden="1" x14ac:dyDescent="0.75">
      <c r="A8414" s="51">
        <v>44946</v>
      </c>
      <c r="B8414" s="52">
        <v>1362</v>
      </c>
      <c r="C8414" s="8" t="s">
        <v>2615</v>
      </c>
      <c r="D8414" s="8" t="s">
        <v>788</v>
      </c>
      <c r="E8414" s="52">
        <v>1024</v>
      </c>
      <c r="F8414" s="13">
        <v>2412</v>
      </c>
      <c r="G8414" s="13"/>
    </row>
    <row r="8415" spans="1:7" hidden="1" x14ac:dyDescent="0.75">
      <c r="A8415" s="51">
        <v>44946</v>
      </c>
      <c r="B8415" s="52">
        <v>1362</v>
      </c>
      <c r="C8415" s="8" t="s">
        <v>2615</v>
      </c>
      <c r="D8415" s="8" t="s">
        <v>788</v>
      </c>
      <c r="E8415" s="52">
        <v>1024</v>
      </c>
      <c r="F8415" s="13">
        <v>3130</v>
      </c>
      <c r="G8415" s="13"/>
    </row>
    <row r="8416" spans="1:7" hidden="1" x14ac:dyDescent="0.75">
      <c r="A8416" s="51">
        <v>44946</v>
      </c>
      <c r="B8416" s="52">
        <v>1362</v>
      </c>
      <c r="C8416" s="8" t="s">
        <v>2378</v>
      </c>
      <c r="D8416" s="8" t="s">
        <v>788</v>
      </c>
      <c r="E8416" s="52">
        <v>1818</v>
      </c>
      <c r="F8416" s="13">
        <v>2339</v>
      </c>
      <c r="G8416" s="13"/>
    </row>
    <row r="8417" spans="1:7" hidden="1" x14ac:dyDescent="0.75">
      <c r="A8417" s="51">
        <v>44946</v>
      </c>
      <c r="B8417" s="52">
        <v>1362</v>
      </c>
      <c r="C8417" s="8" t="s">
        <v>2325</v>
      </c>
      <c r="D8417" s="8" t="s">
        <v>788</v>
      </c>
      <c r="E8417" s="52">
        <v>717</v>
      </c>
      <c r="F8417" s="13">
        <v>2025.75</v>
      </c>
      <c r="G8417" s="13"/>
    </row>
    <row r="8418" spans="1:7" hidden="1" x14ac:dyDescent="0.75">
      <c r="A8418" s="51">
        <v>44946</v>
      </c>
      <c r="B8418" s="52">
        <v>1362</v>
      </c>
      <c r="C8418" s="8" t="s">
        <v>2406</v>
      </c>
      <c r="D8418" s="8" t="s">
        <v>788</v>
      </c>
      <c r="E8418" s="52">
        <v>719</v>
      </c>
      <c r="F8418" s="13">
        <v>190.98</v>
      </c>
      <c r="G8418" s="13"/>
    </row>
    <row r="8419" spans="1:7" hidden="1" x14ac:dyDescent="0.75">
      <c r="A8419" s="51">
        <v>44946</v>
      </c>
      <c r="B8419" s="52">
        <v>1362</v>
      </c>
      <c r="C8419" s="8" t="s">
        <v>2473</v>
      </c>
      <c r="D8419" s="8" t="s">
        <v>788</v>
      </c>
      <c r="E8419" s="52">
        <v>714</v>
      </c>
      <c r="F8419" s="13">
        <v>729.6</v>
      </c>
      <c r="G8419" s="13"/>
    </row>
    <row r="8420" spans="1:7" hidden="1" x14ac:dyDescent="0.75">
      <c r="A8420" s="51">
        <v>44946</v>
      </c>
      <c r="B8420" s="52">
        <v>1362</v>
      </c>
      <c r="C8420" s="8" t="s">
        <v>2615</v>
      </c>
      <c r="D8420" s="8" t="s">
        <v>788</v>
      </c>
      <c r="E8420" s="52">
        <v>1024</v>
      </c>
      <c r="F8420" s="13">
        <v>1890</v>
      </c>
      <c r="G8420" s="13"/>
    </row>
    <row r="8421" spans="1:7" hidden="1" x14ac:dyDescent="0.75">
      <c r="A8421" s="51">
        <v>44946</v>
      </c>
      <c r="B8421" s="52">
        <v>1362</v>
      </c>
      <c r="C8421" s="8" t="s">
        <v>2615</v>
      </c>
      <c r="D8421" s="8" t="s">
        <v>788</v>
      </c>
      <c r="E8421" s="52">
        <v>1024</v>
      </c>
      <c r="F8421" s="13">
        <v>3229</v>
      </c>
      <c r="G8421" s="13"/>
    </row>
    <row r="8422" spans="1:7" hidden="1" x14ac:dyDescent="0.75">
      <c r="A8422" s="51">
        <v>44946</v>
      </c>
      <c r="B8422" s="52">
        <v>1362</v>
      </c>
      <c r="C8422" s="8" t="s">
        <v>2325</v>
      </c>
      <c r="D8422" s="8" t="s">
        <v>788</v>
      </c>
      <c r="E8422" s="52">
        <v>717</v>
      </c>
      <c r="F8422" s="13">
        <v>1338.5</v>
      </c>
      <c r="G8422" s="13"/>
    </row>
    <row r="8423" spans="1:7" hidden="1" x14ac:dyDescent="0.75">
      <c r="A8423" s="51">
        <v>44946</v>
      </c>
      <c r="B8423" s="52">
        <v>1362</v>
      </c>
      <c r="C8423" s="8" t="s">
        <v>2615</v>
      </c>
      <c r="D8423" s="8" t="s">
        <v>788</v>
      </c>
      <c r="E8423" s="52">
        <v>1024</v>
      </c>
      <c r="F8423" s="13">
        <v>5130</v>
      </c>
      <c r="G8423" s="13"/>
    </row>
    <row r="8424" spans="1:7" hidden="1" x14ac:dyDescent="0.75">
      <c r="A8424" s="51">
        <v>44946</v>
      </c>
      <c r="B8424" s="52">
        <v>1362</v>
      </c>
      <c r="C8424" s="8" t="s">
        <v>2615</v>
      </c>
      <c r="D8424" s="8" t="s">
        <v>788</v>
      </c>
      <c r="E8424" s="52">
        <v>1024</v>
      </c>
      <c r="F8424" s="13">
        <v>3536</v>
      </c>
      <c r="G8424" s="13"/>
    </row>
    <row r="8425" spans="1:7" hidden="1" x14ac:dyDescent="0.75">
      <c r="A8425" s="51">
        <v>44946</v>
      </c>
      <c r="B8425" s="52">
        <v>1362</v>
      </c>
      <c r="C8425" s="8" t="s">
        <v>1481</v>
      </c>
      <c r="D8425" s="8" t="s">
        <v>788</v>
      </c>
      <c r="E8425" s="52">
        <v>8</v>
      </c>
      <c r="F8425" s="13"/>
      <c r="G8425" s="13">
        <v>176345.47</v>
      </c>
    </row>
    <row r="8426" spans="1:7" hidden="1" x14ac:dyDescent="0.75">
      <c r="A8426" s="51">
        <v>44946</v>
      </c>
      <c r="B8426" s="52">
        <v>1362</v>
      </c>
      <c r="C8426" s="8" t="s">
        <v>3341</v>
      </c>
      <c r="D8426" s="8" t="s">
        <v>788</v>
      </c>
      <c r="E8426" s="52">
        <v>1434</v>
      </c>
      <c r="F8426" s="13"/>
      <c r="G8426" s="13">
        <v>110.8</v>
      </c>
    </row>
    <row r="8427" spans="1:7" hidden="1" x14ac:dyDescent="0.75">
      <c r="A8427" s="51">
        <v>44946</v>
      </c>
      <c r="B8427" s="52">
        <v>1362</v>
      </c>
      <c r="C8427" s="8" t="s">
        <v>3342</v>
      </c>
      <c r="D8427" s="8" t="s">
        <v>788</v>
      </c>
      <c r="E8427" s="52">
        <v>1434</v>
      </c>
      <c r="F8427" s="13"/>
      <c r="G8427" s="13">
        <v>62.9</v>
      </c>
    </row>
    <row r="8428" spans="1:7" hidden="1" x14ac:dyDescent="0.75">
      <c r="A8428" s="51">
        <v>44946</v>
      </c>
      <c r="B8428" s="52">
        <v>1362</v>
      </c>
      <c r="C8428" s="8" t="s">
        <v>3343</v>
      </c>
      <c r="D8428" s="8" t="s">
        <v>788</v>
      </c>
      <c r="E8428" s="52">
        <v>1434</v>
      </c>
      <c r="F8428" s="13"/>
      <c r="G8428" s="13">
        <v>87.9</v>
      </c>
    </row>
    <row r="8429" spans="1:7" hidden="1" x14ac:dyDescent="0.75">
      <c r="A8429" s="51">
        <v>44946</v>
      </c>
      <c r="B8429" s="52">
        <v>1362</v>
      </c>
      <c r="C8429" s="8" t="s">
        <v>3344</v>
      </c>
      <c r="D8429" s="8" t="s">
        <v>788</v>
      </c>
      <c r="E8429" s="52">
        <v>1434</v>
      </c>
      <c r="F8429" s="13"/>
      <c r="G8429" s="13">
        <v>43</v>
      </c>
    </row>
    <row r="8430" spans="1:7" hidden="1" x14ac:dyDescent="0.75">
      <c r="A8430" s="51">
        <v>44946</v>
      </c>
      <c r="B8430" s="52">
        <v>1362</v>
      </c>
      <c r="C8430" s="8" t="s">
        <v>3345</v>
      </c>
      <c r="D8430" s="8" t="s">
        <v>788</v>
      </c>
      <c r="E8430" s="52">
        <v>1434</v>
      </c>
      <c r="F8430" s="13"/>
      <c r="G8430" s="13">
        <v>44.8</v>
      </c>
    </row>
    <row r="8431" spans="1:7" hidden="1" x14ac:dyDescent="0.75">
      <c r="A8431" s="51">
        <v>44946</v>
      </c>
      <c r="B8431" s="52">
        <v>1362</v>
      </c>
      <c r="C8431" s="8" t="s">
        <v>3346</v>
      </c>
      <c r="D8431" s="8" t="s">
        <v>788</v>
      </c>
      <c r="E8431" s="52">
        <v>1434</v>
      </c>
      <c r="F8431" s="13"/>
      <c r="G8431" s="13">
        <v>60.7</v>
      </c>
    </row>
    <row r="8432" spans="1:7" hidden="1" x14ac:dyDescent="0.75">
      <c r="A8432" s="51">
        <v>44946</v>
      </c>
      <c r="B8432" s="52">
        <v>1362</v>
      </c>
      <c r="C8432" s="8" t="s">
        <v>3347</v>
      </c>
      <c r="D8432" s="8" t="s">
        <v>788</v>
      </c>
      <c r="E8432" s="52">
        <v>1434</v>
      </c>
      <c r="F8432" s="13"/>
      <c r="G8432" s="13">
        <v>51.2</v>
      </c>
    </row>
    <row r="8433" spans="1:7" hidden="1" x14ac:dyDescent="0.75">
      <c r="A8433" s="51">
        <v>44946</v>
      </c>
      <c r="B8433" s="52">
        <v>1362</v>
      </c>
      <c r="C8433" s="8" t="s">
        <v>3348</v>
      </c>
      <c r="D8433" s="8" t="s">
        <v>788</v>
      </c>
      <c r="E8433" s="52">
        <v>1434</v>
      </c>
      <c r="F8433" s="13"/>
      <c r="G8433" s="13">
        <v>30.4</v>
      </c>
    </row>
    <row r="8434" spans="1:7" hidden="1" x14ac:dyDescent="0.75">
      <c r="A8434" s="51">
        <v>44946</v>
      </c>
      <c r="B8434" s="52">
        <v>1362</v>
      </c>
      <c r="C8434" s="8" t="s">
        <v>3349</v>
      </c>
      <c r="D8434" s="8" t="s">
        <v>788</v>
      </c>
      <c r="E8434" s="52">
        <v>1434</v>
      </c>
      <c r="F8434" s="13"/>
      <c r="G8434" s="13">
        <v>95.7</v>
      </c>
    </row>
    <row r="8435" spans="1:7" hidden="1" x14ac:dyDescent="0.75">
      <c r="A8435" s="51">
        <v>44946</v>
      </c>
      <c r="B8435" s="52">
        <v>1362</v>
      </c>
      <c r="C8435" s="8" t="s">
        <v>3350</v>
      </c>
      <c r="D8435" s="8" t="s">
        <v>788</v>
      </c>
      <c r="E8435" s="52">
        <v>1434</v>
      </c>
      <c r="F8435" s="13"/>
      <c r="G8435" s="13">
        <v>401.1</v>
      </c>
    </row>
    <row r="8436" spans="1:7" hidden="1" x14ac:dyDescent="0.75">
      <c r="A8436" s="51">
        <v>44946</v>
      </c>
      <c r="B8436" s="52">
        <v>1362</v>
      </c>
      <c r="C8436" s="8" t="s">
        <v>3351</v>
      </c>
      <c r="D8436" s="8" t="s">
        <v>788</v>
      </c>
      <c r="E8436" s="52">
        <v>1434</v>
      </c>
      <c r="F8436" s="13"/>
      <c r="G8436" s="13">
        <v>235.1</v>
      </c>
    </row>
    <row r="8437" spans="1:7" hidden="1" x14ac:dyDescent="0.75">
      <c r="A8437" s="51">
        <v>44946</v>
      </c>
      <c r="B8437" s="52">
        <v>1362</v>
      </c>
      <c r="C8437" s="8" t="s">
        <v>3352</v>
      </c>
      <c r="D8437" s="8" t="s">
        <v>788</v>
      </c>
      <c r="E8437" s="52">
        <v>1434</v>
      </c>
      <c r="F8437" s="13"/>
      <c r="G8437" s="13">
        <v>28.3</v>
      </c>
    </row>
    <row r="8438" spans="1:7" hidden="1" x14ac:dyDescent="0.75">
      <c r="A8438" s="51">
        <v>44946</v>
      </c>
      <c r="B8438" s="52">
        <v>1362</v>
      </c>
      <c r="C8438" s="8" t="s">
        <v>3353</v>
      </c>
      <c r="D8438" s="8" t="s">
        <v>788</v>
      </c>
      <c r="E8438" s="52">
        <v>1434</v>
      </c>
      <c r="F8438" s="13"/>
      <c r="G8438" s="13">
        <v>45.7</v>
      </c>
    </row>
    <row r="8439" spans="1:7" hidden="1" x14ac:dyDescent="0.75">
      <c r="A8439" s="51">
        <v>44946</v>
      </c>
      <c r="B8439" s="52">
        <v>1362</v>
      </c>
      <c r="C8439" s="8" t="s">
        <v>3354</v>
      </c>
      <c r="D8439" s="8" t="s">
        <v>788</v>
      </c>
      <c r="E8439" s="52">
        <v>1434</v>
      </c>
      <c r="F8439" s="13"/>
      <c r="G8439" s="13">
        <v>165.54</v>
      </c>
    </row>
    <row r="8440" spans="1:7" hidden="1" x14ac:dyDescent="0.75">
      <c r="A8440" s="51">
        <v>44946</v>
      </c>
      <c r="B8440" s="52">
        <v>1362</v>
      </c>
      <c r="C8440" s="8" t="s">
        <v>3355</v>
      </c>
      <c r="D8440" s="8" t="s">
        <v>788</v>
      </c>
      <c r="E8440" s="52">
        <v>1434</v>
      </c>
      <c r="F8440" s="13"/>
      <c r="G8440" s="13">
        <v>128.84</v>
      </c>
    </row>
    <row r="8441" spans="1:7" hidden="1" x14ac:dyDescent="0.75">
      <c r="A8441" s="51">
        <v>44946</v>
      </c>
      <c r="B8441" s="52">
        <v>1362</v>
      </c>
      <c r="C8441" s="8" t="s">
        <v>3356</v>
      </c>
      <c r="D8441" s="8" t="s">
        <v>788</v>
      </c>
      <c r="E8441" s="52">
        <v>1434</v>
      </c>
      <c r="F8441" s="13"/>
      <c r="G8441" s="13">
        <v>110.24</v>
      </c>
    </row>
    <row r="8442" spans="1:7" hidden="1" x14ac:dyDescent="0.75">
      <c r="A8442" s="51">
        <v>44946</v>
      </c>
      <c r="B8442" s="52">
        <v>1362</v>
      </c>
      <c r="C8442" s="8" t="s">
        <v>3357</v>
      </c>
      <c r="D8442" s="8" t="s">
        <v>788</v>
      </c>
      <c r="E8442" s="52">
        <v>1434</v>
      </c>
      <c r="F8442" s="13"/>
      <c r="G8442" s="13">
        <v>228.24</v>
      </c>
    </row>
    <row r="8443" spans="1:7" hidden="1" x14ac:dyDescent="0.75">
      <c r="A8443" s="51">
        <v>44946</v>
      </c>
      <c r="B8443" s="52">
        <v>1362</v>
      </c>
      <c r="C8443" s="8" t="s">
        <v>3358</v>
      </c>
      <c r="D8443" s="8" t="s">
        <v>788</v>
      </c>
      <c r="E8443" s="52">
        <v>1434</v>
      </c>
      <c r="F8443" s="13"/>
      <c r="G8443" s="13">
        <v>289.26</v>
      </c>
    </row>
    <row r="8444" spans="1:7" hidden="1" x14ac:dyDescent="0.75">
      <c r="A8444" s="51">
        <v>44946</v>
      </c>
      <c r="B8444" s="52">
        <v>1362</v>
      </c>
      <c r="C8444" s="8" t="s">
        <v>3359</v>
      </c>
      <c r="D8444" s="8" t="s">
        <v>788</v>
      </c>
      <c r="E8444" s="52">
        <v>1434</v>
      </c>
      <c r="F8444" s="13"/>
      <c r="G8444" s="13">
        <v>254.18</v>
      </c>
    </row>
    <row r="8445" spans="1:7" hidden="1" x14ac:dyDescent="0.75">
      <c r="A8445" s="51">
        <v>44946</v>
      </c>
      <c r="B8445" s="52">
        <v>1362</v>
      </c>
      <c r="C8445" s="8" t="s">
        <v>3360</v>
      </c>
      <c r="D8445" s="8" t="s">
        <v>788</v>
      </c>
      <c r="E8445" s="52">
        <v>1434</v>
      </c>
      <c r="F8445" s="13"/>
      <c r="G8445" s="13">
        <v>215.14</v>
      </c>
    </row>
    <row r="8446" spans="1:7" hidden="1" x14ac:dyDescent="0.75">
      <c r="A8446" s="51">
        <v>44946</v>
      </c>
      <c r="B8446" s="52">
        <v>1362</v>
      </c>
      <c r="C8446" s="8" t="s">
        <v>3361</v>
      </c>
      <c r="D8446" s="8" t="s">
        <v>788</v>
      </c>
      <c r="E8446" s="52">
        <v>1434</v>
      </c>
      <c r="F8446" s="13"/>
      <c r="G8446" s="13">
        <v>223.18</v>
      </c>
    </row>
    <row r="8447" spans="1:7" hidden="1" x14ac:dyDescent="0.75">
      <c r="A8447" s="51">
        <v>44946</v>
      </c>
      <c r="B8447" s="52">
        <v>1362</v>
      </c>
      <c r="C8447" s="8" t="s">
        <v>3362</v>
      </c>
      <c r="D8447" s="8" t="s">
        <v>788</v>
      </c>
      <c r="E8447" s="52">
        <v>1434</v>
      </c>
      <c r="F8447" s="13"/>
      <c r="G8447" s="13">
        <v>206.86</v>
      </c>
    </row>
    <row r="8448" spans="1:7" hidden="1" x14ac:dyDescent="0.75">
      <c r="A8448" s="51">
        <v>44946</v>
      </c>
      <c r="B8448" s="52">
        <v>1362</v>
      </c>
      <c r="C8448" s="8" t="s">
        <v>3363</v>
      </c>
      <c r="D8448" s="8" t="s">
        <v>788</v>
      </c>
      <c r="E8448" s="52">
        <v>1434</v>
      </c>
      <c r="F8448" s="13"/>
      <c r="G8448" s="13">
        <v>350.32</v>
      </c>
    </row>
    <row r="8449" spans="1:7" hidden="1" x14ac:dyDescent="0.75">
      <c r="A8449" s="51">
        <v>44946</v>
      </c>
      <c r="B8449" s="52">
        <v>1362</v>
      </c>
      <c r="C8449" s="8" t="s">
        <v>3364</v>
      </c>
      <c r="D8449" s="8" t="s">
        <v>788</v>
      </c>
      <c r="E8449" s="52">
        <v>1434</v>
      </c>
      <c r="F8449" s="13"/>
      <c r="G8449" s="13">
        <v>372.48</v>
      </c>
    </row>
    <row r="8450" spans="1:7" hidden="1" x14ac:dyDescent="0.75">
      <c r="A8450" s="51">
        <v>44946</v>
      </c>
      <c r="B8450" s="52">
        <v>1362</v>
      </c>
      <c r="C8450" s="8" t="s">
        <v>3365</v>
      </c>
      <c r="D8450" s="8" t="s">
        <v>788</v>
      </c>
      <c r="E8450" s="52">
        <v>1434</v>
      </c>
      <c r="F8450" s="13"/>
      <c r="G8450" s="13">
        <v>285.45999999999998</v>
      </c>
    </row>
    <row r="8451" spans="1:7" hidden="1" x14ac:dyDescent="0.75">
      <c r="A8451" s="51">
        <v>44946</v>
      </c>
      <c r="B8451" s="52">
        <v>1362</v>
      </c>
      <c r="C8451" s="8" t="s">
        <v>3366</v>
      </c>
      <c r="D8451" s="8" t="s">
        <v>788</v>
      </c>
      <c r="E8451" s="52">
        <v>1434</v>
      </c>
      <c r="F8451" s="13"/>
      <c r="G8451" s="13">
        <v>236.8</v>
      </c>
    </row>
    <row r="8452" spans="1:7" hidden="1" x14ac:dyDescent="0.75">
      <c r="A8452" s="51">
        <v>44946</v>
      </c>
      <c r="B8452" s="52">
        <v>1362</v>
      </c>
      <c r="C8452" s="8" t="s">
        <v>3367</v>
      </c>
      <c r="D8452" s="8" t="s">
        <v>788</v>
      </c>
      <c r="E8452" s="52">
        <v>1434</v>
      </c>
      <c r="F8452" s="13"/>
      <c r="G8452" s="13">
        <v>107.1</v>
      </c>
    </row>
    <row r="8453" spans="1:7" hidden="1" x14ac:dyDescent="0.75">
      <c r="A8453" s="51">
        <v>44946</v>
      </c>
      <c r="B8453" s="52">
        <v>1362</v>
      </c>
      <c r="C8453" s="8" t="s">
        <v>3368</v>
      </c>
      <c r="D8453" s="8" t="s">
        <v>788</v>
      </c>
      <c r="E8453" s="52">
        <v>1434</v>
      </c>
      <c r="F8453" s="13"/>
      <c r="G8453" s="13">
        <v>90.6</v>
      </c>
    </row>
    <row r="8454" spans="1:7" hidden="1" x14ac:dyDescent="0.75">
      <c r="A8454" s="51">
        <v>44946</v>
      </c>
      <c r="B8454" s="52">
        <v>1362</v>
      </c>
      <c r="C8454" s="8" t="s">
        <v>3369</v>
      </c>
      <c r="D8454" s="8" t="s">
        <v>788</v>
      </c>
      <c r="E8454" s="52">
        <v>1434</v>
      </c>
      <c r="F8454" s="13"/>
      <c r="G8454" s="13">
        <v>164</v>
      </c>
    </row>
    <row r="8455" spans="1:7" hidden="1" x14ac:dyDescent="0.75">
      <c r="A8455" s="51">
        <v>44946</v>
      </c>
      <c r="B8455" s="52">
        <v>1362</v>
      </c>
      <c r="C8455" s="8" t="s">
        <v>3370</v>
      </c>
      <c r="D8455" s="8" t="s">
        <v>788</v>
      </c>
      <c r="E8455" s="52">
        <v>1434</v>
      </c>
      <c r="F8455" s="13"/>
      <c r="G8455" s="13">
        <v>58.3</v>
      </c>
    </row>
    <row r="8456" spans="1:7" hidden="1" x14ac:dyDescent="0.75">
      <c r="A8456" s="51">
        <v>44946</v>
      </c>
      <c r="B8456" s="52">
        <v>1362</v>
      </c>
      <c r="C8456" s="8" t="s">
        <v>3371</v>
      </c>
      <c r="D8456" s="8" t="s">
        <v>788</v>
      </c>
      <c r="E8456" s="52">
        <v>1434</v>
      </c>
      <c r="F8456" s="13"/>
      <c r="G8456" s="13">
        <v>59.1</v>
      </c>
    </row>
    <row r="8457" spans="1:7" hidden="1" x14ac:dyDescent="0.75">
      <c r="A8457" s="51">
        <v>44946</v>
      </c>
      <c r="B8457" s="52">
        <v>1362</v>
      </c>
      <c r="C8457" s="8" t="s">
        <v>3372</v>
      </c>
      <c r="D8457" s="8" t="s">
        <v>788</v>
      </c>
      <c r="E8457" s="52">
        <v>1434</v>
      </c>
      <c r="F8457" s="13"/>
      <c r="G8457" s="13">
        <v>62.3</v>
      </c>
    </row>
    <row r="8458" spans="1:7" hidden="1" x14ac:dyDescent="0.75">
      <c r="A8458" s="51">
        <v>44946</v>
      </c>
      <c r="B8458" s="52">
        <v>1362</v>
      </c>
      <c r="C8458" s="8" t="s">
        <v>3373</v>
      </c>
      <c r="D8458" s="8" t="s">
        <v>788</v>
      </c>
      <c r="E8458" s="52">
        <v>1434</v>
      </c>
      <c r="F8458" s="13"/>
      <c r="G8458" s="13">
        <v>190.2</v>
      </c>
    </row>
    <row r="8459" spans="1:7" hidden="1" x14ac:dyDescent="0.75">
      <c r="A8459" s="51">
        <v>44946</v>
      </c>
      <c r="B8459" s="52">
        <v>1362</v>
      </c>
      <c r="C8459" s="8" t="s">
        <v>3374</v>
      </c>
      <c r="D8459" s="8" t="s">
        <v>788</v>
      </c>
      <c r="E8459" s="52">
        <v>1434</v>
      </c>
      <c r="F8459" s="13"/>
      <c r="G8459" s="13">
        <v>133.9</v>
      </c>
    </row>
    <row r="8460" spans="1:7" hidden="1" x14ac:dyDescent="0.75">
      <c r="A8460" s="51">
        <v>44946</v>
      </c>
      <c r="B8460" s="52">
        <v>1362</v>
      </c>
      <c r="C8460" s="8" t="s">
        <v>3375</v>
      </c>
      <c r="D8460" s="8" t="s">
        <v>788</v>
      </c>
      <c r="E8460" s="52">
        <v>1434</v>
      </c>
      <c r="F8460" s="13"/>
      <c r="G8460" s="13">
        <v>490</v>
      </c>
    </row>
    <row r="8461" spans="1:7" hidden="1" x14ac:dyDescent="0.75">
      <c r="A8461" s="51">
        <v>44946</v>
      </c>
      <c r="B8461" s="52">
        <v>1362</v>
      </c>
      <c r="C8461" s="8" t="s">
        <v>3376</v>
      </c>
      <c r="D8461" s="8" t="s">
        <v>788</v>
      </c>
      <c r="E8461" s="52">
        <v>1434</v>
      </c>
      <c r="F8461" s="13"/>
      <c r="G8461" s="13">
        <v>176</v>
      </c>
    </row>
    <row r="8462" spans="1:7" hidden="1" x14ac:dyDescent="0.75">
      <c r="A8462" s="51">
        <v>44946</v>
      </c>
      <c r="B8462" s="52">
        <v>1362</v>
      </c>
      <c r="C8462" s="8" t="s">
        <v>3377</v>
      </c>
      <c r="D8462" s="8" t="s">
        <v>788</v>
      </c>
      <c r="E8462" s="52">
        <v>1434</v>
      </c>
      <c r="F8462" s="13"/>
      <c r="G8462" s="13">
        <v>20</v>
      </c>
    </row>
    <row r="8463" spans="1:7" hidden="1" x14ac:dyDescent="0.75">
      <c r="A8463" s="51">
        <v>44946</v>
      </c>
      <c r="B8463" s="52">
        <v>1362</v>
      </c>
      <c r="C8463" s="8" t="s">
        <v>3378</v>
      </c>
      <c r="D8463" s="8" t="s">
        <v>788</v>
      </c>
      <c r="E8463" s="52">
        <v>1434</v>
      </c>
      <c r="F8463" s="13"/>
      <c r="G8463" s="13">
        <v>272</v>
      </c>
    </row>
    <row r="8464" spans="1:7" hidden="1" x14ac:dyDescent="0.75">
      <c r="A8464" s="51">
        <v>44946</v>
      </c>
      <c r="B8464" s="52">
        <v>1362</v>
      </c>
      <c r="C8464" s="8" t="s">
        <v>3379</v>
      </c>
      <c r="D8464" s="8" t="s">
        <v>788</v>
      </c>
      <c r="E8464" s="52">
        <v>1434</v>
      </c>
      <c r="F8464" s="13"/>
      <c r="G8464" s="13">
        <v>490</v>
      </c>
    </row>
    <row r="8465" spans="1:7" hidden="1" x14ac:dyDescent="0.75">
      <c r="A8465" s="51">
        <v>44946</v>
      </c>
      <c r="B8465" s="52">
        <v>1362</v>
      </c>
      <c r="C8465" s="8" t="s">
        <v>4648</v>
      </c>
      <c r="D8465" s="8" t="s">
        <v>788</v>
      </c>
      <c r="E8465" s="52">
        <v>1292</v>
      </c>
      <c r="F8465" s="13"/>
      <c r="G8465" s="13">
        <v>130.12</v>
      </c>
    </row>
    <row r="8466" spans="1:7" hidden="1" x14ac:dyDescent="0.75">
      <c r="A8466" s="51">
        <v>44946</v>
      </c>
      <c r="B8466" s="52">
        <v>1362</v>
      </c>
      <c r="C8466" s="8" t="s">
        <v>4649</v>
      </c>
      <c r="D8466" s="8" t="s">
        <v>788</v>
      </c>
      <c r="E8466" s="52">
        <v>1292</v>
      </c>
      <c r="F8466" s="13"/>
      <c r="G8466" s="13">
        <v>65.06</v>
      </c>
    </row>
    <row r="8467" spans="1:7" hidden="1" x14ac:dyDescent="0.75">
      <c r="A8467" s="51">
        <v>44946</v>
      </c>
      <c r="B8467" s="52">
        <v>1362</v>
      </c>
      <c r="C8467" s="8" t="s">
        <v>4650</v>
      </c>
      <c r="D8467" s="8" t="s">
        <v>788</v>
      </c>
      <c r="E8467" s="52">
        <v>1292</v>
      </c>
      <c r="F8467" s="13"/>
      <c r="G8467" s="13">
        <v>32.53</v>
      </c>
    </row>
    <row r="8468" spans="1:7" hidden="1" x14ac:dyDescent="0.75">
      <c r="A8468" s="51">
        <v>44946</v>
      </c>
      <c r="B8468" s="52">
        <v>1362</v>
      </c>
      <c r="C8468" s="8" t="s">
        <v>4651</v>
      </c>
      <c r="D8468" s="8" t="s">
        <v>788</v>
      </c>
      <c r="E8468" s="52">
        <v>1292</v>
      </c>
      <c r="F8468" s="13"/>
      <c r="G8468" s="13">
        <v>192.39</v>
      </c>
    </row>
    <row r="8469" spans="1:7" hidden="1" x14ac:dyDescent="0.75">
      <c r="A8469" s="51">
        <v>44946</v>
      </c>
      <c r="B8469" s="52">
        <v>1362</v>
      </c>
      <c r="C8469" s="8" t="s">
        <v>4652</v>
      </c>
      <c r="D8469" s="8" t="s">
        <v>788</v>
      </c>
      <c r="E8469" s="52">
        <v>1292</v>
      </c>
      <c r="F8469" s="13"/>
      <c r="G8469" s="13">
        <v>32.53</v>
      </c>
    </row>
    <row r="8470" spans="1:7" hidden="1" x14ac:dyDescent="0.75">
      <c r="A8470" s="51">
        <v>44946</v>
      </c>
      <c r="B8470" s="52">
        <v>1362</v>
      </c>
      <c r="C8470" s="8" t="s">
        <v>4653</v>
      </c>
      <c r="D8470" s="8" t="s">
        <v>788</v>
      </c>
      <c r="E8470" s="52">
        <v>1292</v>
      </c>
      <c r="F8470" s="13"/>
      <c r="G8470" s="13">
        <v>32.53</v>
      </c>
    </row>
    <row r="8471" spans="1:7" hidden="1" x14ac:dyDescent="0.75">
      <c r="A8471" s="51">
        <v>44946</v>
      </c>
      <c r="B8471" s="52">
        <v>1362</v>
      </c>
      <c r="C8471" s="8" t="s">
        <v>4654</v>
      </c>
      <c r="D8471" s="8" t="s">
        <v>788</v>
      </c>
      <c r="E8471" s="52">
        <v>1292</v>
      </c>
      <c r="F8471" s="13"/>
      <c r="G8471" s="13">
        <v>65.06</v>
      </c>
    </row>
    <row r="8472" spans="1:7" hidden="1" x14ac:dyDescent="0.75">
      <c r="A8472" s="51">
        <v>44946</v>
      </c>
      <c r="B8472" s="52">
        <v>1362</v>
      </c>
      <c r="C8472" s="8" t="s">
        <v>4655</v>
      </c>
      <c r="D8472" s="8" t="s">
        <v>788</v>
      </c>
      <c r="E8472" s="52">
        <v>1292</v>
      </c>
      <c r="F8472" s="13"/>
      <c r="G8472" s="13">
        <v>65.06</v>
      </c>
    </row>
    <row r="8473" spans="1:7" hidden="1" x14ac:dyDescent="0.75">
      <c r="A8473" s="51">
        <v>44946</v>
      </c>
      <c r="B8473" s="52">
        <v>1362</v>
      </c>
      <c r="C8473" s="8" t="s">
        <v>4656</v>
      </c>
      <c r="D8473" s="8" t="s">
        <v>788</v>
      </c>
      <c r="E8473" s="52">
        <v>1292</v>
      </c>
      <c r="F8473" s="13"/>
      <c r="G8473" s="13">
        <v>32.53</v>
      </c>
    </row>
    <row r="8474" spans="1:7" hidden="1" x14ac:dyDescent="0.75">
      <c r="A8474" s="51">
        <v>44946</v>
      </c>
      <c r="B8474" s="52">
        <v>1362</v>
      </c>
      <c r="C8474" s="8" t="s">
        <v>3156</v>
      </c>
      <c r="D8474" s="8" t="s">
        <v>788</v>
      </c>
      <c r="E8474" s="52">
        <v>1427</v>
      </c>
      <c r="F8474" s="13"/>
      <c r="G8474" s="13">
        <v>6913.35</v>
      </c>
    </row>
    <row r="8475" spans="1:7" hidden="1" x14ac:dyDescent="0.75">
      <c r="A8475" s="51">
        <v>44951</v>
      </c>
      <c r="B8475" s="52">
        <v>1362</v>
      </c>
      <c r="C8475" s="8" t="s">
        <v>2686</v>
      </c>
      <c r="D8475" s="8" t="s">
        <v>788</v>
      </c>
      <c r="E8475" s="52">
        <v>883</v>
      </c>
      <c r="F8475" s="13">
        <v>4281.3</v>
      </c>
      <c r="G8475" s="13"/>
    </row>
    <row r="8476" spans="1:7" hidden="1" x14ac:dyDescent="0.75">
      <c r="A8476" s="51">
        <v>44951</v>
      </c>
      <c r="B8476" s="52">
        <v>1362</v>
      </c>
      <c r="C8476" s="8" t="s">
        <v>2757</v>
      </c>
      <c r="D8476" s="8" t="s">
        <v>788</v>
      </c>
      <c r="E8476" s="52">
        <v>884</v>
      </c>
      <c r="F8476" s="13">
        <v>4089.2</v>
      </c>
      <c r="G8476" s="13"/>
    </row>
    <row r="8477" spans="1:7" hidden="1" x14ac:dyDescent="0.75">
      <c r="A8477" s="51">
        <v>44951</v>
      </c>
      <c r="B8477" s="52">
        <v>1362</v>
      </c>
      <c r="C8477" s="8" t="s">
        <v>2803</v>
      </c>
      <c r="D8477" s="8" t="s">
        <v>788</v>
      </c>
      <c r="E8477" s="52">
        <v>1025</v>
      </c>
      <c r="F8477" s="13">
        <v>479.5</v>
      </c>
      <c r="G8477" s="13"/>
    </row>
    <row r="8478" spans="1:7" hidden="1" x14ac:dyDescent="0.75">
      <c r="A8478" s="51">
        <v>44951</v>
      </c>
      <c r="B8478" s="52">
        <v>1362</v>
      </c>
      <c r="C8478" s="8" t="s">
        <v>2729</v>
      </c>
      <c r="D8478" s="8" t="s">
        <v>788</v>
      </c>
      <c r="E8478" s="52">
        <v>882</v>
      </c>
      <c r="F8478" s="13">
        <v>256.7</v>
      </c>
      <c r="G8478" s="13"/>
    </row>
    <row r="8479" spans="1:7" hidden="1" x14ac:dyDescent="0.75">
      <c r="A8479" s="51">
        <v>44951</v>
      </c>
      <c r="B8479" s="52">
        <v>1362</v>
      </c>
      <c r="C8479" s="8" t="s">
        <v>2686</v>
      </c>
      <c r="D8479" s="8" t="s">
        <v>788</v>
      </c>
      <c r="E8479" s="52">
        <v>883</v>
      </c>
      <c r="F8479" s="13">
        <v>786</v>
      </c>
      <c r="G8479" s="13"/>
    </row>
    <row r="8480" spans="1:7" hidden="1" x14ac:dyDescent="0.75">
      <c r="A8480" s="51">
        <v>44951</v>
      </c>
      <c r="B8480" s="52">
        <v>1362</v>
      </c>
      <c r="C8480" s="8" t="s">
        <v>2757</v>
      </c>
      <c r="D8480" s="8" t="s">
        <v>788</v>
      </c>
      <c r="E8480" s="52">
        <v>884</v>
      </c>
      <c r="F8480" s="13">
        <v>982.5</v>
      </c>
      <c r="G8480" s="13"/>
    </row>
    <row r="8481" spans="1:7" hidden="1" x14ac:dyDescent="0.75">
      <c r="A8481" s="51">
        <v>44951</v>
      </c>
      <c r="B8481" s="52">
        <v>1362</v>
      </c>
      <c r="C8481" s="8" t="s">
        <v>2803</v>
      </c>
      <c r="D8481" s="8" t="s">
        <v>788</v>
      </c>
      <c r="E8481" s="52">
        <v>1025</v>
      </c>
      <c r="F8481" s="13">
        <v>3121.6</v>
      </c>
      <c r="G8481" s="13"/>
    </row>
    <row r="8482" spans="1:7" hidden="1" x14ac:dyDescent="0.75">
      <c r="A8482" s="51">
        <v>44951</v>
      </c>
      <c r="B8482" s="52">
        <v>1362</v>
      </c>
      <c r="C8482" s="8" t="s">
        <v>2711</v>
      </c>
      <c r="D8482" s="8" t="s">
        <v>788</v>
      </c>
      <c r="E8482" s="52">
        <v>885</v>
      </c>
      <c r="F8482" s="13">
        <v>1165.0999999999999</v>
      </c>
      <c r="G8482" s="13"/>
    </row>
    <row r="8483" spans="1:7" hidden="1" x14ac:dyDescent="0.75">
      <c r="A8483" s="51">
        <v>44951</v>
      </c>
      <c r="B8483" s="52">
        <v>1362</v>
      </c>
      <c r="C8483" s="8" t="s">
        <v>2803</v>
      </c>
      <c r="D8483" s="8" t="s">
        <v>788</v>
      </c>
      <c r="E8483" s="52">
        <v>1025</v>
      </c>
      <c r="F8483" s="13">
        <v>2542.6</v>
      </c>
      <c r="G8483" s="13"/>
    </row>
    <row r="8484" spans="1:7" hidden="1" x14ac:dyDescent="0.75">
      <c r="A8484" s="51">
        <v>44951</v>
      </c>
      <c r="B8484" s="52">
        <v>1362</v>
      </c>
      <c r="C8484" s="8" t="s">
        <v>2757</v>
      </c>
      <c r="D8484" s="8" t="s">
        <v>788</v>
      </c>
      <c r="E8484" s="52">
        <v>884</v>
      </c>
      <c r="F8484" s="13">
        <v>3346.7</v>
      </c>
      <c r="G8484" s="13"/>
    </row>
    <row r="8485" spans="1:7" hidden="1" x14ac:dyDescent="0.75">
      <c r="A8485" s="51">
        <v>44951</v>
      </c>
      <c r="B8485" s="52">
        <v>1362</v>
      </c>
      <c r="C8485" s="8" t="s">
        <v>2686</v>
      </c>
      <c r="D8485" s="8" t="s">
        <v>788</v>
      </c>
      <c r="E8485" s="52">
        <v>883</v>
      </c>
      <c r="F8485" s="13">
        <v>4452.1000000000004</v>
      </c>
      <c r="G8485" s="13"/>
    </row>
    <row r="8486" spans="1:7" hidden="1" x14ac:dyDescent="0.75">
      <c r="A8486" s="51">
        <v>44951</v>
      </c>
      <c r="B8486" s="52">
        <v>1362</v>
      </c>
      <c r="C8486" s="8" t="s">
        <v>2711</v>
      </c>
      <c r="D8486" s="8" t="s">
        <v>788</v>
      </c>
      <c r="E8486" s="52">
        <v>885</v>
      </c>
      <c r="F8486" s="13">
        <v>1153.4000000000001</v>
      </c>
      <c r="G8486" s="13"/>
    </row>
    <row r="8487" spans="1:7" hidden="1" x14ac:dyDescent="0.75">
      <c r="A8487" s="51">
        <v>44951</v>
      </c>
      <c r="B8487" s="52">
        <v>1362</v>
      </c>
      <c r="C8487" s="8" t="s">
        <v>2803</v>
      </c>
      <c r="D8487" s="8" t="s">
        <v>788</v>
      </c>
      <c r="E8487" s="52">
        <v>1025</v>
      </c>
      <c r="F8487" s="13">
        <v>479.5</v>
      </c>
      <c r="G8487" s="13"/>
    </row>
    <row r="8488" spans="1:7" hidden="1" x14ac:dyDescent="0.75">
      <c r="A8488" s="51">
        <v>44951</v>
      </c>
      <c r="B8488" s="52">
        <v>1362</v>
      </c>
      <c r="C8488" s="8" t="s">
        <v>2686</v>
      </c>
      <c r="D8488" s="8" t="s">
        <v>788</v>
      </c>
      <c r="E8488" s="52">
        <v>883</v>
      </c>
      <c r="F8488" s="13">
        <v>731</v>
      </c>
      <c r="G8488" s="13"/>
    </row>
    <row r="8489" spans="1:7" hidden="1" x14ac:dyDescent="0.75">
      <c r="A8489" s="51">
        <v>44951</v>
      </c>
      <c r="B8489" s="52">
        <v>1362</v>
      </c>
      <c r="C8489" s="8" t="s">
        <v>2757</v>
      </c>
      <c r="D8489" s="8" t="s">
        <v>788</v>
      </c>
      <c r="E8489" s="52">
        <v>884</v>
      </c>
      <c r="F8489" s="13">
        <v>809.5</v>
      </c>
      <c r="G8489" s="13"/>
    </row>
    <row r="8490" spans="1:7" hidden="1" x14ac:dyDescent="0.75">
      <c r="A8490" s="51">
        <v>44951</v>
      </c>
      <c r="B8490" s="52">
        <v>1362</v>
      </c>
      <c r="C8490" s="8" t="s">
        <v>2729</v>
      </c>
      <c r="D8490" s="8" t="s">
        <v>788</v>
      </c>
      <c r="E8490" s="52">
        <v>882</v>
      </c>
      <c r="F8490" s="13">
        <v>241.5</v>
      </c>
      <c r="G8490" s="13"/>
    </row>
    <row r="8491" spans="1:7" hidden="1" x14ac:dyDescent="0.75">
      <c r="A8491" s="51">
        <v>44951</v>
      </c>
      <c r="B8491" s="52">
        <v>1362</v>
      </c>
      <c r="C8491" s="8" t="s">
        <v>2686</v>
      </c>
      <c r="D8491" s="8" t="s">
        <v>788</v>
      </c>
      <c r="E8491" s="52">
        <v>883</v>
      </c>
      <c r="F8491" s="13">
        <v>4764.6000000000004</v>
      </c>
      <c r="G8491" s="13"/>
    </row>
    <row r="8492" spans="1:7" hidden="1" x14ac:dyDescent="0.75">
      <c r="A8492" s="51">
        <v>44951</v>
      </c>
      <c r="B8492" s="52">
        <v>1362</v>
      </c>
      <c r="C8492" s="8" t="s">
        <v>2686</v>
      </c>
      <c r="D8492" s="8" t="s">
        <v>788</v>
      </c>
      <c r="E8492" s="52">
        <v>883</v>
      </c>
      <c r="F8492" s="13">
        <v>731</v>
      </c>
      <c r="G8492" s="13"/>
    </row>
    <row r="8493" spans="1:7" hidden="1" x14ac:dyDescent="0.75">
      <c r="A8493" s="51">
        <v>44951</v>
      </c>
      <c r="B8493" s="52">
        <v>1362</v>
      </c>
      <c r="C8493" s="8" t="s">
        <v>2711</v>
      </c>
      <c r="D8493" s="8" t="s">
        <v>788</v>
      </c>
      <c r="E8493" s="52">
        <v>885</v>
      </c>
      <c r="F8493" s="13">
        <v>989.2</v>
      </c>
      <c r="G8493" s="13"/>
    </row>
    <row r="8494" spans="1:7" hidden="1" x14ac:dyDescent="0.75">
      <c r="A8494" s="51">
        <v>44951</v>
      </c>
      <c r="B8494" s="52">
        <v>1362</v>
      </c>
      <c r="C8494" s="8" t="s">
        <v>2729</v>
      </c>
      <c r="D8494" s="8" t="s">
        <v>788</v>
      </c>
      <c r="E8494" s="52">
        <v>882</v>
      </c>
      <c r="F8494" s="13">
        <v>243.7</v>
      </c>
      <c r="G8494" s="13"/>
    </row>
    <row r="8495" spans="1:7" hidden="1" x14ac:dyDescent="0.75">
      <c r="A8495" s="51">
        <v>44951</v>
      </c>
      <c r="B8495" s="52">
        <v>1362</v>
      </c>
      <c r="C8495" s="8" t="s">
        <v>2757</v>
      </c>
      <c r="D8495" s="8" t="s">
        <v>788</v>
      </c>
      <c r="E8495" s="52">
        <v>884</v>
      </c>
      <c r="F8495" s="13">
        <v>3098.3</v>
      </c>
      <c r="G8495" s="13"/>
    </row>
    <row r="8496" spans="1:7" hidden="1" x14ac:dyDescent="0.75">
      <c r="A8496" s="51">
        <v>44951</v>
      </c>
      <c r="B8496" s="52">
        <v>1362</v>
      </c>
      <c r="C8496" s="8" t="s">
        <v>2757</v>
      </c>
      <c r="D8496" s="8" t="s">
        <v>788</v>
      </c>
      <c r="E8496" s="52">
        <v>884</v>
      </c>
      <c r="F8496" s="13">
        <v>982.5</v>
      </c>
      <c r="G8496" s="13"/>
    </row>
    <row r="8497" spans="1:7" hidden="1" x14ac:dyDescent="0.75">
      <c r="A8497" s="51">
        <v>44951</v>
      </c>
      <c r="B8497" s="52">
        <v>1362</v>
      </c>
      <c r="C8497" s="8" t="s">
        <v>2803</v>
      </c>
      <c r="D8497" s="8" t="s">
        <v>788</v>
      </c>
      <c r="E8497" s="52">
        <v>1025</v>
      </c>
      <c r="F8497" s="13">
        <v>2068.5</v>
      </c>
      <c r="G8497" s="13"/>
    </row>
    <row r="8498" spans="1:7" hidden="1" x14ac:dyDescent="0.75">
      <c r="A8498" s="51">
        <v>44951</v>
      </c>
      <c r="B8498" s="52">
        <v>1362</v>
      </c>
      <c r="C8498" s="8" t="s">
        <v>2803</v>
      </c>
      <c r="D8498" s="8" t="s">
        <v>788</v>
      </c>
      <c r="E8498" s="52">
        <v>1025</v>
      </c>
      <c r="F8498" s="13">
        <v>479.5</v>
      </c>
      <c r="G8498" s="13"/>
    </row>
    <row r="8499" spans="1:7" hidden="1" x14ac:dyDescent="0.75">
      <c r="A8499" s="51">
        <v>44951</v>
      </c>
      <c r="B8499" s="52">
        <v>1362</v>
      </c>
      <c r="C8499" s="8" t="s">
        <v>2757</v>
      </c>
      <c r="D8499" s="8" t="s">
        <v>788</v>
      </c>
      <c r="E8499" s="52">
        <v>884</v>
      </c>
      <c r="F8499" s="13">
        <v>1155.5</v>
      </c>
      <c r="G8499" s="13"/>
    </row>
    <row r="8500" spans="1:7" hidden="1" x14ac:dyDescent="0.75">
      <c r="A8500" s="51">
        <v>44951</v>
      </c>
      <c r="B8500" s="52">
        <v>1362</v>
      </c>
      <c r="C8500" s="8" t="s">
        <v>2686</v>
      </c>
      <c r="D8500" s="8" t="s">
        <v>788</v>
      </c>
      <c r="E8500" s="52">
        <v>883</v>
      </c>
      <c r="F8500" s="13">
        <v>896</v>
      </c>
      <c r="G8500" s="13"/>
    </row>
    <row r="8501" spans="1:7" hidden="1" x14ac:dyDescent="0.75">
      <c r="A8501" s="51">
        <v>44951</v>
      </c>
      <c r="B8501" s="52">
        <v>1362</v>
      </c>
      <c r="C8501" s="8" t="s">
        <v>2803</v>
      </c>
      <c r="D8501" s="8" t="s">
        <v>788</v>
      </c>
      <c r="E8501" s="52">
        <v>1025</v>
      </c>
      <c r="F8501" s="13">
        <v>3165.5</v>
      </c>
      <c r="G8501" s="13"/>
    </row>
    <row r="8502" spans="1:7" hidden="1" x14ac:dyDescent="0.75">
      <c r="A8502" s="51">
        <v>44951</v>
      </c>
      <c r="B8502" s="52">
        <v>1362</v>
      </c>
      <c r="C8502" s="8" t="s">
        <v>2803</v>
      </c>
      <c r="D8502" s="8" t="s">
        <v>788</v>
      </c>
      <c r="E8502" s="52">
        <v>1025</v>
      </c>
      <c r="F8502" s="13">
        <v>479.5</v>
      </c>
      <c r="G8502" s="13"/>
    </row>
    <row r="8503" spans="1:7" hidden="1" x14ac:dyDescent="0.75">
      <c r="A8503" s="51">
        <v>44951</v>
      </c>
      <c r="B8503" s="52">
        <v>1362</v>
      </c>
      <c r="C8503" s="8" t="s">
        <v>2757</v>
      </c>
      <c r="D8503" s="8" t="s">
        <v>788</v>
      </c>
      <c r="E8503" s="52">
        <v>884</v>
      </c>
      <c r="F8503" s="13">
        <v>4085.2</v>
      </c>
      <c r="G8503" s="13"/>
    </row>
    <row r="8504" spans="1:7" hidden="1" x14ac:dyDescent="0.75">
      <c r="A8504" s="51">
        <v>44951</v>
      </c>
      <c r="B8504" s="52">
        <v>1362</v>
      </c>
      <c r="C8504" s="8" t="s">
        <v>2729</v>
      </c>
      <c r="D8504" s="8" t="s">
        <v>788</v>
      </c>
      <c r="E8504" s="52">
        <v>882</v>
      </c>
      <c r="F8504" s="13">
        <v>252.7</v>
      </c>
      <c r="G8504" s="13"/>
    </row>
    <row r="8505" spans="1:7" hidden="1" x14ac:dyDescent="0.75">
      <c r="A8505" s="51">
        <v>44951</v>
      </c>
      <c r="B8505" s="52">
        <v>1362</v>
      </c>
      <c r="C8505" s="8" t="s">
        <v>2686</v>
      </c>
      <c r="D8505" s="8" t="s">
        <v>788</v>
      </c>
      <c r="E8505" s="52">
        <v>883</v>
      </c>
      <c r="F8505" s="13">
        <v>4696.8999999999996</v>
      </c>
      <c r="G8505" s="13"/>
    </row>
    <row r="8506" spans="1:7" hidden="1" x14ac:dyDescent="0.75">
      <c r="A8506" s="51">
        <v>44951</v>
      </c>
      <c r="B8506" s="52">
        <v>1362</v>
      </c>
      <c r="C8506" s="8" t="s">
        <v>3173</v>
      </c>
      <c r="D8506" s="8" t="s">
        <v>788</v>
      </c>
      <c r="E8506" s="52">
        <v>1398</v>
      </c>
      <c r="F8506" s="13">
        <v>100.58</v>
      </c>
      <c r="G8506" s="13"/>
    </row>
    <row r="8507" spans="1:7" hidden="1" x14ac:dyDescent="0.75">
      <c r="A8507" s="51">
        <v>44951</v>
      </c>
      <c r="B8507" s="52">
        <v>1362</v>
      </c>
      <c r="C8507" s="8" t="s">
        <v>3174</v>
      </c>
      <c r="D8507" s="8" t="s">
        <v>788</v>
      </c>
      <c r="E8507" s="52">
        <v>1398</v>
      </c>
      <c r="F8507" s="13">
        <v>17.41</v>
      </c>
      <c r="G8507" s="13"/>
    </row>
    <row r="8508" spans="1:7" hidden="1" x14ac:dyDescent="0.75">
      <c r="A8508" s="51">
        <v>44951</v>
      </c>
      <c r="B8508" s="52">
        <v>1362</v>
      </c>
      <c r="C8508" s="8" t="s">
        <v>3175</v>
      </c>
      <c r="D8508" s="8" t="s">
        <v>788</v>
      </c>
      <c r="E8508" s="52">
        <v>1398</v>
      </c>
      <c r="F8508" s="13">
        <v>13.77</v>
      </c>
      <c r="G8508" s="13"/>
    </row>
    <row r="8509" spans="1:7" hidden="1" x14ac:dyDescent="0.75">
      <c r="A8509" s="51">
        <v>44951</v>
      </c>
      <c r="B8509" s="52">
        <v>1362</v>
      </c>
      <c r="C8509" s="8" t="s">
        <v>3176</v>
      </c>
      <c r="D8509" s="8" t="s">
        <v>788</v>
      </c>
      <c r="E8509" s="52">
        <v>1398</v>
      </c>
      <c r="F8509" s="13">
        <v>48.5</v>
      </c>
      <c r="G8509" s="13"/>
    </row>
    <row r="8510" spans="1:7" hidden="1" x14ac:dyDescent="0.75">
      <c r="A8510" s="51">
        <v>44951</v>
      </c>
      <c r="B8510" s="52">
        <v>1362</v>
      </c>
      <c r="C8510" s="8" t="s">
        <v>3177</v>
      </c>
      <c r="D8510" s="8" t="s">
        <v>788</v>
      </c>
      <c r="E8510" s="52">
        <v>1398</v>
      </c>
      <c r="F8510" s="13">
        <v>21.35</v>
      </c>
      <c r="G8510" s="13"/>
    </row>
    <row r="8511" spans="1:7" hidden="1" x14ac:dyDescent="0.75">
      <c r="A8511" s="51">
        <v>44951</v>
      </c>
      <c r="B8511" s="52">
        <v>1362</v>
      </c>
      <c r="C8511" s="8" t="s">
        <v>2876</v>
      </c>
      <c r="D8511" s="8" t="s">
        <v>788</v>
      </c>
      <c r="E8511" s="52">
        <v>1508</v>
      </c>
      <c r="F8511" s="13">
        <v>1588.7</v>
      </c>
      <c r="G8511" s="13"/>
    </row>
    <row r="8512" spans="1:7" hidden="1" x14ac:dyDescent="0.75">
      <c r="A8512" s="51">
        <v>44951</v>
      </c>
      <c r="B8512" s="52">
        <v>1362</v>
      </c>
      <c r="C8512" s="8" t="s">
        <v>2876</v>
      </c>
      <c r="D8512" s="8" t="s">
        <v>788</v>
      </c>
      <c r="E8512" s="52">
        <v>1508</v>
      </c>
      <c r="F8512" s="13">
        <v>3340.4</v>
      </c>
      <c r="G8512" s="13"/>
    </row>
    <row r="8513" spans="1:7" hidden="1" x14ac:dyDescent="0.75">
      <c r="A8513" s="51">
        <v>44951</v>
      </c>
      <c r="B8513" s="52">
        <v>1362</v>
      </c>
      <c r="C8513" s="8" t="s">
        <v>2876</v>
      </c>
      <c r="D8513" s="8" t="s">
        <v>788</v>
      </c>
      <c r="E8513" s="52">
        <v>1508</v>
      </c>
      <c r="F8513" s="13">
        <v>4071.6</v>
      </c>
      <c r="G8513" s="13"/>
    </row>
    <row r="8514" spans="1:7" hidden="1" x14ac:dyDescent="0.75">
      <c r="A8514" s="51">
        <v>44951</v>
      </c>
      <c r="B8514" s="52">
        <v>1362</v>
      </c>
      <c r="C8514" s="8" t="s">
        <v>2876</v>
      </c>
      <c r="D8514" s="8" t="s">
        <v>788</v>
      </c>
      <c r="E8514" s="52">
        <v>1508</v>
      </c>
      <c r="F8514" s="13">
        <v>4036.1</v>
      </c>
      <c r="G8514" s="13"/>
    </row>
    <row r="8515" spans="1:7" hidden="1" x14ac:dyDescent="0.75">
      <c r="A8515" s="51">
        <v>44951</v>
      </c>
      <c r="B8515" s="52">
        <v>1362</v>
      </c>
      <c r="C8515" s="8" t="s">
        <v>2941</v>
      </c>
      <c r="D8515" s="8" t="s">
        <v>788</v>
      </c>
      <c r="E8515" s="52">
        <v>1508</v>
      </c>
      <c r="F8515" s="13">
        <v>1642.84</v>
      </c>
      <c r="G8515" s="13"/>
    </row>
    <row r="8516" spans="1:7" hidden="1" x14ac:dyDescent="0.75">
      <c r="A8516" s="51">
        <v>44951</v>
      </c>
      <c r="B8516" s="52">
        <v>1362</v>
      </c>
      <c r="C8516" s="8" t="s">
        <v>2942</v>
      </c>
      <c r="D8516" s="8" t="s">
        <v>788</v>
      </c>
      <c r="E8516" s="52">
        <v>1508</v>
      </c>
      <c r="F8516" s="13">
        <v>1156.53</v>
      </c>
      <c r="G8516" s="13"/>
    </row>
    <row r="8517" spans="1:7" hidden="1" x14ac:dyDescent="0.75">
      <c r="A8517" s="51">
        <v>44951</v>
      </c>
      <c r="B8517" s="52">
        <v>1362</v>
      </c>
      <c r="C8517" s="8" t="s">
        <v>2943</v>
      </c>
      <c r="D8517" s="8" t="s">
        <v>788</v>
      </c>
      <c r="E8517" s="52">
        <v>1508</v>
      </c>
      <c r="F8517" s="13">
        <v>1371.8</v>
      </c>
      <c r="G8517" s="13"/>
    </row>
    <row r="8518" spans="1:7" hidden="1" x14ac:dyDescent="0.75">
      <c r="A8518" s="51">
        <v>44951</v>
      </c>
      <c r="B8518" s="52">
        <v>1362</v>
      </c>
      <c r="C8518" s="8" t="s">
        <v>2944</v>
      </c>
      <c r="D8518" s="8" t="s">
        <v>788</v>
      </c>
      <c r="E8518" s="52">
        <v>1508</v>
      </c>
      <c r="F8518" s="13">
        <v>986.1</v>
      </c>
      <c r="G8518" s="13"/>
    </row>
    <row r="8519" spans="1:7" hidden="1" x14ac:dyDescent="0.75">
      <c r="A8519" s="51">
        <v>44951</v>
      </c>
      <c r="B8519" s="52">
        <v>1362</v>
      </c>
      <c r="C8519" s="8" t="s">
        <v>2945</v>
      </c>
      <c r="D8519" s="8" t="s">
        <v>788</v>
      </c>
      <c r="E8519" s="52">
        <v>1508</v>
      </c>
      <c r="F8519" s="13">
        <v>1535.4</v>
      </c>
      <c r="G8519" s="13"/>
    </row>
    <row r="8520" spans="1:7" hidden="1" x14ac:dyDescent="0.75">
      <c r="A8520" s="51">
        <v>44951</v>
      </c>
      <c r="B8520" s="52">
        <v>1362</v>
      </c>
      <c r="C8520" s="8" t="s">
        <v>2945</v>
      </c>
      <c r="D8520" s="8" t="s">
        <v>788</v>
      </c>
      <c r="E8520" s="52">
        <v>1508</v>
      </c>
      <c r="F8520" s="13">
        <v>1538.4</v>
      </c>
      <c r="G8520" s="13"/>
    </row>
    <row r="8521" spans="1:7" hidden="1" x14ac:dyDescent="0.75">
      <c r="A8521" s="51">
        <v>44951</v>
      </c>
      <c r="B8521" s="52">
        <v>1362</v>
      </c>
      <c r="C8521" s="8" t="s">
        <v>3195</v>
      </c>
      <c r="D8521" s="8" t="s">
        <v>788</v>
      </c>
      <c r="E8521" s="52">
        <v>1946</v>
      </c>
      <c r="F8521" s="13">
        <v>47.17</v>
      </c>
      <c r="G8521" s="13"/>
    </row>
    <row r="8522" spans="1:7" hidden="1" x14ac:dyDescent="0.75">
      <c r="A8522" s="51">
        <v>44951</v>
      </c>
      <c r="B8522" s="52">
        <v>1362</v>
      </c>
      <c r="C8522" s="8" t="s">
        <v>3196</v>
      </c>
      <c r="D8522" s="8" t="s">
        <v>788</v>
      </c>
      <c r="E8522" s="52">
        <v>1946</v>
      </c>
      <c r="F8522" s="13">
        <v>20.21</v>
      </c>
      <c r="G8522" s="13"/>
    </row>
    <row r="8523" spans="1:7" hidden="1" x14ac:dyDescent="0.75">
      <c r="A8523" s="51">
        <v>44951</v>
      </c>
      <c r="B8523" s="52">
        <v>1362</v>
      </c>
      <c r="C8523" s="8" t="s">
        <v>1481</v>
      </c>
      <c r="D8523" s="8" t="s">
        <v>788</v>
      </c>
      <c r="E8523" s="52">
        <v>8</v>
      </c>
      <c r="F8523" s="13"/>
      <c r="G8523" s="13">
        <v>47312.19</v>
      </c>
    </row>
    <row r="8524" spans="1:7" hidden="1" x14ac:dyDescent="0.75">
      <c r="A8524" s="51">
        <v>44951</v>
      </c>
      <c r="B8524" s="52">
        <v>1362</v>
      </c>
      <c r="C8524" s="8" t="s">
        <v>1481</v>
      </c>
      <c r="D8524" s="8" t="s">
        <v>788</v>
      </c>
      <c r="E8524" s="52">
        <v>8</v>
      </c>
      <c r="F8524" s="13"/>
      <c r="G8524" s="13">
        <v>19182.330000000002</v>
      </c>
    </row>
    <row r="8525" spans="1:7" hidden="1" x14ac:dyDescent="0.75">
      <c r="A8525" s="51">
        <v>44951</v>
      </c>
      <c r="B8525" s="52">
        <v>1362</v>
      </c>
      <c r="C8525" s="8" t="s">
        <v>4663</v>
      </c>
      <c r="D8525" s="8" t="s">
        <v>788</v>
      </c>
      <c r="E8525" s="52">
        <v>1292</v>
      </c>
      <c r="F8525" s="13"/>
      <c r="G8525" s="13">
        <v>65.06</v>
      </c>
    </row>
    <row r="8526" spans="1:7" hidden="1" x14ac:dyDescent="0.75">
      <c r="A8526" s="51">
        <v>44951</v>
      </c>
      <c r="B8526" s="52">
        <v>1362</v>
      </c>
      <c r="C8526" s="8" t="s">
        <v>3673</v>
      </c>
      <c r="D8526" s="8" t="s">
        <v>788</v>
      </c>
      <c r="E8526" s="52">
        <v>1429</v>
      </c>
      <c r="F8526" s="13"/>
      <c r="G8526" s="13">
        <v>323.3</v>
      </c>
    </row>
    <row r="8527" spans="1:7" hidden="1" x14ac:dyDescent="0.75">
      <c r="A8527" s="51">
        <v>44951</v>
      </c>
      <c r="B8527" s="52">
        <v>1362</v>
      </c>
      <c r="C8527" s="8" t="s">
        <v>3674</v>
      </c>
      <c r="D8527" s="8" t="s">
        <v>788</v>
      </c>
      <c r="E8527" s="52">
        <v>1429</v>
      </c>
      <c r="F8527" s="13"/>
      <c r="G8527" s="13">
        <v>38.5</v>
      </c>
    </row>
    <row r="8528" spans="1:7" hidden="1" x14ac:dyDescent="0.75">
      <c r="A8528" s="51">
        <v>44951</v>
      </c>
      <c r="B8528" s="52">
        <v>1362</v>
      </c>
      <c r="C8528" s="8" t="s">
        <v>3675</v>
      </c>
      <c r="D8528" s="8" t="s">
        <v>788</v>
      </c>
      <c r="E8528" s="52">
        <v>1429</v>
      </c>
      <c r="F8528" s="13"/>
      <c r="G8528" s="13">
        <v>49.5</v>
      </c>
    </row>
    <row r="8529" spans="1:7" hidden="1" x14ac:dyDescent="0.75">
      <c r="A8529" s="51">
        <v>44951</v>
      </c>
      <c r="B8529" s="52">
        <v>1362</v>
      </c>
      <c r="C8529" s="8" t="s">
        <v>3676</v>
      </c>
      <c r="D8529" s="8" t="s">
        <v>788</v>
      </c>
      <c r="E8529" s="52">
        <v>1429</v>
      </c>
      <c r="F8529" s="13"/>
      <c r="G8529" s="13">
        <v>26</v>
      </c>
    </row>
    <row r="8530" spans="1:7" hidden="1" x14ac:dyDescent="0.75">
      <c r="A8530" s="51">
        <v>44951</v>
      </c>
      <c r="B8530" s="52">
        <v>1362</v>
      </c>
      <c r="C8530" s="8" t="s">
        <v>3677</v>
      </c>
      <c r="D8530" s="8" t="s">
        <v>788</v>
      </c>
      <c r="E8530" s="52">
        <v>1429</v>
      </c>
      <c r="F8530" s="13"/>
      <c r="G8530" s="13">
        <v>174.2</v>
      </c>
    </row>
    <row r="8531" spans="1:7" hidden="1" x14ac:dyDescent="0.75">
      <c r="A8531" s="51">
        <v>44951</v>
      </c>
      <c r="B8531" s="52">
        <v>1362</v>
      </c>
      <c r="C8531" s="8" t="s">
        <v>3678</v>
      </c>
      <c r="D8531" s="8" t="s">
        <v>788</v>
      </c>
      <c r="E8531" s="52">
        <v>1429</v>
      </c>
      <c r="F8531" s="13"/>
      <c r="G8531" s="13">
        <v>77.5</v>
      </c>
    </row>
    <row r="8532" spans="1:7" hidden="1" x14ac:dyDescent="0.75">
      <c r="A8532" s="51">
        <v>44951</v>
      </c>
      <c r="B8532" s="52">
        <v>1362</v>
      </c>
      <c r="C8532" s="8" t="s">
        <v>3679</v>
      </c>
      <c r="D8532" s="8" t="s">
        <v>788</v>
      </c>
      <c r="E8532" s="52">
        <v>1429</v>
      </c>
      <c r="F8532" s="13"/>
      <c r="G8532" s="13">
        <v>10</v>
      </c>
    </row>
    <row r="8533" spans="1:7" hidden="1" x14ac:dyDescent="0.75">
      <c r="A8533" s="51">
        <v>44951</v>
      </c>
      <c r="B8533" s="52">
        <v>1362</v>
      </c>
      <c r="C8533" s="8" t="s">
        <v>3680</v>
      </c>
      <c r="D8533" s="8" t="s">
        <v>788</v>
      </c>
      <c r="E8533" s="52">
        <v>1429</v>
      </c>
      <c r="F8533" s="13"/>
      <c r="G8533" s="13">
        <v>81.2</v>
      </c>
    </row>
    <row r="8534" spans="1:7" hidden="1" x14ac:dyDescent="0.75">
      <c r="A8534" s="51">
        <v>44951</v>
      </c>
      <c r="B8534" s="52">
        <v>1362</v>
      </c>
      <c r="C8534" s="8" t="s">
        <v>3681</v>
      </c>
      <c r="D8534" s="8" t="s">
        <v>788</v>
      </c>
      <c r="E8534" s="52">
        <v>1429</v>
      </c>
      <c r="F8534" s="13"/>
      <c r="G8534" s="13">
        <v>8.65</v>
      </c>
    </row>
    <row r="8535" spans="1:7" hidden="1" x14ac:dyDescent="0.75">
      <c r="A8535" s="51">
        <v>44951</v>
      </c>
      <c r="B8535" s="52">
        <v>1362</v>
      </c>
      <c r="C8535" s="8" t="s">
        <v>3682</v>
      </c>
      <c r="D8535" s="8" t="s">
        <v>788</v>
      </c>
      <c r="E8535" s="52">
        <v>1429</v>
      </c>
      <c r="F8535" s="13"/>
      <c r="G8535" s="13">
        <v>71.5</v>
      </c>
    </row>
    <row r="8536" spans="1:7" hidden="1" x14ac:dyDescent="0.75">
      <c r="A8536" s="51">
        <v>44951</v>
      </c>
      <c r="B8536" s="52">
        <v>1362</v>
      </c>
      <c r="C8536" s="8" t="s">
        <v>3683</v>
      </c>
      <c r="D8536" s="8" t="s">
        <v>788</v>
      </c>
      <c r="E8536" s="52">
        <v>1429</v>
      </c>
      <c r="F8536" s="13"/>
      <c r="G8536" s="13">
        <v>46.8</v>
      </c>
    </row>
    <row r="8537" spans="1:7" hidden="1" x14ac:dyDescent="0.75">
      <c r="A8537" s="51">
        <v>44951</v>
      </c>
      <c r="B8537" s="52">
        <v>1362</v>
      </c>
      <c r="C8537" s="8" t="s">
        <v>3684</v>
      </c>
      <c r="D8537" s="8" t="s">
        <v>788</v>
      </c>
      <c r="E8537" s="52">
        <v>1429</v>
      </c>
      <c r="F8537" s="13"/>
      <c r="G8537" s="13">
        <v>44</v>
      </c>
    </row>
    <row r="8538" spans="1:7" hidden="1" x14ac:dyDescent="0.75">
      <c r="A8538" s="51">
        <v>44951</v>
      </c>
      <c r="B8538" s="52">
        <v>1362</v>
      </c>
      <c r="C8538" s="8" t="s">
        <v>3685</v>
      </c>
      <c r="D8538" s="8" t="s">
        <v>788</v>
      </c>
      <c r="E8538" s="52">
        <v>1429</v>
      </c>
      <c r="F8538" s="13"/>
      <c r="G8538" s="13">
        <v>286</v>
      </c>
    </row>
    <row r="8539" spans="1:7" hidden="1" x14ac:dyDescent="0.75">
      <c r="A8539" s="51">
        <v>44951</v>
      </c>
      <c r="B8539" s="52">
        <v>1362</v>
      </c>
      <c r="C8539" s="8" t="s">
        <v>3686</v>
      </c>
      <c r="D8539" s="8" t="s">
        <v>788</v>
      </c>
      <c r="E8539" s="52">
        <v>1429</v>
      </c>
      <c r="F8539" s="13"/>
      <c r="G8539" s="13">
        <v>3.75</v>
      </c>
    </row>
    <row r="8540" spans="1:7" hidden="1" x14ac:dyDescent="0.75">
      <c r="A8540" s="51">
        <v>44951</v>
      </c>
      <c r="B8540" s="52">
        <v>1362</v>
      </c>
      <c r="C8540" s="8" t="s">
        <v>3687</v>
      </c>
      <c r="D8540" s="8" t="s">
        <v>788</v>
      </c>
      <c r="E8540" s="52">
        <v>1429</v>
      </c>
      <c r="F8540" s="13"/>
      <c r="G8540" s="13">
        <v>8.8000000000000007</v>
      </c>
    </row>
    <row r="8541" spans="1:7" hidden="1" x14ac:dyDescent="0.75">
      <c r="A8541" s="51">
        <v>44951</v>
      </c>
      <c r="B8541" s="52">
        <v>1362</v>
      </c>
      <c r="C8541" s="8" t="s">
        <v>3688</v>
      </c>
      <c r="D8541" s="8" t="s">
        <v>788</v>
      </c>
      <c r="E8541" s="52">
        <v>1429</v>
      </c>
      <c r="F8541" s="13"/>
      <c r="G8541" s="13">
        <v>35</v>
      </c>
    </row>
    <row r="8542" spans="1:7" hidden="1" x14ac:dyDescent="0.75">
      <c r="A8542" s="51">
        <v>44951</v>
      </c>
      <c r="B8542" s="52">
        <v>1362</v>
      </c>
      <c r="C8542" s="8" t="s">
        <v>3689</v>
      </c>
      <c r="D8542" s="8" t="s">
        <v>788</v>
      </c>
      <c r="E8542" s="52">
        <v>1429</v>
      </c>
      <c r="F8542" s="13"/>
      <c r="G8542" s="13">
        <v>39.299999999999997</v>
      </c>
    </row>
    <row r="8543" spans="1:7" hidden="1" x14ac:dyDescent="0.75">
      <c r="A8543" s="51">
        <v>44951</v>
      </c>
      <c r="B8543" s="52">
        <v>1362</v>
      </c>
      <c r="C8543" s="8" t="s">
        <v>3690</v>
      </c>
      <c r="D8543" s="8" t="s">
        <v>788</v>
      </c>
      <c r="E8543" s="52">
        <v>1429</v>
      </c>
      <c r="F8543" s="13"/>
      <c r="G8543" s="13">
        <v>21.2</v>
      </c>
    </row>
    <row r="8544" spans="1:7" hidden="1" x14ac:dyDescent="0.75">
      <c r="A8544" s="51">
        <v>44951</v>
      </c>
      <c r="B8544" s="52">
        <v>1362</v>
      </c>
      <c r="C8544" s="8" t="s">
        <v>3168</v>
      </c>
      <c r="D8544" s="8" t="s">
        <v>788</v>
      </c>
      <c r="E8544" s="52">
        <v>1398</v>
      </c>
      <c r="F8544" s="13"/>
      <c r="G8544" s="13">
        <v>2782.41</v>
      </c>
    </row>
    <row r="8545" spans="1:7" hidden="1" x14ac:dyDescent="0.75">
      <c r="A8545" s="51">
        <v>44951</v>
      </c>
      <c r="B8545" s="52">
        <v>1362</v>
      </c>
      <c r="C8545" s="8" t="s">
        <v>3169</v>
      </c>
      <c r="D8545" s="8" t="s">
        <v>788</v>
      </c>
      <c r="E8545" s="52">
        <v>1398</v>
      </c>
      <c r="F8545" s="13"/>
      <c r="G8545" s="13">
        <v>1922.43</v>
      </c>
    </row>
    <row r="8546" spans="1:7" hidden="1" x14ac:dyDescent="0.75">
      <c r="A8546" s="51">
        <v>44951</v>
      </c>
      <c r="B8546" s="52">
        <v>1362</v>
      </c>
      <c r="C8546" s="8" t="s">
        <v>3170</v>
      </c>
      <c r="D8546" s="8" t="s">
        <v>788</v>
      </c>
      <c r="E8546" s="52">
        <v>1398</v>
      </c>
      <c r="F8546" s="13"/>
      <c r="G8546" s="13">
        <v>3201.26</v>
      </c>
    </row>
    <row r="8547" spans="1:7" hidden="1" x14ac:dyDescent="0.75">
      <c r="A8547" s="51">
        <v>44951</v>
      </c>
      <c r="B8547" s="52">
        <v>1362</v>
      </c>
      <c r="C8547" s="8" t="s">
        <v>3171</v>
      </c>
      <c r="D8547" s="8" t="s">
        <v>788</v>
      </c>
      <c r="E8547" s="52">
        <v>1398</v>
      </c>
      <c r="F8547" s="13"/>
      <c r="G8547" s="13">
        <v>496.16</v>
      </c>
    </row>
    <row r="8548" spans="1:7" hidden="1" x14ac:dyDescent="0.75">
      <c r="A8548" s="51">
        <v>44951</v>
      </c>
      <c r="B8548" s="52">
        <v>1362</v>
      </c>
      <c r="C8548" s="8" t="s">
        <v>3172</v>
      </c>
      <c r="D8548" s="8" t="s">
        <v>788</v>
      </c>
      <c r="E8548" s="52">
        <v>1398</v>
      </c>
      <c r="F8548" s="13"/>
      <c r="G8548" s="13">
        <v>148.76</v>
      </c>
    </row>
    <row r="8549" spans="1:7" hidden="1" x14ac:dyDescent="0.75">
      <c r="A8549" s="51">
        <v>44951</v>
      </c>
      <c r="B8549" s="52">
        <v>1362</v>
      </c>
      <c r="C8549" s="8" t="s">
        <v>3543</v>
      </c>
      <c r="D8549" s="8" t="s">
        <v>788</v>
      </c>
      <c r="E8549" s="52">
        <v>1523</v>
      </c>
      <c r="F8549" s="13"/>
      <c r="G8549" s="13">
        <v>9</v>
      </c>
    </row>
    <row r="8550" spans="1:7" hidden="1" x14ac:dyDescent="0.75">
      <c r="A8550" s="51">
        <v>44951</v>
      </c>
      <c r="B8550" s="52">
        <v>1362</v>
      </c>
      <c r="C8550" s="8" t="s">
        <v>3544</v>
      </c>
      <c r="D8550" s="8" t="s">
        <v>788</v>
      </c>
      <c r="E8550" s="52">
        <v>1523</v>
      </c>
      <c r="F8550" s="13"/>
      <c r="G8550" s="13">
        <v>368.8</v>
      </c>
    </row>
    <row r="8551" spans="1:7" hidden="1" x14ac:dyDescent="0.75">
      <c r="A8551" s="51">
        <v>44951</v>
      </c>
      <c r="B8551" s="52">
        <v>1362</v>
      </c>
      <c r="C8551" s="8" t="s">
        <v>3545</v>
      </c>
      <c r="D8551" s="8" t="s">
        <v>788</v>
      </c>
      <c r="E8551" s="52">
        <v>1523</v>
      </c>
      <c r="F8551" s="13"/>
      <c r="G8551" s="13">
        <v>203.8</v>
      </c>
    </row>
    <row r="8552" spans="1:7" hidden="1" x14ac:dyDescent="0.75">
      <c r="A8552" s="51">
        <v>44951</v>
      </c>
      <c r="B8552" s="52">
        <v>1362</v>
      </c>
      <c r="C8552" s="8" t="s">
        <v>3546</v>
      </c>
      <c r="D8552" s="8" t="s">
        <v>788</v>
      </c>
      <c r="E8552" s="52">
        <v>1523</v>
      </c>
      <c r="F8552" s="13"/>
      <c r="G8552" s="13">
        <v>28</v>
      </c>
    </row>
    <row r="8553" spans="1:7" hidden="1" x14ac:dyDescent="0.75">
      <c r="A8553" s="51">
        <v>44951</v>
      </c>
      <c r="B8553" s="52">
        <v>1362</v>
      </c>
      <c r="C8553" s="8" t="s">
        <v>3547</v>
      </c>
      <c r="D8553" s="8" t="s">
        <v>788</v>
      </c>
      <c r="E8553" s="52">
        <v>1523</v>
      </c>
      <c r="F8553" s="13"/>
      <c r="G8553" s="13">
        <v>64.599999999999994</v>
      </c>
    </row>
    <row r="8554" spans="1:7" hidden="1" x14ac:dyDescent="0.75">
      <c r="A8554" s="51">
        <v>44951</v>
      </c>
      <c r="B8554" s="52">
        <v>1362</v>
      </c>
      <c r="C8554" s="8" t="s">
        <v>3548</v>
      </c>
      <c r="D8554" s="8" t="s">
        <v>788</v>
      </c>
      <c r="E8554" s="52">
        <v>1523</v>
      </c>
      <c r="F8554" s="13"/>
      <c r="G8554" s="13">
        <v>62.8</v>
      </c>
    </row>
    <row r="8555" spans="1:7" hidden="1" x14ac:dyDescent="0.75">
      <c r="A8555" s="51">
        <v>44951</v>
      </c>
      <c r="B8555" s="52">
        <v>1362</v>
      </c>
      <c r="C8555" s="8" t="s">
        <v>3549</v>
      </c>
      <c r="D8555" s="8" t="s">
        <v>788</v>
      </c>
      <c r="E8555" s="52">
        <v>1523</v>
      </c>
      <c r="F8555" s="13"/>
      <c r="G8555" s="13">
        <v>182.9</v>
      </c>
    </row>
    <row r="8556" spans="1:7" hidden="1" x14ac:dyDescent="0.75">
      <c r="A8556" s="51">
        <v>44951</v>
      </c>
      <c r="B8556" s="52">
        <v>1362</v>
      </c>
      <c r="C8556" s="8" t="s">
        <v>3550</v>
      </c>
      <c r="D8556" s="8" t="s">
        <v>788</v>
      </c>
      <c r="E8556" s="52">
        <v>1523</v>
      </c>
      <c r="F8556" s="13"/>
      <c r="G8556" s="13">
        <v>23.4</v>
      </c>
    </row>
    <row r="8557" spans="1:7" hidden="1" x14ac:dyDescent="0.75">
      <c r="A8557" s="51">
        <v>44951</v>
      </c>
      <c r="B8557" s="52">
        <v>1362</v>
      </c>
      <c r="C8557" s="8" t="s">
        <v>3551</v>
      </c>
      <c r="D8557" s="8" t="s">
        <v>788</v>
      </c>
      <c r="E8557" s="52">
        <v>1523</v>
      </c>
      <c r="F8557" s="13"/>
      <c r="G8557" s="13">
        <v>5.4</v>
      </c>
    </row>
    <row r="8558" spans="1:7" hidden="1" x14ac:dyDescent="0.75">
      <c r="A8558" s="51">
        <v>44951</v>
      </c>
      <c r="B8558" s="52">
        <v>1362</v>
      </c>
      <c r="C8558" s="8" t="s">
        <v>3552</v>
      </c>
      <c r="D8558" s="8" t="s">
        <v>788</v>
      </c>
      <c r="E8558" s="52">
        <v>1523</v>
      </c>
      <c r="F8558" s="13"/>
      <c r="G8558" s="13">
        <v>14.1</v>
      </c>
    </row>
    <row r="8559" spans="1:7" hidden="1" x14ac:dyDescent="0.75">
      <c r="A8559" s="51">
        <v>44951</v>
      </c>
      <c r="B8559" s="52">
        <v>1362</v>
      </c>
      <c r="C8559" s="8" t="s">
        <v>3553</v>
      </c>
      <c r="D8559" s="8" t="s">
        <v>788</v>
      </c>
      <c r="E8559" s="52">
        <v>1523</v>
      </c>
      <c r="F8559" s="13"/>
      <c r="G8559" s="13">
        <v>1.8</v>
      </c>
    </row>
    <row r="8560" spans="1:7" hidden="1" x14ac:dyDescent="0.75">
      <c r="A8560" s="51">
        <v>44951</v>
      </c>
      <c r="B8560" s="52">
        <v>1362</v>
      </c>
      <c r="C8560" s="8" t="s">
        <v>3554</v>
      </c>
      <c r="D8560" s="8" t="s">
        <v>788</v>
      </c>
      <c r="E8560" s="52">
        <v>1523</v>
      </c>
      <c r="F8560" s="13"/>
      <c r="G8560" s="13">
        <v>15.5</v>
      </c>
    </row>
    <row r="8561" spans="1:7" hidden="1" x14ac:dyDescent="0.75">
      <c r="A8561" s="51">
        <v>44951</v>
      </c>
      <c r="B8561" s="52">
        <v>1362</v>
      </c>
      <c r="C8561" s="8" t="s">
        <v>3555</v>
      </c>
      <c r="D8561" s="8" t="s">
        <v>788</v>
      </c>
      <c r="E8561" s="52">
        <v>1523</v>
      </c>
      <c r="F8561" s="13"/>
      <c r="G8561" s="13">
        <v>108.9</v>
      </c>
    </row>
    <row r="8562" spans="1:7" hidden="1" x14ac:dyDescent="0.75">
      <c r="A8562" s="51">
        <v>44951</v>
      </c>
      <c r="B8562" s="52">
        <v>1362</v>
      </c>
      <c r="C8562" s="8" t="s">
        <v>3556</v>
      </c>
      <c r="D8562" s="8" t="s">
        <v>788</v>
      </c>
      <c r="E8562" s="52">
        <v>1523</v>
      </c>
      <c r="F8562" s="13"/>
      <c r="G8562" s="13">
        <v>6.2</v>
      </c>
    </row>
    <row r="8563" spans="1:7" hidden="1" x14ac:dyDescent="0.75">
      <c r="A8563" s="51">
        <v>44951</v>
      </c>
      <c r="B8563" s="52">
        <v>1362</v>
      </c>
      <c r="C8563" s="8" t="s">
        <v>3557</v>
      </c>
      <c r="D8563" s="8" t="s">
        <v>788</v>
      </c>
      <c r="E8563" s="52">
        <v>1523</v>
      </c>
      <c r="F8563" s="13"/>
      <c r="G8563" s="13">
        <v>82.7</v>
      </c>
    </row>
    <row r="8564" spans="1:7" hidden="1" x14ac:dyDescent="0.75">
      <c r="A8564" s="51">
        <v>44951</v>
      </c>
      <c r="B8564" s="52">
        <v>1362</v>
      </c>
      <c r="C8564" s="8" t="s">
        <v>3558</v>
      </c>
      <c r="D8564" s="8" t="s">
        <v>788</v>
      </c>
      <c r="E8564" s="52">
        <v>1523</v>
      </c>
      <c r="F8564" s="13"/>
      <c r="G8564" s="13">
        <v>169.5</v>
      </c>
    </row>
    <row r="8565" spans="1:7" hidden="1" x14ac:dyDescent="0.75">
      <c r="A8565" s="51">
        <v>44951</v>
      </c>
      <c r="B8565" s="52">
        <v>1362</v>
      </c>
      <c r="C8565" s="8" t="s">
        <v>3193</v>
      </c>
      <c r="D8565" s="8" t="s">
        <v>788</v>
      </c>
      <c r="E8565" s="52">
        <v>1946</v>
      </c>
      <c r="F8565" s="13"/>
      <c r="G8565" s="13">
        <v>651.83000000000004</v>
      </c>
    </row>
    <row r="8566" spans="1:7" hidden="1" x14ac:dyDescent="0.75">
      <c r="A8566" s="51">
        <v>44951</v>
      </c>
      <c r="B8566" s="52">
        <v>1362</v>
      </c>
      <c r="C8566" s="8" t="s">
        <v>3194</v>
      </c>
      <c r="D8566" s="8" t="s">
        <v>788</v>
      </c>
      <c r="E8566" s="52">
        <v>1946</v>
      </c>
      <c r="F8566" s="13"/>
      <c r="G8566" s="13">
        <v>153.69</v>
      </c>
    </row>
    <row r="8567" spans="1:7" hidden="1" x14ac:dyDescent="0.75">
      <c r="A8567" s="51">
        <v>44956</v>
      </c>
      <c r="B8567" s="52">
        <v>1362</v>
      </c>
      <c r="C8567" s="8" t="s">
        <v>2827</v>
      </c>
      <c r="D8567" s="8" t="s">
        <v>788</v>
      </c>
      <c r="E8567" s="52">
        <v>707</v>
      </c>
      <c r="F8567" s="13">
        <v>2180</v>
      </c>
      <c r="G8567" s="13"/>
    </row>
    <row r="8568" spans="1:7" hidden="1" x14ac:dyDescent="0.75">
      <c r="A8568" s="51">
        <v>44956</v>
      </c>
      <c r="B8568" s="52">
        <v>1362</v>
      </c>
      <c r="C8568" s="8" t="s">
        <v>2827</v>
      </c>
      <c r="D8568" s="8" t="s">
        <v>788</v>
      </c>
      <c r="E8568" s="52">
        <v>707</v>
      </c>
      <c r="F8568" s="13">
        <v>2610</v>
      </c>
      <c r="G8568" s="13"/>
    </row>
    <row r="8569" spans="1:7" hidden="1" x14ac:dyDescent="0.75">
      <c r="A8569" s="51">
        <v>44956</v>
      </c>
      <c r="B8569" s="52">
        <v>1362</v>
      </c>
      <c r="C8569" s="8" t="s">
        <v>2827</v>
      </c>
      <c r="D8569" s="8" t="s">
        <v>788</v>
      </c>
      <c r="E8569" s="52">
        <v>707</v>
      </c>
      <c r="F8569" s="13">
        <v>2180</v>
      </c>
      <c r="G8569" s="13"/>
    </row>
    <row r="8570" spans="1:7" hidden="1" x14ac:dyDescent="0.75">
      <c r="A8570" s="51">
        <v>44956</v>
      </c>
      <c r="B8570" s="52">
        <v>1362</v>
      </c>
      <c r="C8570" s="8" t="s">
        <v>2827</v>
      </c>
      <c r="D8570" s="8" t="s">
        <v>788</v>
      </c>
      <c r="E8570" s="52">
        <v>707</v>
      </c>
      <c r="F8570" s="13">
        <v>1615.7</v>
      </c>
      <c r="G8570" s="13"/>
    </row>
    <row r="8571" spans="1:7" hidden="1" x14ac:dyDescent="0.75">
      <c r="A8571" s="51">
        <v>44956</v>
      </c>
      <c r="B8571" s="52">
        <v>1362</v>
      </c>
      <c r="C8571" s="8" t="s">
        <v>2827</v>
      </c>
      <c r="D8571" s="8" t="s">
        <v>788</v>
      </c>
      <c r="E8571" s="52">
        <v>707</v>
      </c>
      <c r="F8571" s="13">
        <v>1120.75</v>
      </c>
      <c r="G8571" s="13"/>
    </row>
    <row r="8572" spans="1:7" hidden="1" x14ac:dyDescent="0.75">
      <c r="A8572" s="51">
        <v>44956</v>
      </c>
      <c r="B8572" s="52">
        <v>1362</v>
      </c>
      <c r="C8572" s="8" t="s">
        <v>2827</v>
      </c>
      <c r="D8572" s="8" t="s">
        <v>788</v>
      </c>
      <c r="E8572" s="52">
        <v>707</v>
      </c>
      <c r="F8572" s="13">
        <v>2983.7</v>
      </c>
      <c r="G8572" s="13"/>
    </row>
    <row r="8573" spans="1:7" hidden="1" x14ac:dyDescent="0.75">
      <c r="A8573" s="51">
        <v>44956</v>
      </c>
      <c r="B8573" s="52">
        <v>1362</v>
      </c>
      <c r="C8573" s="8" t="s">
        <v>2827</v>
      </c>
      <c r="D8573" s="8" t="s">
        <v>788</v>
      </c>
      <c r="E8573" s="52">
        <v>707</v>
      </c>
      <c r="F8573" s="13">
        <v>294</v>
      </c>
      <c r="G8573" s="13"/>
    </row>
    <row r="8574" spans="1:7" hidden="1" x14ac:dyDescent="0.75">
      <c r="A8574" s="51">
        <v>44956</v>
      </c>
      <c r="B8574" s="52">
        <v>1362</v>
      </c>
      <c r="C8574" s="8" t="s">
        <v>2827</v>
      </c>
      <c r="D8574" s="8" t="s">
        <v>788</v>
      </c>
      <c r="E8574" s="52">
        <v>707</v>
      </c>
      <c r="F8574" s="13">
        <v>2149.5</v>
      </c>
      <c r="G8574" s="13"/>
    </row>
    <row r="8575" spans="1:7" hidden="1" x14ac:dyDescent="0.75">
      <c r="A8575" s="51">
        <v>44956</v>
      </c>
      <c r="B8575" s="52">
        <v>1362</v>
      </c>
      <c r="C8575" s="8" t="s">
        <v>2827</v>
      </c>
      <c r="D8575" s="8" t="s">
        <v>788</v>
      </c>
      <c r="E8575" s="52">
        <v>707</v>
      </c>
      <c r="F8575" s="13">
        <v>1476.25</v>
      </c>
      <c r="G8575" s="13"/>
    </row>
    <row r="8576" spans="1:7" hidden="1" x14ac:dyDescent="0.75">
      <c r="A8576" s="51">
        <v>44956</v>
      </c>
      <c r="B8576" s="52">
        <v>1362</v>
      </c>
      <c r="C8576" s="8" t="s">
        <v>2827</v>
      </c>
      <c r="D8576" s="8" t="s">
        <v>788</v>
      </c>
      <c r="E8576" s="52">
        <v>707</v>
      </c>
      <c r="F8576" s="13">
        <v>2180</v>
      </c>
      <c r="G8576" s="13"/>
    </row>
    <row r="8577" spans="1:7" hidden="1" x14ac:dyDescent="0.75">
      <c r="A8577" s="51">
        <v>44956</v>
      </c>
      <c r="B8577" s="52">
        <v>1362</v>
      </c>
      <c r="C8577" s="8" t="s">
        <v>2827</v>
      </c>
      <c r="D8577" s="8" t="s">
        <v>788</v>
      </c>
      <c r="E8577" s="52">
        <v>707</v>
      </c>
      <c r="F8577" s="13">
        <v>1050.0999999999999</v>
      </c>
      <c r="G8577" s="13"/>
    </row>
    <row r="8578" spans="1:7" hidden="1" x14ac:dyDescent="0.75">
      <c r="A8578" s="51">
        <v>44956</v>
      </c>
      <c r="B8578" s="52">
        <v>1362</v>
      </c>
      <c r="C8578" s="8" t="s">
        <v>2827</v>
      </c>
      <c r="D8578" s="8" t="s">
        <v>788</v>
      </c>
      <c r="E8578" s="52">
        <v>707</v>
      </c>
      <c r="F8578" s="13">
        <v>1968.25</v>
      </c>
      <c r="G8578" s="13"/>
    </row>
    <row r="8579" spans="1:7" hidden="1" x14ac:dyDescent="0.75">
      <c r="A8579" s="51">
        <v>44956</v>
      </c>
      <c r="B8579" s="52">
        <v>1362</v>
      </c>
      <c r="C8579" s="8" t="s">
        <v>2827</v>
      </c>
      <c r="D8579" s="8" t="s">
        <v>788</v>
      </c>
      <c r="E8579" s="52">
        <v>707</v>
      </c>
      <c r="F8579" s="13">
        <v>3270</v>
      </c>
      <c r="G8579" s="13"/>
    </row>
    <row r="8580" spans="1:7" hidden="1" x14ac:dyDescent="0.75">
      <c r="A8580" s="51">
        <v>44956</v>
      </c>
      <c r="B8580" s="52">
        <v>1362</v>
      </c>
      <c r="C8580" s="8" t="s">
        <v>2827</v>
      </c>
      <c r="D8580" s="8" t="s">
        <v>788</v>
      </c>
      <c r="E8580" s="52">
        <v>707</v>
      </c>
      <c r="F8580" s="13">
        <v>1800.6</v>
      </c>
      <c r="G8580" s="13"/>
    </row>
    <row r="8581" spans="1:7" hidden="1" x14ac:dyDescent="0.75">
      <c r="A8581" s="51">
        <v>44956</v>
      </c>
      <c r="B8581" s="52">
        <v>1362</v>
      </c>
      <c r="C8581" s="8" t="s">
        <v>2827</v>
      </c>
      <c r="D8581" s="8" t="s">
        <v>788</v>
      </c>
      <c r="E8581" s="52">
        <v>707</v>
      </c>
      <c r="F8581" s="13">
        <v>2053.9499999999998</v>
      </c>
      <c r="G8581" s="13"/>
    </row>
    <row r="8582" spans="1:7" hidden="1" x14ac:dyDescent="0.75">
      <c r="A8582" s="51">
        <v>44956</v>
      </c>
      <c r="B8582" s="52">
        <v>1362</v>
      </c>
      <c r="C8582" s="8" t="s">
        <v>2827</v>
      </c>
      <c r="D8582" s="8" t="s">
        <v>788</v>
      </c>
      <c r="E8582" s="52">
        <v>707</v>
      </c>
      <c r="F8582" s="13">
        <v>2294.1</v>
      </c>
      <c r="G8582" s="13"/>
    </row>
    <row r="8583" spans="1:7" hidden="1" x14ac:dyDescent="0.75">
      <c r="A8583" s="51">
        <v>44956</v>
      </c>
      <c r="B8583" s="52">
        <v>1362</v>
      </c>
      <c r="C8583" s="8" t="s">
        <v>2827</v>
      </c>
      <c r="D8583" s="8" t="s">
        <v>788</v>
      </c>
      <c r="E8583" s="52">
        <v>707</v>
      </c>
      <c r="F8583" s="13">
        <v>2180</v>
      </c>
      <c r="G8583" s="13"/>
    </row>
    <row r="8584" spans="1:7" hidden="1" x14ac:dyDescent="0.75">
      <c r="A8584" s="51">
        <v>44956</v>
      </c>
      <c r="B8584" s="52">
        <v>1362</v>
      </c>
      <c r="C8584" s="8" t="s">
        <v>2827</v>
      </c>
      <c r="D8584" s="8" t="s">
        <v>788</v>
      </c>
      <c r="E8584" s="52">
        <v>707</v>
      </c>
      <c r="F8584" s="13">
        <v>2472.9</v>
      </c>
      <c r="G8584" s="13"/>
    </row>
    <row r="8585" spans="1:7" hidden="1" x14ac:dyDescent="0.75">
      <c r="A8585" s="51">
        <v>44956</v>
      </c>
      <c r="B8585" s="52">
        <v>1362</v>
      </c>
      <c r="C8585" s="8" t="s">
        <v>2827</v>
      </c>
      <c r="D8585" s="8" t="s">
        <v>788</v>
      </c>
      <c r="E8585" s="52">
        <v>707</v>
      </c>
      <c r="F8585" s="13">
        <v>1254.55</v>
      </c>
      <c r="G8585" s="13"/>
    </row>
    <row r="8586" spans="1:7" hidden="1" x14ac:dyDescent="0.75">
      <c r="A8586" s="51">
        <v>44956</v>
      </c>
      <c r="B8586" s="52">
        <v>1362</v>
      </c>
      <c r="C8586" s="8" t="s">
        <v>2827</v>
      </c>
      <c r="D8586" s="8" t="s">
        <v>788</v>
      </c>
      <c r="E8586" s="52">
        <v>707</v>
      </c>
      <c r="F8586" s="13">
        <v>3270</v>
      </c>
      <c r="G8586" s="13"/>
    </row>
    <row r="8587" spans="1:7" hidden="1" x14ac:dyDescent="0.75">
      <c r="A8587" s="51">
        <v>44956</v>
      </c>
      <c r="B8587" s="52">
        <v>1362</v>
      </c>
      <c r="C8587" s="8" t="s">
        <v>2827</v>
      </c>
      <c r="D8587" s="8" t="s">
        <v>788</v>
      </c>
      <c r="E8587" s="52">
        <v>707</v>
      </c>
      <c r="F8587" s="13">
        <v>1713.65</v>
      </c>
      <c r="G8587" s="13"/>
    </row>
    <row r="8588" spans="1:7" hidden="1" x14ac:dyDescent="0.75">
      <c r="A8588" s="51">
        <v>44956</v>
      </c>
      <c r="B8588" s="52">
        <v>1362</v>
      </c>
      <c r="C8588" s="8" t="s">
        <v>2827</v>
      </c>
      <c r="D8588" s="8" t="s">
        <v>788</v>
      </c>
      <c r="E8588" s="52">
        <v>707</v>
      </c>
      <c r="F8588" s="13">
        <v>1958.05</v>
      </c>
      <c r="G8588" s="13"/>
    </row>
    <row r="8589" spans="1:7" hidden="1" x14ac:dyDescent="0.75">
      <c r="A8589" s="51">
        <v>44956</v>
      </c>
      <c r="B8589" s="52">
        <v>1362</v>
      </c>
      <c r="C8589" s="8" t="s">
        <v>2237</v>
      </c>
      <c r="D8589" s="8" t="s">
        <v>788</v>
      </c>
      <c r="E8589" s="52">
        <v>804</v>
      </c>
      <c r="F8589" s="13">
        <v>916.75</v>
      </c>
      <c r="G8589" s="13"/>
    </row>
    <row r="8590" spans="1:7" hidden="1" x14ac:dyDescent="0.75">
      <c r="A8590" s="51">
        <v>44956</v>
      </c>
      <c r="B8590" s="52">
        <v>1362</v>
      </c>
      <c r="C8590" s="8" t="s">
        <v>2126</v>
      </c>
      <c r="D8590" s="8" t="s">
        <v>788</v>
      </c>
      <c r="E8590" s="52">
        <v>806</v>
      </c>
      <c r="F8590" s="13">
        <v>990</v>
      </c>
      <c r="G8590" s="13"/>
    </row>
    <row r="8591" spans="1:7" hidden="1" x14ac:dyDescent="0.75">
      <c r="A8591" s="51">
        <v>44956</v>
      </c>
      <c r="B8591" s="52">
        <v>1362</v>
      </c>
      <c r="C8591" s="8" t="s">
        <v>2126</v>
      </c>
      <c r="D8591" s="8" t="s">
        <v>788</v>
      </c>
      <c r="E8591" s="52">
        <v>806</v>
      </c>
      <c r="F8591" s="13">
        <v>2602.5</v>
      </c>
      <c r="G8591" s="13"/>
    </row>
    <row r="8592" spans="1:7" hidden="1" x14ac:dyDescent="0.75">
      <c r="A8592" s="51">
        <v>44956</v>
      </c>
      <c r="B8592" s="52">
        <v>1362</v>
      </c>
      <c r="C8592" s="8" t="s">
        <v>2237</v>
      </c>
      <c r="D8592" s="8" t="s">
        <v>788</v>
      </c>
      <c r="E8592" s="52">
        <v>804</v>
      </c>
      <c r="F8592" s="13">
        <v>916.75</v>
      </c>
      <c r="G8592" s="13"/>
    </row>
    <row r="8593" spans="1:7" hidden="1" x14ac:dyDescent="0.75">
      <c r="A8593" s="51">
        <v>44956</v>
      </c>
      <c r="B8593" s="52">
        <v>1362</v>
      </c>
      <c r="C8593" s="8" t="s">
        <v>2126</v>
      </c>
      <c r="D8593" s="8" t="s">
        <v>788</v>
      </c>
      <c r="E8593" s="52">
        <v>712</v>
      </c>
      <c r="F8593" s="13">
        <v>3045.5</v>
      </c>
      <c r="G8593" s="13"/>
    </row>
    <row r="8594" spans="1:7" hidden="1" x14ac:dyDescent="0.75">
      <c r="A8594" s="51">
        <v>44956</v>
      </c>
      <c r="B8594" s="52">
        <v>1362</v>
      </c>
      <c r="C8594" s="8" t="s">
        <v>2126</v>
      </c>
      <c r="D8594" s="8" t="s">
        <v>788</v>
      </c>
      <c r="E8594" s="52">
        <v>806</v>
      </c>
      <c r="F8594" s="13">
        <v>594</v>
      </c>
      <c r="G8594" s="13"/>
    </row>
    <row r="8595" spans="1:7" hidden="1" x14ac:dyDescent="0.75">
      <c r="A8595" s="51">
        <v>44956</v>
      </c>
      <c r="B8595" s="52">
        <v>1362</v>
      </c>
      <c r="C8595" s="8" t="s">
        <v>2126</v>
      </c>
      <c r="D8595" s="8" t="s">
        <v>788</v>
      </c>
      <c r="E8595" s="52">
        <v>806</v>
      </c>
      <c r="F8595" s="13">
        <v>990</v>
      </c>
      <c r="G8595" s="13"/>
    </row>
    <row r="8596" spans="1:7" hidden="1" x14ac:dyDescent="0.75">
      <c r="A8596" s="51">
        <v>44956</v>
      </c>
      <c r="B8596" s="52">
        <v>1362</v>
      </c>
      <c r="C8596" s="8" t="s">
        <v>2237</v>
      </c>
      <c r="D8596" s="8" t="s">
        <v>788</v>
      </c>
      <c r="E8596" s="52">
        <v>804</v>
      </c>
      <c r="F8596" s="13">
        <v>594</v>
      </c>
      <c r="G8596" s="13"/>
    </row>
    <row r="8597" spans="1:7" hidden="1" x14ac:dyDescent="0.75">
      <c r="A8597" s="51">
        <v>44956</v>
      </c>
      <c r="B8597" s="52">
        <v>1362</v>
      </c>
      <c r="C8597" s="8" t="s">
        <v>2126</v>
      </c>
      <c r="D8597" s="8" t="s">
        <v>788</v>
      </c>
      <c r="E8597" s="52">
        <v>712</v>
      </c>
      <c r="F8597" s="13">
        <v>3105</v>
      </c>
      <c r="G8597" s="13"/>
    </row>
    <row r="8598" spans="1:7" hidden="1" x14ac:dyDescent="0.75">
      <c r="A8598" s="51">
        <v>44956</v>
      </c>
      <c r="B8598" s="52">
        <v>1362</v>
      </c>
      <c r="C8598" s="8" t="s">
        <v>2237</v>
      </c>
      <c r="D8598" s="8" t="s">
        <v>788</v>
      </c>
      <c r="E8598" s="52">
        <v>804</v>
      </c>
      <c r="F8598" s="13">
        <v>666.5</v>
      </c>
      <c r="G8598" s="13"/>
    </row>
    <row r="8599" spans="1:7" hidden="1" x14ac:dyDescent="0.75">
      <c r="A8599" s="51">
        <v>44956</v>
      </c>
      <c r="B8599" s="52">
        <v>1362</v>
      </c>
      <c r="C8599" s="8" t="s">
        <v>2126</v>
      </c>
      <c r="D8599" s="8" t="s">
        <v>788</v>
      </c>
      <c r="E8599" s="52">
        <v>806</v>
      </c>
      <c r="F8599" s="13">
        <v>990</v>
      </c>
      <c r="G8599" s="13"/>
    </row>
    <row r="8600" spans="1:7" hidden="1" x14ac:dyDescent="0.75">
      <c r="A8600" s="51">
        <v>44956</v>
      </c>
      <c r="B8600" s="52">
        <v>1362</v>
      </c>
      <c r="C8600" s="8" t="s">
        <v>2126</v>
      </c>
      <c r="D8600" s="8" t="s">
        <v>788</v>
      </c>
      <c r="E8600" s="52">
        <v>806</v>
      </c>
      <c r="F8600" s="13">
        <v>2008</v>
      </c>
      <c r="G8600" s="13"/>
    </row>
    <row r="8601" spans="1:7" hidden="1" x14ac:dyDescent="0.75">
      <c r="A8601" s="51">
        <v>44956</v>
      </c>
      <c r="B8601" s="52">
        <v>1362</v>
      </c>
      <c r="C8601" s="8" t="s">
        <v>2237</v>
      </c>
      <c r="D8601" s="8" t="s">
        <v>788</v>
      </c>
      <c r="E8601" s="52">
        <v>804</v>
      </c>
      <c r="F8601" s="13">
        <v>990</v>
      </c>
      <c r="G8601" s="13"/>
    </row>
    <row r="8602" spans="1:7" hidden="1" x14ac:dyDescent="0.75">
      <c r="A8602" s="51">
        <v>44956</v>
      </c>
      <c r="B8602" s="52">
        <v>1362</v>
      </c>
      <c r="C8602" s="8" t="s">
        <v>2237</v>
      </c>
      <c r="D8602" s="8" t="s">
        <v>788</v>
      </c>
      <c r="E8602" s="52">
        <v>804</v>
      </c>
      <c r="F8602" s="13">
        <v>862.25</v>
      </c>
      <c r="G8602" s="13"/>
    </row>
    <row r="8603" spans="1:7" hidden="1" x14ac:dyDescent="0.75">
      <c r="A8603" s="51">
        <v>44956</v>
      </c>
      <c r="B8603" s="52">
        <v>1362</v>
      </c>
      <c r="C8603" s="8" t="s">
        <v>2237</v>
      </c>
      <c r="D8603" s="8" t="s">
        <v>788</v>
      </c>
      <c r="E8603" s="52">
        <v>804</v>
      </c>
      <c r="F8603" s="13">
        <v>780.75</v>
      </c>
      <c r="G8603" s="13"/>
    </row>
    <row r="8604" spans="1:7" hidden="1" x14ac:dyDescent="0.75">
      <c r="A8604" s="51">
        <v>44956</v>
      </c>
      <c r="B8604" s="52">
        <v>1362</v>
      </c>
      <c r="C8604" s="8" t="s">
        <v>2237</v>
      </c>
      <c r="D8604" s="8" t="s">
        <v>788</v>
      </c>
      <c r="E8604" s="52">
        <v>804</v>
      </c>
      <c r="F8604" s="13">
        <v>396</v>
      </c>
      <c r="G8604" s="13"/>
    </row>
    <row r="8605" spans="1:7" hidden="1" x14ac:dyDescent="0.75">
      <c r="A8605" s="51">
        <v>44956</v>
      </c>
      <c r="B8605" s="52">
        <v>1362</v>
      </c>
      <c r="C8605" s="8" t="s">
        <v>2126</v>
      </c>
      <c r="D8605" s="8" t="s">
        <v>788</v>
      </c>
      <c r="E8605" s="52">
        <v>806</v>
      </c>
      <c r="F8605" s="13">
        <v>594</v>
      </c>
      <c r="G8605" s="13"/>
    </row>
    <row r="8606" spans="1:7" hidden="1" x14ac:dyDescent="0.75">
      <c r="A8606" s="51">
        <v>44956</v>
      </c>
      <c r="B8606" s="52">
        <v>1362</v>
      </c>
      <c r="C8606" s="8" t="s">
        <v>2126</v>
      </c>
      <c r="D8606" s="8" t="s">
        <v>788</v>
      </c>
      <c r="E8606" s="52">
        <v>712</v>
      </c>
      <c r="F8606" s="13">
        <v>3282.5</v>
      </c>
      <c r="G8606" s="13"/>
    </row>
    <row r="8607" spans="1:7" hidden="1" x14ac:dyDescent="0.75">
      <c r="A8607" s="51">
        <v>44956</v>
      </c>
      <c r="B8607" s="52">
        <v>1362</v>
      </c>
      <c r="C8607" s="8" t="s">
        <v>2126</v>
      </c>
      <c r="D8607" s="8" t="s">
        <v>788</v>
      </c>
      <c r="E8607" s="52">
        <v>806</v>
      </c>
      <c r="F8607" s="13">
        <v>1926</v>
      </c>
      <c r="G8607" s="13"/>
    </row>
    <row r="8608" spans="1:7" hidden="1" x14ac:dyDescent="0.75">
      <c r="A8608" s="51">
        <v>44956</v>
      </c>
      <c r="B8608" s="52">
        <v>1362</v>
      </c>
      <c r="C8608" s="8" t="s">
        <v>2237</v>
      </c>
      <c r="D8608" s="8" t="s">
        <v>788</v>
      </c>
      <c r="E8608" s="52">
        <v>804</v>
      </c>
      <c r="F8608" s="13">
        <v>777.5</v>
      </c>
      <c r="G8608" s="13"/>
    </row>
    <row r="8609" spans="1:7" hidden="1" x14ac:dyDescent="0.75">
      <c r="A8609" s="51">
        <v>44956</v>
      </c>
      <c r="B8609" s="52">
        <v>1362</v>
      </c>
      <c r="C8609" s="8" t="s">
        <v>2237</v>
      </c>
      <c r="D8609" s="8" t="s">
        <v>788</v>
      </c>
      <c r="E8609" s="52">
        <v>804</v>
      </c>
      <c r="F8609" s="13">
        <v>396</v>
      </c>
      <c r="G8609" s="13"/>
    </row>
    <row r="8610" spans="1:7" hidden="1" x14ac:dyDescent="0.75">
      <c r="A8610" s="51">
        <v>44956</v>
      </c>
      <c r="B8610" s="52">
        <v>1362</v>
      </c>
      <c r="C8610" s="8" t="s">
        <v>2126</v>
      </c>
      <c r="D8610" s="8" t="s">
        <v>788</v>
      </c>
      <c r="E8610" s="52">
        <v>806</v>
      </c>
      <c r="F8610" s="13">
        <v>990</v>
      </c>
      <c r="G8610" s="13"/>
    </row>
    <row r="8611" spans="1:7" hidden="1" x14ac:dyDescent="0.75">
      <c r="A8611" s="51">
        <v>44956</v>
      </c>
      <c r="B8611" s="52">
        <v>1362</v>
      </c>
      <c r="C8611" s="8" t="s">
        <v>2126</v>
      </c>
      <c r="D8611" s="8" t="s">
        <v>788</v>
      </c>
      <c r="E8611" s="52">
        <v>806</v>
      </c>
      <c r="F8611" s="13">
        <v>2802</v>
      </c>
      <c r="G8611" s="13"/>
    </row>
    <row r="8612" spans="1:7" hidden="1" x14ac:dyDescent="0.75">
      <c r="A8612" s="51">
        <v>44956</v>
      </c>
      <c r="B8612" s="52">
        <v>1362</v>
      </c>
      <c r="C8612" s="8" t="s">
        <v>2237</v>
      </c>
      <c r="D8612" s="8" t="s">
        <v>788</v>
      </c>
      <c r="E8612" s="52">
        <v>804</v>
      </c>
      <c r="F8612" s="13">
        <v>777.5</v>
      </c>
      <c r="G8612" s="13"/>
    </row>
    <row r="8613" spans="1:7" hidden="1" x14ac:dyDescent="0.75">
      <c r="A8613" s="51">
        <v>44956</v>
      </c>
      <c r="B8613" s="52">
        <v>1362</v>
      </c>
      <c r="C8613" s="8" t="s">
        <v>2126</v>
      </c>
      <c r="D8613" s="8" t="s">
        <v>788</v>
      </c>
      <c r="E8613" s="52">
        <v>712</v>
      </c>
      <c r="F8613" s="13">
        <v>3724</v>
      </c>
      <c r="G8613" s="13"/>
    </row>
    <row r="8614" spans="1:7" hidden="1" x14ac:dyDescent="0.75">
      <c r="A8614" s="51">
        <v>44956</v>
      </c>
      <c r="B8614" s="52">
        <v>1362</v>
      </c>
      <c r="C8614" s="8" t="s">
        <v>2126</v>
      </c>
      <c r="D8614" s="8" t="s">
        <v>788</v>
      </c>
      <c r="E8614" s="52">
        <v>806</v>
      </c>
      <c r="F8614" s="13">
        <v>990</v>
      </c>
      <c r="G8614" s="13"/>
    </row>
    <row r="8615" spans="1:7" hidden="1" x14ac:dyDescent="0.75">
      <c r="A8615" s="51">
        <v>44956</v>
      </c>
      <c r="B8615" s="52">
        <v>1362</v>
      </c>
      <c r="C8615" s="8" t="s">
        <v>2237</v>
      </c>
      <c r="D8615" s="8" t="s">
        <v>788</v>
      </c>
      <c r="E8615" s="52">
        <v>804</v>
      </c>
      <c r="F8615" s="13">
        <v>1016</v>
      </c>
      <c r="G8615" s="13"/>
    </row>
    <row r="8616" spans="1:7" hidden="1" x14ac:dyDescent="0.75">
      <c r="A8616" s="51">
        <v>44956</v>
      </c>
      <c r="B8616" s="52">
        <v>1362</v>
      </c>
      <c r="C8616" s="8" t="s">
        <v>2237</v>
      </c>
      <c r="D8616" s="8" t="s">
        <v>788</v>
      </c>
      <c r="E8616" s="52">
        <v>804</v>
      </c>
      <c r="F8616" s="13">
        <v>1188</v>
      </c>
      <c r="G8616" s="13"/>
    </row>
    <row r="8617" spans="1:7" hidden="1" x14ac:dyDescent="0.75">
      <c r="A8617" s="51">
        <v>44956</v>
      </c>
      <c r="B8617" s="52">
        <v>1362</v>
      </c>
      <c r="C8617" s="8" t="s">
        <v>1481</v>
      </c>
      <c r="D8617" s="8" t="s">
        <v>788</v>
      </c>
      <c r="E8617" s="52">
        <v>8</v>
      </c>
      <c r="F8617" s="13"/>
      <c r="G8617" s="13">
        <v>40079.08</v>
      </c>
    </row>
    <row r="8618" spans="1:7" hidden="1" x14ac:dyDescent="0.75">
      <c r="A8618" s="51">
        <v>44956</v>
      </c>
      <c r="B8618" s="52">
        <v>1362</v>
      </c>
      <c r="C8618" s="8" t="s">
        <v>1481</v>
      </c>
      <c r="D8618" s="8" t="s">
        <v>788</v>
      </c>
      <c r="E8618" s="52">
        <v>8</v>
      </c>
      <c r="F8618" s="13"/>
      <c r="G8618" s="13">
        <v>26280.76</v>
      </c>
    </row>
    <row r="8619" spans="1:7" hidden="1" x14ac:dyDescent="0.75">
      <c r="A8619" s="51">
        <v>44956</v>
      </c>
      <c r="B8619" s="52">
        <v>1362</v>
      </c>
      <c r="C8619" s="8" t="s">
        <v>3181</v>
      </c>
      <c r="D8619" s="8" t="s">
        <v>788</v>
      </c>
      <c r="E8619" s="52">
        <v>1426</v>
      </c>
      <c r="F8619" s="13"/>
      <c r="G8619" s="13">
        <v>2644.58</v>
      </c>
    </row>
    <row r="8620" spans="1:7" hidden="1" x14ac:dyDescent="0.75">
      <c r="A8620" s="51">
        <v>44956</v>
      </c>
      <c r="B8620" s="52">
        <v>1362</v>
      </c>
      <c r="C8620" s="8" t="s">
        <v>4822</v>
      </c>
      <c r="D8620" s="8" t="s">
        <v>788</v>
      </c>
      <c r="E8620" s="52">
        <v>1388</v>
      </c>
      <c r="F8620" s="13"/>
      <c r="G8620" s="13">
        <v>1352.39</v>
      </c>
    </row>
    <row r="8621" spans="1:7" hidden="1" x14ac:dyDescent="0.75">
      <c r="A8621" s="51">
        <v>44956</v>
      </c>
      <c r="B8621" s="52">
        <v>1362</v>
      </c>
      <c r="C8621" s="8" t="s">
        <v>3215</v>
      </c>
      <c r="D8621" s="8" t="s">
        <v>788</v>
      </c>
      <c r="E8621" s="52">
        <v>1435</v>
      </c>
      <c r="F8621" s="13"/>
      <c r="G8621" s="13">
        <v>54.5</v>
      </c>
    </row>
    <row r="8622" spans="1:7" hidden="1" x14ac:dyDescent="0.75">
      <c r="A8622" s="51">
        <v>44956</v>
      </c>
      <c r="B8622" s="52">
        <v>1362</v>
      </c>
      <c r="C8622" s="8" t="s">
        <v>3216</v>
      </c>
      <c r="D8622" s="8" t="s">
        <v>788</v>
      </c>
      <c r="E8622" s="52">
        <v>1435</v>
      </c>
      <c r="F8622" s="13"/>
      <c r="G8622" s="13">
        <v>82</v>
      </c>
    </row>
    <row r="8623" spans="1:7" hidden="1" x14ac:dyDescent="0.75">
      <c r="A8623" s="51">
        <v>44956</v>
      </c>
      <c r="B8623" s="52">
        <v>1362</v>
      </c>
      <c r="C8623" s="8" t="s">
        <v>3217</v>
      </c>
      <c r="D8623" s="8" t="s">
        <v>788</v>
      </c>
      <c r="E8623" s="52">
        <v>1435</v>
      </c>
      <c r="F8623" s="13"/>
      <c r="G8623" s="13">
        <v>12.3</v>
      </c>
    </row>
    <row r="8624" spans="1:7" hidden="1" x14ac:dyDescent="0.75">
      <c r="A8624" s="51">
        <v>44956</v>
      </c>
      <c r="B8624" s="52">
        <v>1362</v>
      </c>
      <c r="C8624" s="8" t="s">
        <v>3218</v>
      </c>
      <c r="D8624" s="8" t="s">
        <v>788</v>
      </c>
      <c r="E8624" s="52">
        <v>1435</v>
      </c>
      <c r="F8624" s="13"/>
      <c r="G8624" s="13">
        <v>98</v>
      </c>
    </row>
    <row r="8625" spans="1:7" hidden="1" x14ac:dyDescent="0.75">
      <c r="A8625" s="51">
        <v>44956</v>
      </c>
      <c r="B8625" s="52">
        <v>1362</v>
      </c>
      <c r="C8625" s="8" t="s">
        <v>3153</v>
      </c>
      <c r="D8625" s="8" t="s">
        <v>788</v>
      </c>
      <c r="E8625" s="52">
        <v>1424</v>
      </c>
      <c r="F8625" s="13"/>
      <c r="G8625" s="13">
        <v>8487.7900000000009</v>
      </c>
    </row>
    <row r="8626" spans="1:7" hidden="1" x14ac:dyDescent="0.75">
      <c r="A8626" s="51">
        <v>44956</v>
      </c>
      <c r="B8626" s="52">
        <v>1362</v>
      </c>
      <c r="C8626" s="8" t="s">
        <v>3154</v>
      </c>
      <c r="D8626" s="8" t="s">
        <v>788</v>
      </c>
      <c r="E8626" s="52">
        <v>1424</v>
      </c>
      <c r="F8626" s="13"/>
      <c r="G8626" s="13">
        <v>3201.8</v>
      </c>
    </row>
    <row r="8627" spans="1:7" hidden="1" x14ac:dyDescent="0.75">
      <c r="A8627" s="51">
        <v>44956</v>
      </c>
      <c r="B8627" s="52">
        <v>1362</v>
      </c>
      <c r="C8627" s="8" t="s">
        <v>4823</v>
      </c>
      <c r="D8627" s="8" t="s">
        <v>788</v>
      </c>
      <c r="E8627" s="52">
        <v>1388</v>
      </c>
      <c r="F8627" s="13"/>
      <c r="G8627" s="13">
        <v>432.45</v>
      </c>
    </row>
    <row r="8628" spans="1:7" hidden="1" x14ac:dyDescent="0.75">
      <c r="A8628" s="51">
        <v>44956</v>
      </c>
      <c r="B8628" s="52">
        <v>1362</v>
      </c>
      <c r="C8628" s="8" t="s">
        <v>4824</v>
      </c>
      <c r="D8628" s="8" t="s">
        <v>788</v>
      </c>
      <c r="E8628" s="52">
        <v>1388</v>
      </c>
      <c r="F8628" s="13"/>
      <c r="G8628" s="13">
        <v>261.89999999999998</v>
      </c>
    </row>
    <row r="8629" spans="1:7" hidden="1" x14ac:dyDescent="0.75">
      <c r="A8629" s="51">
        <v>44956</v>
      </c>
      <c r="B8629" s="52">
        <v>1362</v>
      </c>
      <c r="C8629" s="8" t="s">
        <v>3178</v>
      </c>
      <c r="D8629" s="8" t="s">
        <v>788</v>
      </c>
      <c r="E8629" s="52">
        <v>1398</v>
      </c>
      <c r="F8629" s="13"/>
      <c r="G8629" s="13">
        <v>1675.23</v>
      </c>
    </row>
    <row r="8630" spans="1:7" hidden="1" x14ac:dyDescent="0.75">
      <c r="F8630" s="43">
        <f>SUBTOTAL(9,F5993:F8629)</f>
        <v>0</v>
      </c>
    </row>
    <row r="8631" spans="1:7" hidden="1" x14ac:dyDescent="0.75">
      <c r="F8631" s="43">
        <f>F6008+F6006+F6002+F6003+F5998+F5995+F5994+F5993</f>
        <v>42904</v>
      </c>
    </row>
    <row r="8632" spans="1:7" hidden="1" x14ac:dyDescent="0.75">
      <c r="F8632" s="43" t="e">
        <f>F8631/F8630</f>
        <v>#DIV/0!</v>
      </c>
    </row>
  </sheetData>
  <autoFilter ref="A1:G8632" xr:uid="{DE0C9FE5-4457-40EE-9AC1-4EDAC17DE11D}">
    <filterColumn colId="1">
      <filters>
        <filter val="828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4AB9-4C29-4875-B9F9-F8FDF6CEEC4C}">
  <dimension ref="A1:G451"/>
  <sheetViews>
    <sheetView showGridLines="0" workbookViewId="0">
      <pane ySplit="1" topLeftCell="A118" activePane="bottomLeft" state="frozen"/>
      <selection pane="bottomLeft" activeCell="G114" sqref="G114:G115"/>
    </sheetView>
  </sheetViews>
  <sheetFormatPr defaultRowHeight="14.75" outlineLevelRow="1" x14ac:dyDescent="0.75"/>
  <cols>
    <col min="1" max="1" width="11.7265625" style="4" bestFit="1" customWidth="1"/>
    <col min="2" max="2" width="16.7265625" style="2" bestFit="1" customWidth="1"/>
    <col min="3" max="3" width="51.953125" style="2" customWidth="1"/>
    <col min="4" max="4" width="19.86328125" style="3" bestFit="1" customWidth="1"/>
    <col min="5" max="6" width="16.86328125" style="3" bestFit="1" customWidth="1"/>
    <col min="7" max="7" width="17" style="3" bestFit="1" customWidth="1"/>
  </cols>
  <sheetData>
    <row r="1" spans="1:7" x14ac:dyDescent="0.75">
      <c r="A1" s="26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x14ac:dyDescent="0.75">
      <c r="A2" s="26">
        <v>1</v>
      </c>
      <c r="B2" s="28" t="s">
        <v>7</v>
      </c>
      <c r="C2" s="28" t="s">
        <v>8</v>
      </c>
      <c r="D2" s="29">
        <v>2406354.7999999998</v>
      </c>
      <c r="E2" s="29">
        <v>3977311.83</v>
      </c>
      <c r="F2" s="29">
        <v>4215257.47</v>
      </c>
      <c r="G2" s="29">
        <v>2168409.16</v>
      </c>
    </row>
    <row r="3" spans="1:7" x14ac:dyDescent="0.75">
      <c r="A3" s="26">
        <v>2</v>
      </c>
      <c r="B3" s="28" t="s">
        <v>9</v>
      </c>
      <c r="C3" s="28" t="s">
        <v>10</v>
      </c>
      <c r="D3" s="29">
        <v>2073850.94</v>
      </c>
      <c r="E3" s="29">
        <v>3977311.83</v>
      </c>
      <c r="F3" s="29">
        <v>4212247.9000000004</v>
      </c>
      <c r="G3" s="29">
        <v>1838914.87</v>
      </c>
    </row>
    <row r="4" spans="1:7" x14ac:dyDescent="0.75">
      <c r="A4" s="26">
        <v>3</v>
      </c>
      <c r="B4" s="28" t="s">
        <v>11</v>
      </c>
      <c r="C4" s="28" t="s">
        <v>12</v>
      </c>
      <c r="D4" s="29">
        <v>400601.18</v>
      </c>
      <c r="E4" s="29">
        <v>1518560.54</v>
      </c>
      <c r="F4" s="29">
        <v>1635828.72</v>
      </c>
      <c r="G4" s="29">
        <v>283333</v>
      </c>
    </row>
    <row r="5" spans="1:7" x14ac:dyDescent="0.75">
      <c r="A5" s="26">
        <v>4</v>
      </c>
      <c r="B5" s="28" t="s">
        <v>13</v>
      </c>
      <c r="C5" s="28" t="s">
        <v>14</v>
      </c>
      <c r="D5" s="29">
        <v>5524.68</v>
      </c>
      <c r="E5" s="29">
        <v>13030</v>
      </c>
      <c r="F5" s="29">
        <v>9719.5</v>
      </c>
      <c r="G5" s="29">
        <v>8835.18</v>
      </c>
    </row>
    <row r="6" spans="1:7" x14ac:dyDescent="0.75">
      <c r="A6" s="50">
        <v>5</v>
      </c>
      <c r="B6" t="s">
        <v>15</v>
      </c>
      <c r="C6" t="s">
        <v>16</v>
      </c>
      <c r="D6" s="15">
        <v>5524.68</v>
      </c>
      <c r="E6" s="15">
        <v>13030</v>
      </c>
      <c r="F6" s="15">
        <v>9719.5</v>
      </c>
      <c r="G6" s="15">
        <v>8835.18</v>
      </c>
    </row>
    <row r="7" spans="1:7" x14ac:dyDescent="0.75">
      <c r="A7" s="26">
        <v>7</v>
      </c>
      <c r="B7" s="28" t="s">
        <v>17</v>
      </c>
      <c r="C7" s="28" t="s">
        <v>18</v>
      </c>
      <c r="D7" s="29">
        <v>345094.18</v>
      </c>
      <c r="E7" s="29">
        <v>1486043.53</v>
      </c>
      <c r="F7" s="29">
        <v>1607076.52</v>
      </c>
      <c r="G7" s="29">
        <v>224061.19</v>
      </c>
    </row>
    <row r="8" spans="1:7" x14ac:dyDescent="0.75">
      <c r="A8" s="50">
        <v>8</v>
      </c>
      <c r="B8" t="s">
        <v>19</v>
      </c>
      <c r="C8" t="s">
        <v>20</v>
      </c>
      <c r="D8" s="15">
        <v>142772.39000000001</v>
      </c>
      <c r="E8" s="15">
        <v>1321317.07</v>
      </c>
      <c r="F8" s="15">
        <v>1395472.73</v>
      </c>
      <c r="G8" s="15">
        <v>68616.73</v>
      </c>
    </row>
    <row r="9" spans="1:7" x14ac:dyDescent="0.75">
      <c r="A9" s="50">
        <v>1461</v>
      </c>
      <c r="B9" t="s">
        <v>1029</v>
      </c>
      <c r="C9" t="s">
        <v>21</v>
      </c>
      <c r="D9" s="15">
        <v>0</v>
      </c>
      <c r="E9" s="15">
        <v>38032.699999999997</v>
      </c>
      <c r="F9" s="15">
        <v>38032.699999999997</v>
      </c>
      <c r="G9" s="15">
        <v>0</v>
      </c>
    </row>
    <row r="10" spans="1:7" x14ac:dyDescent="0.75">
      <c r="A10" s="50">
        <v>1598</v>
      </c>
      <c r="B10" t="s">
        <v>22</v>
      </c>
      <c r="C10" t="s">
        <v>23</v>
      </c>
      <c r="D10" s="15">
        <v>2432.35</v>
      </c>
      <c r="E10" s="15">
        <v>3300</v>
      </c>
      <c r="F10" s="15">
        <v>3116.32</v>
      </c>
      <c r="G10" s="15">
        <v>2616.0300000000002</v>
      </c>
    </row>
    <row r="11" spans="1:7" x14ac:dyDescent="0.75">
      <c r="A11" s="50">
        <v>1600</v>
      </c>
      <c r="B11" t="s">
        <v>24</v>
      </c>
      <c r="C11" t="s">
        <v>25</v>
      </c>
      <c r="D11" s="15">
        <v>82.96</v>
      </c>
      <c r="E11" s="15">
        <v>0</v>
      </c>
      <c r="F11" s="15">
        <v>0</v>
      </c>
      <c r="G11" s="15">
        <v>82.96</v>
      </c>
    </row>
    <row r="12" spans="1:7" x14ac:dyDescent="0.75">
      <c r="A12" s="50">
        <v>1949</v>
      </c>
      <c r="B12" t="s">
        <v>1254</v>
      </c>
      <c r="C12" t="s">
        <v>1220</v>
      </c>
      <c r="D12" s="15">
        <v>199806.48</v>
      </c>
      <c r="E12" s="15">
        <v>123393.76</v>
      </c>
      <c r="F12" s="15">
        <v>170454.77</v>
      </c>
      <c r="G12" s="15">
        <v>152745.47</v>
      </c>
    </row>
    <row r="13" spans="1:7" x14ac:dyDescent="0.75">
      <c r="A13" s="26">
        <v>10</v>
      </c>
      <c r="B13" s="28" t="s">
        <v>26</v>
      </c>
      <c r="C13" s="28" t="s">
        <v>27</v>
      </c>
      <c r="D13" s="29">
        <v>49982.32</v>
      </c>
      <c r="E13" s="29">
        <v>19487.009999999998</v>
      </c>
      <c r="F13" s="29">
        <v>19032.7</v>
      </c>
      <c r="G13" s="29">
        <v>50436.63</v>
      </c>
    </row>
    <row r="14" spans="1:7" x14ac:dyDescent="0.75">
      <c r="A14" s="50">
        <v>1462</v>
      </c>
      <c r="B14" t="s">
        <v>28</v>
      </c>
      <c r="C14" t="s">
        <v>29</v>
      </c>
      <c r="D14" s="15">
        <v>8717.9699999999993</v>
      </c>
      <c r="E14" s="15">
        <v>19053.740000000002</v>
      </c>
      <c r="F14" s="15">
        <v>19032.7</v>
      </c>
      <c r="G14" s="15">
        <v>8739.01</v>
      </c>
    </row>
    <row r="15" spans="1:7" x14ac:dyDescent="0.75">
      <c r="A15" s="50">
        <v>1463</v>
      </c>
      <c r="B15" t="s">
        <v>30</v>
      </c>
      <c r="C15" t="s">
        <v>31</v>
      </c>
      <c r="D15" s="15">
        <v>34035.279999999999</v>
      </c>
      <c r="E15" s="15">
        <v>357.1</v>
      </c>
      <c r="F15" s="15">
        <v>0</v>
      </c>
      <c r="G15" s="15">
        <v>34392.379999999997</v>
      </c>
    </row>
    <row r="16" spans="1:7" x14ac:dyDescent="0.75">
      <c r="A16" s="50">
        <v>1599</v>
      </c>
      <c r="B16" t="s">
        <v>32</v>
      </c>
      <c r="C16" t="s">
        <v>33</v>
      </c>
      <c r="D16" s="15">
        <v>7229.07</v>
      </c>
      <c r="E16" s="15">
        <v>76.17</v>
      </c>
      <c r="F16" s="15">
        <v>0</v>
      </c>
      <c r="G16" s="15">
        <v>7305.24</v>
      </c>
    </row>
    <row r="17" spans="1:7" x14ac:dyDescent="0.75">
      <c r="A17" s="26">
        <v>12</v>
      </c>
      <c r="B17" s="28" t="s">
        <v>34</v>
      </c>
      <c r="C17" s="28" t="s">
        <v>35</v>
      </c>
      <c r="D17" s="29">
        <v>1399247.61</v>
      </c>
      <c r="E17" s="29">
        <v>1560592.41</v>
      </c>
      <c r="F17" s="29">
        <v>1693025.53</v>
      </c>
      <c r="G17" s="29">
        <v>1266814.49</v>
      </c>
    </row>
    <row r="18" spans="1:7" x14ac:dyDescent="0.75">
      <c r="A18" s="26">
        <v>13</v>
      </c>
      <c r="B18" s="28" t="s">
        <v>36</v>
      </c>
      <c r="C18" s="28" t="s">
        <v>37</v>
      </c>
      <c r="D18" s="29">
        <v>2022787.14</v>
      </c>
      <c r="E18" s="29">
        <v>1317896.23</v>
      </c>
      <c r="F18" s="29">
        <v>1480190.27</v>
      </c>
      <c r="G18" s="29">
        <v>1860493.1</v>
      </c>
    </row>
    <row r="19" spans="1:7" outlineLevel="1" x14ac:dyDescent="0.75">
      <c r="A19" s="50">
        <v>709</v>
      </c>
      <c r="B19" t="s">
        <v>38</v>
      </c>
      <c r="C19" t="s">
        <v>39</v>
      </c>
      <c r="D19" s="15">
        <v>14442.37</v>
      </c>
      <c r="E19" s="15">
        <v>10630.9</v>
      </c>
      <c r="F19" s="15">
        <v>7451.2</v>
      </c>
      <c r="G19" s="15">
        <v>17622.07</v>
      </c>
    </row>
    <row r="20" spans="1:7" outlineLevel="1" x14ac:dyDescent="0.75">
      <c r="A20" s="50">
        <v>1124</v>
      </c>
      <c r="B20" t="s">
        <v>38</v>
      </c>
      <c r="C20" t="s">
        <v>40</v>
      </c>
      <c r="D20" s="15">
        <v>49275.4</v>
      </c>
      <c r="E20" s="15">
        <v>51879.06</v>
      </c>
      <c r="F20" s="15">
        <v>54167.63</v>
      </c>
      <c r="G20" s="15">
        <v>46986.83</v>
      </c>
    </row>
    <row r="21" spans="1:7" outlineLevel="1" x14ac:dyDescent="0.75">
      <c r="A21" s="50">
        <v>724</v>
      </c>
      <c r="B21" t="s">
        <v>38</v>
      </c>
      <c r="C21" t="s">
        <v>41</v>
      </c>
      <c r="D21" s="15">
        <v>3474.88</v>
      </c>
      <c r="E21" s="15">
        <v>7405.18</v>
      </c>
      <c r="F21" s="15">
        <v>4387.84</v>
      </c>
      <c r="G21" s="15">
        <v>6492.22</v>
      </c>
    </row>
    <row r="22" spans="1:7" outlineLevel="1" x14ac:dyDescent="0.75">
      <c r="A22" s="50">
        <v>713</v>
      </c>
      <c r="B22" t="s">
        <v>38</v>
      </c>
      <c r="C22" t="s">
        <v>42</v>
      </c>
      <c r="D22" s="15">
        <v>20207.47</v>
      </c>
      <c r="E22" s="15">
        <v>25064.84</v>
      </c>
      <c r="F22" s="15">
        <v>23193.54</v>
      </c>
      <c r="G22" s="15">
        <v>22078.77</v>
      </c>
    </row>
    <row r="23" spans="1:7" outlineLevel="1" x14ac:dyDescent="0.75">
      <c r="A23" s="50">
        <v>711</v>
      </c>
      <c r="B23" t="s">
        <v>38</v>
      </c>
      <c r="C23" t="s">
        <v>43</v>
      </c>
      <c r="D23" s="15">
        <v>67429.69</v>
      </c>
      <c r="E23" s="15">
        <v>52917.56</v>
      </c>
      <c r="F23" s="15">
        <v>66344.289999999994</v>
      </c>
      <c r="G23" s="15">
        <v>54002.96</v>
      </c>
    </row>
    <row r="24" spans="1:7" outlineLevel="1" x14ac:dyDescent="0.75">
      <c r="A24" s="50">
        <v>1729</v>
      </c>
      <c r="B24" t="s">
        <v>38</v>
      </c>
      <c r="C24" t="s">
        <v>44</v>
      </c>
      <c r="D24" s="15">
        <v>2207.37</v>
      </c>
      <c r="E24" s="15">
        <v>3715.86</v>
      </c>
      <c r="F24" s="15">
        <v>2231.12</v>
      </c>
      <c r="G24" s="15">
        <v>3692.11</v>
      </c>
    </row>
    <row r="25" spans="1:7" outlineLevel="1" x14ac:dyDescent="0.75">
      <c r="A25" s="50">
        <v>715</v>
      </c>
      <c r="B25" t="s">
        <v>38</v>
      </c>
      <c r="C25" t="s">
        <v>45</v>
      </c>
      <c r="D25" s="15">
        <v>8787.4599999999991</v>
      </c>
      <c r="E25" s="15">
        <v>0</v>
      </c>
      <c r="F25" s="15">
        <v>0</v>
      </c>
      <c r="G25" s="15">
        <v>8787.4599999999991</v>
      </c>
    </row>
    <row r="26" spans="1:7" outlineLevel="1" x14ac:dyDescent="0.75">
      <c r="A26" s="50">
        <v>1730</v>
      </c>
      <c r="B26" t="s">
        <v>38</v>
      </c>
      <c r="C26" t="s">
        <v>46</v>
      </c>
      <c r="D26" s="15">
        <v>4662.8</v>
      </c>
      <c r="E26" s="15">
        <v>0</v>
      </c>
      <c r="F26" s="15">
        <v>0</v>
      </c>
      <c r="G26" s="15">
        <v>4662.8</v>
      </c>
    </row>
    <row r="27" spans="1:7" outlineLevel="1" x14ac:dyDescent="0.75">
      <c r="A27" s="50">
        <v>710</v>
      </c>
      <c r="B27" t="s">
        <v>38</v>
      </c>
      <c r="C27" t="s">
        <v>47</v>
      </c>
      <c r="D27" s="15">
        <v>30644.68</v>
      </c>
      <c r="E27" s="15">
        <v>29242.47</v>
      </c>
      <c r="F27" s="15">
        <v>28066.76</v>
      </c>
      <c r="G27" s="15">
        <v>31820.39</v>
      </c>
    </row>
    <row r="28" spans="1:7" outlineLevel="1" x14ac:dyDescent="0.75">
      <c r="A28" s="50">
        <v>720</v>
      </c>
      <c r="B28" t="s">
        <v>38</v>
      </c>
      <c r="C28" t="s">
        <v>48</v>
      </c>
      <c r="D28" s="15">
        <v>17741.43</v>
      </c>
      <c r="E28" s="15">
        <v>20503.93</v>
      </c>
      <c r="F28" s="15">
        <v>20666.14</v>
      </c>
      <c r="G28" s="15">
        <v>17579.22</v>
      </c>
    </row>
    <row r="29" spans="1:7" outlineLevel="1" x14ac:dyDescent="0.75">
      <c r="A29" s="50">
        <v>712</v>
      </c>
      <c r="B29" t="s">
        <v>38</v>
      </c>
      <c r="C29" t="s">
        <v>49</v>
      </c>
      <c r="D29" s="15">
        <v>94419.07</v>
      </c>
      <c r="E29" s="15">
        <v>92975.73</v>
      </c>
      <c r="F29" s="15">
        <v>135071.56</v>
      </c>
      <c r="G29" s="15">
        <v>52323.24</v>
      </c>
    </row>
    <row r="30" spans="1:7" outlineLevel="1" x14ac:dyDescent="0.75">
      <c r="A30" s="50">
        <v>716</v>
      </c>
      <c r="B30" t="s">
        <v>38</v>
      </c>
      <c r="C30" t="s">
        <v>50</v>
      </c>
      <c r="D30" s="15">
        <v>27010.9</v>
      </c>
      <c r="E30" s="15">
        <v>23787.79</v>
      </c>
      <c r="F30" s="15">
        <v>23388.6</v>
      </c>
      <c r="G30" s="15">
        <v>27410.09</v>
      </c>
    </row>
    <row r="31" spans="1:7" outlineLevel="1" x14ac:dyDescent="0.75">
      <c r="A31" s="50">
        <v>1734</v>
      </c>
      <c r="B31" t="s">
        <v>38</v>
      </c>
      <c r="C31" t="s">
        <v>51</v>
      </c>
      <c r="D31" s="15">
        <v>4187.58</v>
      </c>
      <c r="E31" s="15">
        <v>4034.25</v>
      </c>
      <c r="F31" s="15">
        <v>5163.93</v>
      </c>
      <c r="G31" s="15">
        <v>3057.9</v>
      </c>
    </row>
    <row r="32" spans="1:7" outlineLevel="1" x14ac:dyDescent="0.75">
      <c r="A32" s="50">
        <v>917</v>
      </c>
      <c r="B32" t="s">
        <v>38</v>
      </c>
      <c r="C32" t="s">
        <v>52</v>
      </c>
      <c r="D32" s="15">
        <v>64056.55</v>
      </c>
      <c r="E32" s="15">
        <v>5215.62</v>
      </c>
      <c r="F32" s="15">
        <v>21156.45</v>
      </c>
      <c r="G32" s="15">
        <v>48115.72</v>
      </c>
    </row>
    <row r="33" spans="1:7" outlineLevel="1" x14ac:dyDescent="0.75">
      <c r="A33" s="50">
        <v>1738</v>
      </c>
      <c r="B33" t="s">
        <v>38</v>
      </c>
      <c r="C33" t="s">
        <v>53</v>
      </c>
      <c r="D33" s="15">
        <v>2247.39</v>
      </c>
      <c r="E33" s="15">
        <v>0</v>
      </c>
      <c r="F33" s="15">
        <v>0</v>
      </c>
      <c r="G33" s="15">
        <v>2247.39</v>
      </c>
    </row>
    <row r="34" spans="1:7" outlineLevel="1" x14ac:dyDescent="0.75">
      <c r="A34" s="50">
        <v>1736</v>
      </c>
      <c r="B34" t="s">
        <v>38</v>
      </c>
      <c r="C34" t="s">
        <v>54</v>
      </c>
      <c r="D34" s="15">
        <v>3411.67</v>
      </c>
      <c r="E34" s="15">
        <v>47108.83</v>
      </c>
      <c r="F34" s="15">
        <v>45967.83</v>
      </c>
      <c r="G34" s="15">
        <v>4552.67</v>
      </c>
    </row>
    <row r="35" spans="1:7" outlineLevel="1" x14ac:dyDescent="0.75">
      <c r="A35" s="50">
        <v>1739</v>
      </c>
      <c r="B35" t="s">
        <v>38</v>
      </c>
      <c r="C35" t="s">
        <v>55</v>
      </c>
      <c r="D35" s="15">
        <v>1816.73</v>
      </c>
      <c r="E35" s="15">
        <v>2445.64</v>
      </c>
      <c r="F35" s="15">
        <v>2521.34</v>
      </c>
      <c r="G35" s="15">
        <v>1741.03</v>
      </c>
    </row>
    <row r="36" spans="1:7" outlineLevel="1" x14ac:dyDescent="0.75">
      <c r="A36" s="50">
        <v>804</v>
      </c>
      <c r="B36" t="s">
        <v>38</v>
      </c>
      <c r="C36" t="s">
        <v>56</v>
      </c>
      <c r="D36" s="15">
        <v>13402.1</v>
      </c>
      <c r="E36" s="15">
        <v>15781.75</v>
      </c>
      <c r="F36" s="15">
        <v>27411.35</v>
      </c>
      <c r="G36" s="15">
        <v>1772.5</v>
      </c>
    </row>
    <row r="37" spans="1:7" outlineLevel="1" x14ac:dyDescent="0.75">
      <c r="A37" s="50">
        <v>806</v>
      </c>
      <c r="B37" t="s">
        <v>38</v>
      </c>
      <c r="C37" t="s">
        <v>57</v>
      </c>
      <c r="D37" s="15">
        <v>41516.81</v>
      </c>
      <c r="E37" s="15">
        <v>43781.1</v>
      </c>
      <c r="F37" s="15">
        <v>83641.210000000006</v>
      </c>
      <c r="G37" s="15">
        <v>1656.7</v>
      </c>
    </row>
    <row r="38" spans="1:7" outlineLevel="1" x14ac:dyDescent="0.75">
      <c r="A38" s="50">
        <v>717</v>
      </c>
      <c r="B38" t="s">
        <v>38</v>
      </c>
      <c r="C38" t="s">
        <v>58</v>
      </c>
      <c r="D38" s="15">
        <v>70522.02</v>
      </c>
      <c r="E38" s="15">
        <v>40278.400000000001</v>
      </c>
      <c r="F38" s="15">
        <v>43624.4</v>
      </c>
      <c r="G38" s="15">
        <v>67176.02</v>
      </c>
    </row>
    <row r="39" spans="1:7" outlineLevel="1" x14ac:dyDescent="0.75">
      <c r="A39" s="50">
        <v>1818</v>
      </c>
      <c r="B39" t="s">
        <v>38</v>
      </c>
      <c r="C39" t="s">
        <v>59</v>
      </c>
      <c r="D39" s="15">
        <v>27286.84</v>
      </c>
      <c r="E39" s="15">
        <v>58861.25</v>
      </c>
      <c r="F39" s="15">
        <v>59719.17</v>
      </c>
      <c r="G39" s="15">
        <v>26428.92</v>
      </c>
    </row>
    <row r="40" spans="1:7" outlineLevel="1" x14ac:dyDescent="0.75">
      <c r="A40" s="50">
        <v>718</v>
      </c>
      <c r="B40" t="s">
        <v>38</v>
      </c>
      <c r="C40" t="s">
        <v>60</v>
      </c>
      <c r="D40" s="15">
        <v>145.30000000000001</v>
      </c>
      <c r="E40" s="15">
        <v>0</v>
      </c>
      <c r="F40" s="15">
        <v>0</v>
      </c>
      <c r="G40" s="15">
        <v>145.30000000000001</v>
      </c>
    </row>
    <row r="41" spans="1:7" outlineLevel="1" x14ac:dyDescent="0.75">
      <c r="A41" s="50">
        <v>719</v>
      </c>
      <c r="B41" t="s">
        <v>38</v>
      </c>
      <c r="C41" s="69" t="s">
        <v>61</v>
      </c>
      <c r="D41" s="15">
        <v>106495.13</v>
      </c>
      <c r="E41" s="15">
        <v>5934.87</v>
      </c>
      <c r="F41" s="15">
        <v>7015.64</v>
      </c>
      <c r="G41" s="15">
        <v>105414.36</v>
      </c>
    </row>
    <row r="42" spans="1:7" outlineLevel="1" x14ac:dyDescent="0.75">
      <c r="A42" s="50">
        <v>1821</v>
      </c>
      <c r="B42" t="s">
        <v>38</v>
      </c>
      <c r="C42" t="s">
        <v>62</v>
      </c>
      <c r="D42" s="15">
        <v>12294.6</v>
      </c>
      <c r="E42" s="15">
        <v>3026.7</v>
      </c>
      <c r="F42" s="15">
        <v>3036.5</v>
      </c>
      <c r="G42" s="15">
        <v>12284.8</v>
      </c>
    </row>
    <row r="43" spans="1:7" outlineLevel="1" x14ac:dyDescent="0.75">
      <c r="A43" s="50">
        <v>714</v>
      </c>
      <c r="B43" t="s">
        <v>38</v>
      </c>
      <c r="C43" t="s">
        <v>63</v>
      </c>
      <c r="D43" s="15">
        <v>49553.31</v>
      </c>
      <c r="E43" s="15">
        <v>27615.86</v>
      </c>
      <c r="F43" s="15">
        <v>25649.93</v>
      </c>
      <c r="G43" s="15">
        <v>51519.24</v>
      </c>
    </row>
    <row r="44" spans="1:7" outlineLevel="1" x14ac:dyDescent="0.75">
      <c r="A44" s="50">
        <v>1024</v>
      </c>
      <c r="B44" t="s">
        <v>38</v>
      </c>
      <c r="C44" t="s">
        <v>64</v>
      </c>
      <c r="D44" s="15">
        <v>562959.54</v>
      </c>
      <c r="E44" s="15">
        <v>244972.69</v>
      </c>
      <c r="F44" s="15">
        <v>313497.75</v>
      </c>
      <c r="G44" s="15">
        <v>494434.48</v>
      </c>
    </row>
    <row r="45" spans="1:7" outlineLevel="1" x14ac:dyDescent="0.75">
      <c r="A45" s="50">
        <v>1199</v>
      </c>
      <c r="B45" t="s">
        <v>38</v>
      </c>
      <c r="C45" t="s">
        <v>269</v>
      </c>
      <c r="D45" s="15">
        <v>11400</v>
      </c>
      <c r="E45" s="15">
        <v>0</v>
      </c>
      <c r="F45" s="15">
        <v>0</v>
      </c>
      <c r="G45" s="15">
        <v>11400</v>
      </c>
    </row>
    <row r="46" spans="1:7" outlineLevel="1" x14ac:dyDescent="0.75">
      <c r="A46" s="50">
        <v>886</v>
      </c>
      <c r="B46" t="s">
        <v>38</v>
      </c>
      <c r="C46" t="s">
        <v>65</v>
      </c>
      <c r="D46" s="15">
        <v>57.41</v>
      </c>
      <c r="E46" s="15">
        <v>0</v>
      </c>
      <c r="F46" s="15">
        <v>0</v>
      </c>
      <c r="G46" s="15">
        <v>57.41</v>
      </c>
    </row>
    <row r="47" spans="1:7" outlineLevel="1" x14ac:dyDescent="0.75">
      <c r="A47" s="50">
        <v>883</v>
      </c>
      <c r="B47" t="s">
        <v>38</v>
      </c>
      <c r="C47" t="s">
        <v>66</v>
      </c>
      <c r="D47" s="15">
        <v>119896</v>
      </c>
      <c r="E47" s="15">
        <v>71298.25</v>
      </c>
      <c r="F47" s="15">
        <v>63623.29</v>
      </c>
      <c r="G47" s="15">
        <v>127570.96</v>
      </c>
    </row>
    <row r="48" spans="1:7" outlineLevel="1" x14ac:dyDescent="0.75">
      <c r="A48" s="50">
        <v>885</v>
      </c>
      <c r="B48" t="s">
        <v>38</v>
      </c>
      <c r="C48" t="s">
        <v>67</v>
      </c>
      <c r="D48" s="15">
        <v>24636.79</v>
      </c>
      <c r="E48" s="15">
        <v>14982.7</v>
      </c>
      <c r="F48" s="15">
        <v>11793.63</v>
      </c>
      <c r="G48" s="15">
        <v>27825.86</v>
      </c>
    </row>
    <row r="49" spans="1:7" outlineLevel="1" x14ac:dyDescent="0.75">
      <c r="A49" s="50">
        <v>882</v>
      </c>
      <c r="B49" t="s">
        <v>38</v>
      </c>
      <c r="C49" t="s">
        <v>68</v>
      </c>
      <c r="D49" s="15">
        <v>4951.51</v>
      </c>
      <c r="E49" s="15">
        <v>4063.9</v>
      </c>
      <c r="F49" s="15">
        <v>3270.47</v>
      </c>
      <c r="G49" s="15">
        <v>5744.94</v>
      </c>
    </row>
    <row r="50" spans="1:7" outlineLevel="1" x14ac:dyDescent="0.75">
      <c r="A50" s="50">
        <v>884</v>
      </c>
      <c r="B50" t="s">
        <v>38</v>
      </c>
      <c r="C50" t="s">
        <v>69</v>
      </c>
      <c r="D50" s="15">
        <v>93011.8</v>
      </c>
      <c r="E50" s="15">
        <v>64526.3</v>
      </c>
      <c r="F50" s="15">
        <v>58198.51</v>
      </c>
      <c r="G50" s="15">
        <v>99339.59</v>
      </c>
    </row>
    <row r="51" spans="1:7" outlineLevel="1" x14ac:dyDescent="0.75">
      <c r="A51" s="50">
        <v>881</v>
      </c>
      <c r="B51" t="s">
        <v>38</v>
      </c>
      <c r="C51" t="s">
        <v>951</v>
      </c>
      <c r="D51" s="15">
        <v>4451.75</v>
      </c>
      <c r="E51" s="15">
        <v>5440.5</v>
      </c>
      <c r="F51" s="15">
        <v>2467.13</v>
      </c>
      <c r="G51" s="15">
        <v>7425.12</v>
      </c>
    </row>
    <row r="52" spans="1:7" outlineLevel="1" x14ac:dyDescent="0.75">
      <c r="A52" s="50">
        <v>1025</v>
      </c>
      <c r="B52" t="s">
        <v>38</v>
      </c>
      <c r="C52" t="s">
        <v>70</v>
      </c>
      <c r="D52" s="15">
        <v>60841</v>
      </c>
      <c r="E52" s="15">
        <v>33021.199999999997</v>
      </c>
      <c r="F52" s="15">
        <v>36243.32</v>
      </c>
      <c r="G52" s="15">
        <v>57618.879999999997</v>
      </c>
    </row>
    <row r="53" spans="1:7" outlineLevel="1" x14ac:dyDescent="0.75">
      <c r="A53" s="50">
        <v>707</v>
      </c>
      <c r="B53" t="s">
        <v>38</v>
      </c>
      <c r="C53" t="s">
        <v>71</v>
      </c>
      <c r="D53" s="15">
        <v>94066.97</v>
      </c>
      <c r="E53" s="15">
        <v>66352.58</v>
      </c>
      <c r="F53" s="15">
        <v>128485.15</v>
      </c>
      <c r="G53" s="15">
        <v>31934.400000000001</v>
      </c>
    </row>
    <row r="54" spans="1:7" outlineLevel="1" x14ac:dyDescent="0.75">
      <c r="A54" s="50">
        <v>1741</v>
      </c>
      <c r="B54" t="s">
        <v>38</v>
      </c>
      <c r="C54" t="s">
        <v>74</v>
      </c>
      <c r="D54" s="15">
        <v>683.54</v>
      </c>
      <c r="E54" s="15">
        <v>0</v>
      </c>
      <c r="F54" s="15">
        <v>0</v>
      </c>
      <c r="G54" s="15">
        <v>683.54</v>
      </c>
    </row>
    <row r="55" spans="1:7" outlineLevel="1" x14ac:dyDescent="0.75">
      <c r="A55" s="50">
        <v>1744</v>
      </c>
      <c r="B55" t="s">
        <v>38</v>
      </c>
      <c r="C55" t="s">
        <v>76</v>
      </c>
      <c r="D55" s="15">
        <v>805.45</v>
      </c>
      <c r="E55" s="15">
        <v>0</v>
      </c>
      <c r="F55" s="15">
        <v>0</v>
      </c>
      <c r="G55" s="15">
        <v>805.45</v>
      </c>
    </row>
    <row r="56" spans="1:7" outlineLevel="1" x14ac:dyDescent="0.75">
      <c r="A56" s="50">
        <v>1742</v>
      </c>
      <c r="B56" t="s">
        <v>38</v>
      </c>
      <c r="C56" t="s">
        <v>77</v>
      </c>
      <c r="D56" s="15">
        <v>913.82</v>
      </c>
      <c r="E56" s="15">
        <v>0</v>
      </c>
      <c r="F56" s="15">
        <v>0</v>
      </c>
      <c r="G56" s="15">
        <v>913.82</v>
      </c>
    </row>
    <row r="57" spans="1:7" outlineLevel="1" x14ac:dyDescent="0.75">
      <c r="A57" s="50">
        <v>1788</v>
      </c>
      <c r="B57" t="s">
        <v>78</v>
      </c>
      <c r="C57" t="s">
        <v>81</v>
      </c>
      <c r="D57" s="15">
        <v>1277</v>
      </c>
      <c r="E57" s="15">
        <v>5250.5</v>
      </c>
      <c r="F57" s="15">
        <v>6527.5</v>
      </c>
      <c r="G57" s="15">
        <v>0</v>
      </c>
    </row>
    <row r="58" spans="1:7" outlineLevel="1" x14ac:dyDescent="0.75">
      <c r="A58" s="50">
        <v>1543</v>
      </c>
      <c r="B58" t="s">
        <v>78</v>
      </c>
      <c r="C58" t="s">
        <v>82</v>
      </c>
      <c r="D58" s="15">
        <v>698.95</v>
      </c>
      <c r="E58" s="15">
        <v>1701.26</v>
      </c>
      <c r="F58" s="15">
        <v>2375.92</v>
      </c>
      <c r="G58" s="15">
        <v>24.29</v>
      </c>
    </row>
    <row r="59" spans="1:7" outlineLevel="1" x14ac:dyDescent="0.75">
      <c r="A59" s="50">
        <v>1508</v>
      </c>
      <c r="B59" t="s">
        <v>78</v>
      </c>
      <c r="C59" t="s">
        <v>83</v>
      </c>
      <c r="D59" s="15">
        <v>121607.6</v>
      </c>
      <c r="E59" s="15">
        <v>87003.3</v>
      </c>
      <c r="F59" s="15">
        <v>84577.16</v>
      </c>
      <c r="G59" s="15">
        <v>124033.74</v>
      </c>
    </row>
    <row r="60" spans="1:7" outlineLevel="1" x14ac:dyDescent="0.75">
      <c r="A60" s="50">
        <v>1527</v>
      </c>
      <c r="B60" t="s">
        <v>78</v>
      </c>
      <c r="C60" t="s">
        <v>84</v>
      </c>
      <c r="D60" s="15">
        <v>29.5</v>
      </c>
      <c r="E60" s="15">
        <v>0</v>
      </c>
      <c r="F60" s="15">
        <v>0</v>
      </c>
      <c r="G60" s="15">
        <v>29.5</v>
      </c>
    </row>
    <row r="61" spans="1:7" outlineLevel="1" x14ac:dyDescent="0.75">
      <c r="A61" s="50">
        <v>1901</v>
      </c>
      <c r="B61" t="s">
        <v>78</v>
      </c>
      <c r="C61" t="s">
        <v>952</v>
      </c>
      <c r="D61" s="15">
        <v>484.5</v>
      </c>
      <c r="E61" s="15">
        <v>0</v>
      </c>
      <c r="F61" s="15">
        <v>0</v>
      </c>
      <c r="G61" s="15">
        <v>484.5</v>
      </c>
    </row>
    <row r="62" spans="1:7" outlineLevel="1" x14ac:dyDescent="0.75">
      <c r="A62" s="50">
        <v>1765</v>
      </c>
      <c r="B62" t="s">
        <v>78</v>
      </c>
      <c r="C62" t="s">
        <v>85</v>
      </c>
      <c r="D62" s="15">
        <v>57739.68</v>
      </c>
      <c r="E62" s="15">
        <v>27842.35</v>
      </c>
      <c r="F62" s="15">
        <v>13209.01</v>
      </c>
      <c r="G62" s="15">
        <v>72373.02</v>
      </c>
    </row>
    <row r="63" spans="1:7" outlineLevel="1" x14ac:dyDescent="0.75">
      <c r="A63" s="50">
        <v>1751</v>
      </c>
      <c r="B63" t="s">
        <v>86</v>
      </c>
      <c r="C63" t="s">
        <v>88</v>
      </c>
      <c r="D63" s="15">
        <v>11159.08</v>
      </c>
      <c r="E63" s="15">
        <v>25067.15</v>
      </c>
      <c r="F63" s="15">
        <v>8342.84</v>
      </c>
      <c r="G63" s="15">
        <v>27883.39</v>
      </c>
    </row>
    <row r="64" spans="1:7" outlineLevel="1" x14ac:dyDescent="0.75">
      <c r="A64" s="50">
        <v>1748</v>
      </c>
      <c r="B64" t="s">
        <v>86</v>
      </c>
      <c r="C64" t="s">
        <v>89</v>
      </c>
      <c r="D64" s="15">
        <v>10078.23</v>
      </c>
      <c r="E64" s="15">
        <v>15847.55</v>
      </c>
      <c r="F64" s="15">
        <v>11221.33</v>
      </c>
      <c r="G64" s="15">
        <v>14704.45</v>
      </c>
    </row>
    <row r="65" spans="1:7" outlineLevel="1" x14ac:dyDescent="0.75">
      <c r="A65" s="50">
        <v>1752</v>
      </c>
      <c r="B65" t="s">
        <v>86</v>
      </c>
      <c r="C65" t="s">
        <v>90</v>
      </c>
      <c r="D65" s="15">
        <v>9140.2199999999993</v>
      </c>
      <c r="E65" s="15">
        <v>12330.5</v>
      </c>
      <c r="F65" s="15">
        <v>5549.2</v>
      </c>
      <c r="G65" s="15">
        <v>15921.52</v>
      </c>
    </row>
    <row r="66" spans="1:7" outlineLevel="1" x14ac:dyDescent="0.75">
      <c r="A66" s="50">
        <v>1749</v>
      </c>
      <c r="B66" t="s">
        <v>86</v>
      </c>
      <c r="C66" t="s">
        <v>91</v>
      </c>
      <c r="D66" s="15">
        <v>108.63</v>
      </c>
      <c r="E66" s="15">
        <v>0</v>
      </c>
      <c r="F66" s="15">
        <v>0</v>
      </c>
      <c r="G66" s="15">
        <v>108.63</v>
      </c>
    </row>
    <row r="67" spans="1:7" outlineLevel="1" x14ac:dyDescent="0.75">
      <c r="A67" s="50">
        <v>1696</v>
      </c>
      <c r="B67" t="s">
        <v>86</v>
      </c>
      <c r="C67" t="s">
        <v>92</v>
      </c>
      <c r="D67" s="15">
        <v>8569.0499999999993</v>
      </c>
      <c r="E67" s="15">
        <v>12186.2</v>
      </c>
      <c r="F67" s="15">
        <v>0</v>
      </c>
      <c r="G67" s="15">
        <v>20755.25</v>
      </c>
    </row>
    <row r="68" spans="1:7" outlineLevel="1" x14ac:dyDescent="0.75">
      <c r="A68" s="50">
        <v>1747</v>
      </c>
      <c r="B68" t="s">
        <v>86</v>
      </c>
      <c r="C68" t="s">
        <v>93</v>
      </c>
      <c r="D68" s="15">
        <v>26315.599999999999</v>
      </c>
      <c r="E68" s="15">
        <v>35649.5</v>
      </c>
      <c r="F68" s="15">
        <v>18794.68</v>
      </c>
      <c r="G68" s="15">
        <v>43170.42</v>
      </c>
    </row>
    <row r="69" spans="1:7" outlineLevel="1" x14ac:dyDescent="0.75">
      <c r="A69" s="50">
        <v>1750</v>
      </c>
      <c r="B69" t="s">
        <v>86</v>
      </c>
      <c r="C69" t="s">
        <v>94</v>
      </c>
      <c r="D69" s="15">
        <v>123.1</v>
      </c>
      <c r="E69" s="15">
        <v>0</v>
      </c>
      <c r="F69" s="15">
        <v>0</v>
      </c>
      <c r="G69" s="15">
        <v>123.1</v>
      </c>
    </row>
    <row r="70" spans="1:7" outlineLevel="1" x14ac:dyDescent="0.75">
      <c r="A70" s="50">
        <v>1789</v>
      </c>
      <c r="B70" t="s">
        <v>86</v>
      </c>
      <c r="C70" t="s">
        <v>95</v>
      </c>
      <c r="D70" s="15">
        <v>12316</v>
      </c>
      <c r="E70" s="15">
        <v>4598.5</v>
      </c>
      <c r="F70" s="15">
        <v>6502.5</v>
      </c>
      <c r="G70" s="15">
        <v>10412</v>
      </c>
    </row>
    <row r="71" spans="1:7" outlineLevel="1" x14ac:dyDescent="0.75">
      <c r="A71" s="50">
        <v>1852</v>
      </c>
      <c r="B71" t="s">
        <v>101</v>
      </c>
      <c r="C71" t="s">
        <v>102</v>
      </c>
      <c r="D71" s="15">
        <v>25219.86</v>
      </c>
      <c r="E71" s="15">
        <v>9305.7099999999991</v>
      </c>
      <c r="F71" s="15">
        <v>14459.8</v>
      </c>
      <c r="G71" s="15">
        <v>20065.77</v>
      </c>
    </row>
    <row r="72" spans="1:7" outlineLevel="1" x14ac:dyDescent="0.75">
      <c r="A72" s="50">
        <v>1977</v>
      </c>
      <c r="B72" t="s">
        <v>101</v>
      </c>
      <c r="C72" t="s">
        <v>1339</v>
      </c>
      <c r="D72" s="15">
        <v>0</v>
      </c>
      <c r="E72" s="15">
        <v>1079</v>
      </c>
      <c r="F72" s="15">
        <v>0</v>
      </c>
      <c r="G72" s="15">
        <v>1079</v>
      </c>
    </row>
    <row r="73" spans="1:7" outlineLevel="1" x14ac:dyDescent="0.75">
      <c r="A73" s="50">
        <v>1782</v>
      </c>
      <c r="B73" t="s">
        <v>103</v>
      </c>
      <c r="C73" t="s">
        <v>104</v>
      </c>
      <c r="D73" s="15">
        <v>5661.75</v>
      </c>
      <c r="E73" s="15">
        <v>0</v>
      </c>
      <c r="F73" s="15">
        <v>0</v>
      </c>
      <c r="G73" s="15">
        <v>5661.75</v>
      </c>
    </row>
    <row r="74" spans="1:7" outlineLevel="1" x14ac:dyDescent="0.75">
      <c r="A74" s="50">
        <v>1784</v>
      </c>
      <c r="B74" t="s">
        <v>105</v>
      </c>
      <c r="C74" t="s">
        <v>106</v>
      </c>
      <c r="D74" s="15">
        <v>8103.56</v>
      </c>
      <c r="E74" s="15">
        <v>0</v>
      </c>
      <c r="F74" s="15">
        <v>0</v>
      </c>
      <c r="G74" s="15">
        <v>8103.56</v>
      </c>
    </row>
    <row r="75" spans="1:7" outlineLevel="1" x14ac:dyDescent="0.75">
      <c r="A75" s="50">
        <v>1785</v>
      </c>
      <c r="B75" t="s">
        <v>107</v>
      </c>
      <c r="C75" t="s">
        <v>108</v>
      </c>
      <c r="D75" s="15">
        <v>8239.7000000000007</v>
      </c>
      <c r="E75" s="15">
        <v>0</v>
      </c>
      <c r="F75" s="15">
        <v>0</v>
      </c>
      <c r="G75" s="15">
        <v>8239.7000000000007</v>
      </c>
    </row>
    <row r="76" spans="1:7" outlineLevel="1" x14ac:dyDescent="0.75">
      <c r="A76" s="50">
        <v>1363</v>
      </c>
      <c r="B76" t="s">
        <v>813</v>
      </c>
      <c r="C76" t="s">
        <v>814</v>
      </c>
      <c r="D76" s="15">
        <v>0</v>
      </c>
      <c r="E76" s="15">
        <v>3169</v>
      </c>
      <c r="F76" s="15">
        <v>1174.6500000000001</v>
      </c>
      <c r="G76" s="15">
        <v>1994.35</v>
      </c>
    </row>
    <row r="77" spans="1:7" x14ac:dyDescent="0.75">
      <c r="A77" s="26">
        <v>16</v>
      </c>
      <c r="B77" s="28" t="s">
        <v>109</v>
      </c>
      <c r="C77" s="28" t="s">
        <v>110</v>
      </c>
      <c r="D77" s="29">
        <v>-465174.85</v>
      </c>
      <c r="E77" s="29">
        <v>197020.68</v>
      </c>
      <c r="F77" s="29">
        <v>164357.82</v>
      </c>
      <c r="G77" s="29">
        <v>-432511.99</v>
      </c>
    </row>
    <row r="78" spans="1:7" hidden="1" outlineLevel="1" x14ac:dyDescent="0.75">
      <c r="A78" s="50">
        <v>1428</v>
      </c>
      <c r="B78" t="s">
        <v>111</v>
      </c>
      <c r="C78" t="s">
        <v>112</v>
      </c>
      <c r="D78" s="15">
        <v>-356719.26</v>
      </c>
      <c r="E78" s="15">
        <v>104043.34</v>
      </c>
      <c r="F78" s="15">
        <v>95841.37</v>
      </c>
      <c r="G78" s="15">
        <v>-348517.29</v>
      </c>
    </row>
    <row r="79" spans="1:7" hidden="1" outlineLevel="1" x14ac:dyDescent="0.75">
      <c r="A79" s="50">
        <v>1424</v>
      </c>
      <c r="B79" t="s">
        <v>113</v>
      </c>
      <c r="C79" t="s">
        <v>114</v>
      </c>
      <c r="D79" s="15">
        <v>-22596.34</v>
      </c>
      <c r="E79" s="15">
        <v>32017.65</v>
      </c>
      <c r="F79" s="15">
        <v>16988.43</v>
      </c>
      <c r="G79" s="15">
        <v>-7567.12</v>
      </c>
    </row>
    <row r="80" spans="1:7" hidden="1" outlineLevel="1" x14ac:dyDescent="0.75">
      <c r="A80" s="50">
        <v>1427</v>
      </c>
      <c r="B80" t="s">
        <v>115</v>
      </c>
      <c r="C80" t="s">
        <v>116</v>
      </c>
      <c r="D80" s="15">
        <v>-87377.56</v>
      </c>
      <c r="E80" s="15">
        <v>13826.7</v>
      </c>
      <c r="F80" s="15">
        <v>0</v>
      </c>
      <c r="G80" s="15">
        <v>-73550.86</v>
      </c>
    </row>
    <row r="81" spans="1:7" hidden="1" outlineLevel="1" x14ac:dyDescent="0.75">
      <c r="A81" s="50">
        <v>1398</v>
      </c>
      <c r="B81" t="s">
        <v>117</v>
      </c>
      <c r="C81" t="s">
        <v>118</v>
      </c>
      <c r="D81" s="15">
        <v>4292.4799999999996</v>
      </c>
      <c r="E81" s="15">
        <v>20623.75</v>
      </c>
      <c r="F81" s="15">
        <v>28415.22</v>
      </c>
      <c r="G81" s="15">
        <v>-3498.99</v>
      </c>
    </row>
    <row r="82" spans="1:7" hidden="1" outlineLevel="1" x14ac:dyDescent="0.75">
      <c r="A82" s="50">
        <v>1426</v>
      </c>
      <c r="B82" t="s">
        <v>119</v>
      </c>
      <c r="C82" t="s">
        <v>120</v>
      </c>
      <c r="D82" s="15">
        <v>6475.47</v>
      </c>
      <c r="E82" s="15">
        <v>7709.15</v>
      </c>
      <c r="F82" s="15">
        <v>5321.83</v>
      </c>
      <c r="G82" s="15">
        <v>8862.7900000000009</v>
      </c>
    </row>
    <row r="83" spans="1:7" hidden="1" outlineLevel="1" x14ac:dyDescent="0.75">
      <c r="A83" s="50">
        <v>1423</v>
      </c>
      <c r="B83" t="s">
        <v>121</v>
      </c>
      <c r="C83" t="s">
        <v>122</v>
      </c>
      <c r="D83" s="15">
        <v>22975.34</v>
      </c>
      <c r="E83" s="15">
        <v>0</v>
      </c>
      <c r="F83" s="15">
        <v>0</v>
      </c>
      <c r="G83" s="15">
        <v>22975.34</v>
      </c>
    </row>
    <row r="84" spans="1:7" hidden="1" outlineLevel="1" x14ac:dyDescent="0.75">
      <c r="A84" s="50">
        <v>1810</v>
      </c>
      <c r="B84" t="s">
        <v>123</v>
      </c>
      <c r="C84" t="s">
        <v>124</v>
      </c>
      <c r="D84" s="15">
        <v>-12755.71</v>
      </c>
      <c r="E84" s="15">
        <v>0</v>
      </c>
      <c r="F84" s="15">
        <v>1389.27</v>
      </c>
      <c r="G84" s="15">
        <v>-14144.98</v>
      </c>
    </row>
    <row r="85" spans="1:7" hidden="1" outlineLevel="1" x14ac:dyDescent="0.75">
      <c r="A85" s="50">
        <v>1921</v>
      </c>
      <c r="B85" t="s">
        <v>1069</v>
      </c>
      <c r="C85" t="s">
        <v>1044</v>
      </c>
      <c r="D85" s="15">
        <v>-15555.71</v>
      </c>
      <c r="E85" s="15">
        <v>15182.8</v>
      </c>
      <c r="F85" s="15">
        <v>12300</v>
      </c>
      <c r="G85" s="15">
        <v>-12672.91</v>
      </c>
    </row>
    <row r="86" spans="1:7" hidden="1" outlineLevel="1" x14ac:dyDescent="0.75">
      <c r="A86" s="50">
        <v>1946</v>
      </c>
      <c r="B86" t="s">
        <v>1255</v>
      </c>
      <c r="C86" t="s">
        <v>1227</v>
      </c>
      <c r="D86" s="15">
        <v>-3913.56</v>
      </c>
      <c r="E86" s="15">
        <v>3617.29</v>
      </c>
      <c r="F86" s="15">
        <v>4101.7</v>
      </c>
      <c r="G86" s="15">
        <v>-4397.97</v>
      </c>
    </row>
    <row r="87" spans="1:7" collapsed="1" x14ac:dyDescent="0.75">
      <c r="A87" s="26">
        <v>17</v>
      </c>
      <c r="B87" s="28" t="s">
        <v>125</v>
      </c>
      <c r="C87" s="28" t="s">
        <v>126</v>
      </c>
      <c r="D87" s="29">
        <v>-158364.68</v>
      </c>
      <c r="E87" s="29">
        <v>45675.5</v>
      </c>
      <c r="F87" s="29">
        <v>48477.440000000002</v>
      </c>
      <c r="G87" s="29">
        <v>-161166.62</v>
      </c>
    </row>
    <row r="88" spans="1:7" hidden="1" outlineLevel="1" x14ac:dyDescent="0.75">
      <c r="A88" s="50">
        <v>1436</v>
      </c>
      <c r="B88" t="s">
        <v>127</v>
      </c>
      <c r="C88" t="s">
        <v>128</v>
      </c>
      <c r="D88" s="15">
        <v>-94723.56</v>
      </c>
      <c r="E88" s="15">
        <v>0</v>
      </c>
      <c r="F88" s="15">
        <v>1040.6400000000001</v>
      </c>
      <c r="G88" s="15">
        <v>-95764.2</v>
      </c>
    </row>
    <row r="89" spans="1:7" hidden="1" outlineLevel="1" x14ac:dyDescent="0.75">
      <c r="A89" s="50">
        <v>1435</v>
      </c>
      <c r="B89" t="s">
        <v>129</v>
      </c>
      <c r="C89" t="s">
        <v>130</v>
      </c>
      <c r="D89" s="15">
        <v>-7492.67</v>
      </c>
      <c r="E89" s="15">
        <v>454.45</v>
      </c>
      <c r="F89" s="15">
        <v>266.39999999999998</v>
      </c>
      <c r="G89" s="15">
        <v>-7304.62</v>
      </c>
    </row>
    <row r="90" spans="1:7" hidden="1" outlineLevel="1" x14ac:dyDescent="0.75">
      <c r="A90" s="50">
        <v>1434</v>
      </c>
      <c r="B90" t="s">
        <v>131</v>
      </c>
      <c r="C90" t="s">
        <v>132</v>
      </c>
      <c r="D90" s="15">
        <v>10293.64</v>
      </c>
      <c r="E90" s="15">
        <v>29934.9</v>
      </c>
      <c r="F90" s="15">
        <v>21046.77</v>
      </c>
      <c r="G90" s="15">
        <v>19181.77</v>
      </c>
    </row>
    <row r="91" spans="1:7" hidden="1" outlineLevel="1" x14ac:dyDescent="0.75">
      <c r="A91" s="50">
        <v>1523</v>
      </c>
      <c r="B91" t="s">
        <v>1256</v>
      </c>
      <c r="C91" t="s">
        <v>1228</v>
      </c>
      <c r="D91" s="15">
        <v>1463.7</v>
      </c>
      <c r="E91" s="15">
        <v>6729.67</v>
      </c>
      <c r="F91" s="15">
        <v>12430.26</v>
      </c>
      <c r="G91" s="15">
        <v>-4236.8900000000003</v>
      </c>
    </row>
    <row r="92" spans="1:7" hidden="1" outlineLevel="1" x14ac:dyDescent="0.75">
      <c r="A92" s="50">
        <v>1429</v>
      </c>
      <c r="B92" t="s">
        <v>133</v>
      </c>
      <c r="C92" t="s">
        <v>134</v>
      </c>
      <c r="D92" s="15">
        <v>-75052.86</v>
      </c>
      <c r="E92" s="15">
        <v>5292.68</v>
      </c>
      <c r="F92" s="15">
        <v>7909.82</v>
      </c>
      <c r="G92" s="15">
        <v>-77670</v>
      </c>
    </row>
    <row r="93" spans="1:7" hidden="1" outlineLevel="1" x14ac:dyDescent="0.75">
      <c r="A93" s="50">
        <v>1433</v>
      </c>
      <c r="B93" t="s">
        <v>135</v>
      </c>
      <c r="C93" t="s">
        <v>136</v>
      </c>
      <c r="D93" s="15">
        <v>6580.7</v>
      </c>
      <c r="E93" s="15">
        <v>3263.8</v>
      </c>
      <c r="F93" s="15">
        <v>5783.55</v>
      </c>
      <c r="G93" s="15">
        <v>4060.95</v>
      </c>
    </row>
    <row r="94" spans="1:7" hidden="1" outlineLevel="1" x14ac:dyDescent="0.75">
      <c r="A94" s="50">
        <v>1431</v>
      </c>
      <c r="B94" t="s">
        <v>137</v>
      </c>
      <c r="C94" t="s">
        <v>138</v>
      </c>
      <c r="D94" s="15">
        <v>490.79</v>
      </c>
      <c r="E94" s="15">
        <v>0</v>
      </c>
      <c r="F94" s="15">
        <v>0</v>
      </c>
      <c r="G94" s="15">
        <v>490.79</v>
      </c>
    </row>
    <row r="95" spans="1:7" hidden="1" outlineLevel="1" x14ac:dyDescent="0.75">
      <c r="A95" s="50">
        <v>1964</v>
      </c>
      <c r="B95" t="s">
        <v>1257</v>
      </c>
      <c r="C95" t="s">
        <v>1229</v>
      </c>
      <c r="D95" s="15">
        <v>75.58</v>
      </c>
      <c r="E95" s="15">
        <v>0</v>
      </c>
      <c r="F95" s="15">
        <v>0</v>
      </c>
      <c r="G95" s="15">
        <v>75.58</v>
      </c>
    </row>
    <row r="96" spans="1:7" collapsed="1" x14ac:dyDescent="0.75">
      <c r="A96" s="26">
        <v>18</v>
      </c>
      <c r="B96" s="28" t="s">
        <v>139</v>
      </c>
      <c r="C96" s="28" t="s">
        <v>140</v>
      </c>
      <c r="D96" s="29">
        <v>223359.23</v>
      </c>
      <c r="E96" s="29">
        <v>109624.05</v>
      </c>
      <c r="F96" s="29">
        <v>106251.17</v>
      </c>
      <c r="G96" s="29">
        <v>226732.11</v>
      </c>
    </row>
    <row r="97" spans="1:7" x14ac:dyDescent="0.75">
      <c r="A97" s="26">
        <v>23</v>
      </c>
      <c r="B97" s="28" t="s">
        <v>141</v>
      </c>
      <c r="C97" s="28" t="s">
        <v>142</v>
      </c>
      <c r="D97" s="29">
        <v>19728.2</v>
      </c>
      <c r="E97" s="29">
        <v>3502.73</v>
      </c>
      <c r="F97" s="29">
        <v>2900.48</v>
      </c>
      <c r="G97" s="29">
        <v>20330.45</v>
      </c>
    </row>
    <row r="98" spans="1:7" x14ac:dyDescent="0.75">
      <c r="A98" s="50">
        <v>560</v>
      </c>
      <c r="B98" t="s">
        <v>143</v>
      </c>
      <c r="C98" t="s">
        <v>144</v>
      </c>
      <c r="D98" s="15">
        <v>3839.45</v>
      </c>
      <c r="E98" s="15">
        <v>3502.73</v>
      </c>
      <c r="F98" s="15">
        <v>0</v>
      </c>
      <c r="G98" s="15">
        <v>7342.18</v>
      </c>
    </row>
    <row r="99" spans="1:7" x14ac:dyDescent="0.75">
      <c r="A99" s="50">
        <v>1860</v>
      </c>
      <c r="B99" t="s">
        <v>157</v>
      </c>
      <c r="C99" t="s">
        <v>158</v>
      </c>
      <c r="D99" s="15">
        <v>6800</v>
      </c>
      <c r="E99" s="15">
        <v>0</v>
      </c>
      <c r="F99" s="15">
        <v>0</v>
      </c>
      <c r="G99" s="15">
        <v>6800</v>
      </c>
    </row>
    <row r="100" spans="1:7" x14ac:dyDescent="0.75">
      <c r="A100" s="50">
        <v>1928</v>
      </c>
      <c r="B100" t="s">
        <v>1076</v>
      </c>
      <c r="C100" t="s">
        <v>1047</v>
      </c>
      <c r="D100" s="15">
        <v>3129.4</v>
      </c>
      <c r="E100" s="15">
        <v>0</v>
      </c>
      <c r="F100" s="15">
        <v>0</v>
      </c>
      <c r="G100" s="15">
        <v>3129.4</v>
      </c>
    </row>
    <row r="101" spans="1:7" x14ac:dyDescent="0.75">
      <c r="A101" s="50">
        <v>1933</v>
      </c>
      <c r="B101" t="s">
        <v>1081</v>
      </c>
      <c r="C101" t="s">
        <v>1052</v>
      </c>
      <c r="D101" s="15">
        <v>1245.1600000000001</v>
      </c>
      <c r="E101" s="15">
        <v>0</v>
      </c>
      <c r="F101" s="15">
        <v>0</v>
      </c>
      <c r="G101" s="15">
        <v>1245.1600000000001</v>
      </c>
    </row>
    <row r="102" spans="1:7" x14ac:dyDescent="0.75">
      <c r="A102" s="50">
        <v>1956</v>
      </c>
      <c r="B102" t="s">
        <v>1258</v>
      </c>
      <c r="C102" t="s">
        <v>1259</v>
      </c>
      <c r="D102" s="15">
        <v>261.77999999999997</v>
      </c>
      <c r="E102" s="15">
        <v>0</v>
      </c>
      <c r="F102" s="15">
        <v>0</v>
      </c>
      <c r="G102" s="15">
        <v>261.77999999999997</v>
      </c>
    </row>
    <row r="103" spans="1:7" x14ac:dyDescent="0.75">
      <c r="A103" s="50">
        <v>1965</v>
      </c>
      <c r="B103" t="s">
        <v>1260</v>
      </c>
      <c r="C103" t="s">
        <v>1230</v>
      </c>
      <c r="D103" s="15">
        <v>880.48</v>
      </c>
      <c r="E103" s="15">
        <v>0</v>
      </c>
      <c r="F103" s="15">
        <v>880.48</v>
      </c>
      <c r="G103" s="15">
        <v>0</v>
      </c>
    </row>
    <row r="104" spans="1:7" x14ac:dyDescent="0.75">
      <c r="A104" s="50">
        <v>1966</v>
      </c>
      <c r="B104" t="s">
        <v>1261</v>
      </c>
      <c r="C104" t="s">
        <v>1231</v>
      </c>
      <c r="D104" s="15">
        <v>320</v>
      </c>
      <c r="E104" s="15">
        <v>0</v>
      </c>
      <c r="F104" s="15">
        <v>320</v>
      </c>
      <c r="G104" s="15">
        <v>0</v>
      </c>
    </row>
    <row r="105" spans="1:7" x14ac:dyDescent="0.75">
      <c r="A105" s="50">
        <v>1967</v>
      </c>
      <c r="B105" t="s">
        <v>1262</v>
      </c>
      <c r="C105" t="s">
        <v>1232</v>
      </c>
      <c r="D105" s="15">
        <v>1700</v>
      </c>
      <c r="E105" s="15">
        <v>0</v>
      </c>
      <c r="F105" s="15">
        <v>1700</v>
      </c>
      <c r="G105" s="15">
        <v>0</v>
      </c>
    </row>
    <row r="106" spans="1:7" x14ac:dyDescent="0.75">
      <c r="A106" s="50">
        <v>1968</v>
      </c>
      <c r="B106" t="s">
        <v>1263</v>
      </c>
      <c r="C106" t="s">
        <v>1233</v>
      </c>
      <c r="D106" s="15">
        <v>1530</v>
      </c>
      <c r="E106" s="15">
        <v>0</v>
      </c>
      <c r="F106" s="15">
        <v>0</v>
      </c>
      <c r="G106" s="15">
        <v>1530</v>
      </c>
    </row>
    <row r="107" spans="1:7" x14ac:dyDescent="0.75">
      <c r="A107" s="50">
        <v>1970</v>
      </c>
      <c r="B107" t="s">
        <v>1264</v>
      </c>
      <c r="C107" t="s">
        <v>1234</v>
      </c>
      <c r="D107" s="15">
        <v>21.93</v>
      </c>
      <c r="E107" s="15">
        <v>0</v>
      </c>
      <c r="F107" s="15">
        <v>0</v>
      </c>
      <c r="G107" s="15">
        <v>21.93</v>
      </c>
    </row>
    <row r="108" spans="1:7" x14ac:dyDescent="0.75">
      <c r="A108" s="26">
        <v>24</v>
      </c>
      <c r="B108" s="28" t="s">
        <v>159</v>
      </c>
      <c r="C108" s="28" t="s">
        <v>160</v>
      </c>
      <c r="D108" s="29">
        <v>11355.93</v>
      </c>
      <c r="E108" s="29">
        <v>54204.22</v>
      </c>
      <c r="F108" s="29">
        <v>47309</v>
      </c>
      <c r="G108" s="29">
        <v>18251.150000000001</v>
      </c>
    </row>
    <row r="109" spans="1:7" x14ac:dyDescent="0.75">
      <c r="A109" s="50">
        <v>25</v>
      </c>
      <c r="B109" t="s">
        <v>1030</v>
      </c>
      <c r="C109" t="s">
        <v>161</v>
      </c>
      <c r="D109" s="15">
        <v>0</v>
      </c>
      <c r="E109" s="15">
        <v>42892.83</v>
      </c>
      <c r="F109" s="15">
        <v>42892.83</v>
      </c>
      <c r="G109" s="15">
        <v>0</v>
      </c>
    </row>
    <row r="110" spans="1:7" x14ac:dyDescent="0.75">
      <c r="A110" s="50">
        <v>550</v>
      </c>
      <c r="B110" t="s">
        <v>162</v>
      </c>
      <c r="C110" t="s">
        <v>163</v>
      </c>
      <c r="D110" s="15">
        <v>5355.93</v>
      </c>
      <c r="E110" s="15">
        <v>11311.39</v>
      </c>
      <c r="F110" s="15">
        <v>4416.17</v>
      </c>
      <c r="G110" s="15">
        <v>12251.15</v>
      </c>
    </row>
    <row r="111" spans="1:7" x14ac:dyDescent="0.75">
      <c r="A111" s="50">
        <v>1397</v>
      </c>
      <c r="B111" t="s">
        <v>820</v>
      </c>
      <c r="C111" t="s">
        <v>821</v>
      </c>
      <c r="D111" s="15">
        <v>6000</v>
      </c>
      <c r="E111" s="15">
        <v>0</v>
      </c>
      <c r="F111" s="15">
        <v>0</v>
      </c>
      <c r="G111" s="15">
        <v>6000</v>
      </c>
    </row>
    <row r="112" spans="1:7" x14ac:dyDescent="0.75">
      <c r="A112" s="26">
        <v>28</v>
      </c>
      <c r="B112" s="28" t="s">
        <v>164</v>
      </c>
      <c r="C112" s="28" t="s">
        <v>165</v>
      </c>
      <c r="D112" s="29">
        <v>192275.1</v>
      </c>
      <c r="E112" s="29">
        <v>51917.1</v>
      </c>
      <c r="F112" s="29">
        <v>56041.69</v>
      </c>
      <c r="G112" s="29">
        <v>188150.51</v>
      </c>
    </row>
    <row r="113" spans="1:7" x14ac:dyDescent="0.75">
      <c r="A113" s="50">
        <v>30</v>
      </c>
      <c r="B113" t="s">
        <v>166</v>
      </c>
      <c r="C113" t="s">
        <v>167</v>
      </c>
      <c r="D113" s="15">
        <v>15173.04</v>
      </c>
      <c r="E113" s="15">
        <v>39123.85</v>
      </c>
      <c r="F113" s="15">
        <v>33134.730000000003</v>
      </c>
      <c r="G113" s="15">
        <v>21162.16</v>
      </c>
    </row>
    <row r="114" spans="1:7" x14ac:dyDescent="0.75">
      <c r="A114" s="50">
        <v>40</v>
      </c>
      <c r="B114" t="s">
        <v>168</v>
      </c>
      <c r="C114" t="s">
        <v>169</v>
      </c>
      <c r="D114" s="15">
        <v>144187.5</v>
      </c>
      <c r="E114" s="15">
        <v>2094.08</v>
      </c>
      <c r="F114" s="15">
        <v>16034.65</v>
      </c>
      <c r="G114" s="67">
        <v>130246.93</v>
      </c>
    </row>
    <row r="115" spans="1:7" x14ac:dyDescent="0.75">
      <c r="A115" s="50">
        <v>41</v>
      </c>
      <c r="B115" t="s">
        <v>170</v>
      </c>
      <c r="C115" t="s">
        <v>171</v>
      </c>
      <c r="D115" s="15">
        <v>31303.82</v>
      </c>
      <c r="E115" s="15">
        <v>454.64</v>
      </c>
      <c r="F115" s="15">
        <v>3481.2</v>
      </c>
      <c r="G115" s="67">
        <v>28277.26</v>
      </c>
    </row>
    <row r="116" spans="1:7" x14ac:dyDescent="0.75">
      <c r="A116" s="50">
        <v>941</v>
      </c>
      <c r="B116" t="s">
        <v>826</v>
      </c>
      <c r="C116" t="s">
        <v>827</v>
      </c>
      <c r="D116" s="15">
        <v>1184.3699999999999</v>
      </c>
      <c r="E116" s="15">
        <v>7102.42</v>
      </c>
      <c r="F116" s="15">
        <v>2119.44</v>
      </c>
      <c r="G116" s="15">
        <v>6167.35</v>
      </c>
    </row>
    <row r="117" spans="1:7" x14ac:dyDescent="0.75">
      <c r="A117" s="50">
        <v>942</v>
      </c>
      <c r="B117" t="s">
        <v>828</v>
      </c>
      <c r="C117" t="s">
        <v>829</v>
      </c>
      <c r="D117" s="15">
        <v>426.37</v>
      </c>
      <c r="E117" s="15">
        <v>3142.11</v>
      </c>
      <c r="F117" s="15">
        <v>1271.67</v>
      </c>
      <c r="G117" s="15">
        <v>2296.81</v>
      </c>
    </row>
    <row r="118" spans="1:7" x14ac:dyDescent="0.75">
      <c r="A118" s="26">
        <v>53</v>
      </c>
      <c r="B118" s="28" t="s">
        <v>172</v>
      </c>
      <c r="C118" s="28" t="s">
        <v>173</v>
      </c>
      <c r="D118" s="29">
        <v>28708.63</v>
      </c>
      <c r="E118" s="29">
        <v>766794.04</v>
      </c>
      <c r="F118" s="29">
        <v>756223.39</v>
      </c>
      <c r="G118" s="29">
        <v>39279.279999999999</v>
      </c>
    </row>
    <row r="119" spans="1:7" x14ac:dyDescent="0.75">
      <c r="A119" s="26">
        <v>54</v>
      </c>
      <c r="B119" s="28" t="s">
        <v>174</v>
      </c>
      <c r="C119" s="28" t="s">
        <v>175</v>
      </c>
      <c r="D119" s="29">
        <v>28708.63</v>
      </c>
      <c r="E119" s="29">
        <v>766794.04</v>
      </c>
      <c r="F119" s="29">
        <v>756223.39</v>
      </c>
      <c r="G119" s="29">
        <v>39279.279999999999</v>
      </c>
    </row>
    <row r="120" spans="1:7" x14ac:dyDescent="0.75">
      <c r="A120" s="50">
        <v>55</v>
      </c>
      <c r="B120" t="s">
        <v>176</v>
      </c>
      <c r="C120" t="s">
        <v>177</v>
      </c>
      <c r="D120" s="15">
        <v>7375.17</v>
      </c>
      <c r="E120" s="15">
        <v>743888.57</v>
      </c>
      <c r="F120" s="15">
        <v>739100.44</v>
      </c>
      <c r="G120" s="15">
        <v>12163.3</v>
      </c>
    </row>
    <row r="121" spans="1:7" x14ac:dyDescent="0.75">
      <c r="A121" s="50">
        <v>58</v>
      </c>
      <c r="B121" t="s">
        <v>178</v>
      </c>
      <c r="C121" t="s">
        <v>179</v>
      </c>
      <c r="D121" s="15">
        <v>21333.46</v>
      </c>
      <c r="E121" s="15">
        <v>22905.47</v>
      </c>
      <c r="F121" s="15">
        <v>17122.95</v>
      </c>
      <c r="G121" s="15">
        <v>27115.98</v>
      </c>
    </row>
    <row r="122" spans="1:7" x14ac:dyDescent="0.75">
      <c r="A122" s="26">
        <v>65</v>
      </c>
      <c r="B122" s="28" t="s">
        <v>182</v>
      </c>
      <c r="C122" s="28" t="s">
        <v>183</v>
      </c>
      <c r="D122" s="29">
        <v>21934.29</v>
      </c>
      <c r="E122" s="29">
        <v>21740.79</v>
      </c>
      <c r="F122" s="29">
        <v>20919.09</v>
      </c>
      <c r="G122" s="29">
        <v>22755.99</v>
      </c>
    </row>
    <row r="123" spans="1:7" x14ac:dyDescent="0.75">
      <c r="A123" s="26">
        <v>66</v>
      </c>
      <c r="B123" s="28" t="s">
        <v>184</v>
      </c>
      <c r="C123" s="28" t="s">
        <v>185</v>
      </c>
      <c r="D123" s="29">
        <v>21934.29</v>
      </c>
      <c r="E123" s="29">
        <v>21740.79</v>
      </c>
      <c r="F123" s="29">
        <v>20919.09</v>
      </c>
      <c r="G123" s="29">
        <v>22755.99</v>
      </c>
    </row>
    <row r="124" spans="1:7" x14ac:dyDescent="0.75">
      <c r="A124" s="50">
        <v>67</v>
      </c>
      <c r="B124" t="s">
        <v>186</v>
      </c>
      <c r="C124" t="s">
        <v>187</v>
      </c>
      <c r="D124" s="15">
        <v>1770.42</v>
      </c>
      <c r="E124" s="15">
        <v>173.15</v>
      </c>
      <c r="F124" s="15">
        <v>419.07</v>
      </c>
      <c r="G124" s="15">
        <v>1524.5</v>
      </c>
    </row>
    <row r="125" spans="1:7" x14ac:dyDescent="0.75">
      <c r="A125" s="50">
        <v>679</v>
      </c>
      <c r="B125" t="s">
        <v>188</v>
      </c>
      <c r="C125" t="s">
        <v>189</v>
      </c>
      <c r="D125" s="15">
        <v>0</v>
      </c>
      <c r="E125" s="15">
        <v>875.2</v>
      </c>
      <c r="F125" s="15">
        <v>145.86000000000001</v>
      </c>
      <c r="G125" s="15">
        <v>729.34</v>
      </c>
    </row>
    <row r="126" spans="1:7" x14ac:dyDescent="0.75">
      <c r="A126" s="50">
        <v>680</v>
      </c>
      <c r="B126" t="s">
        <v>190</v>
      </c>
      <c r="C126" t="s">
        <v>191</v>
      </c>
      <c r="D126" s="15">
        <v>0</v>
      </c>
      <c r="E126" s="15">
        <v>1877.4</v>
      </c>
      <c r="F126" s="15">
        <v>156.44999999999999</v>
      </c>
      <c r="G126" s="15">
        <v>1720.95</v>
      </c>
    </row>
    <row r="127" spans="1:7" x14ac:dyDescent="0.75">
      <c r="A127" s="50">
        <v>681</v>
      </c>
      <c r="B127" t="s">
        <v>192</v>
      </c>
      <c r="C127" t="s">
        <v>193</v>
      </c>
      <c r="D127" s="15">
        <v>6176.13</v>
      </c>
      <c r="E127" s="15">
        <v>5582.04</v>
      </c>
      <c r="F127" s="15">
        <v>6176.13</v>
      </c>
      <c r="G127" s="15">
        <v>5582.04</v>
      </c>
    </row>
    <row r="128" spans="1:7" x14ac:dyDescent="0.75">
      <c r="A128" s="50">
        <v>1648</v>
      </c>
      <c r="B128" t="s">
        <v>194</v>
      </c>
      <c r="C128" t="s">
        <v>195</v>
      </c>
      <c r="D128" s="15">
        <v>13987.74</v>
      </c>
      <c r="E128" s="15">
        <v>13233</v>
      </c>
      <c r="F128" s="15">
        <v>14021.58</v>
      </c>
      <c r="G128" s="15">
        <v>13199.16</v>
      </c>
    </row>
    <row r="129" spans="1:7" x14ac:dyDescent="0.75">
      <c r="A129" s="26">
        <v>501</v>
      </c>
      <c r="B129" s="28" t="s">
        <v>196</v>
      </c>
      <c r="C129" s="28" t="s">
        <v>197</v>
      </c>
      <c r="D129" s="29">
        <v>332503.86</v>
      </c>
      <c r="E129" s="29">
        <v>0</v>
      </c>
      <c r="F129" s="29">
        <v>3009.57</v>
      </c>
      <c r="G129" s="29">
        <v>329494.28999999998</v>
      </c>
    </row>
    <row r="130" spans="1:7" x14ac:dyDescent="0.75">
      <c r="A130" s="26">
        <v>76</v>
      </c>
      <c r="B130" s="28" t="s">
        <v>956</v>
      </c>
      <c r="C130" s="28" t="s">
        <v>140</v>
      </c>
      <c r="D130" s="29">
        <v>168</v>
      </c>
      <c r="E130" s="29">
        <v>0</v>
      </c>
      <c r="F130" s="29">
        <v>0</v>
      </c>
      <c r="G130" s="29">
        <v>168</v>
      </c>
    </row>
    <row r="131" spans="1:7" x14ac:dyDescent="0.75">
      <c r="A131" s="26">
        <v>80</v>
      </c>
      <c r="B131" s="28" t="s">
        <v>1016</v>
      </c>
      <c r="C131" s="28" t="s">
        <v>1017</v>
      </c>
      <c r="D131" s="29">
        <v>168</v>
      </c>
      <c r="E131" s="29">
        <v>0</v>
      </c>
      <c r="F131" s="29">
        <v>0</v>
      </c>
      <c r="G131" s="29">
        <v>168</v>
      </c>
    </row>
    <row r="132" spans="1:7" x14ac:dyDescent="0.75">
      <c r="A132" s="50">
        <v>1282</v>
      </c>
      <c r="B132" t="s">
        <v>1018</v>
      </c>
      <c r="C132" t="s">
        <v>581</v>
      </c>
      <c r="D132" s="15">
        <v>168</v>
      </c>
      <c r="E132" s="15">
        <v>0</v>
      </c>
      <c r="F132" s="15">
        <v>0</v>
      </c>
      <c r="G132" s="15">
        <v>168</v>
      </c>
    </row>
    <row r="133" spans="1:7" x14ac:dyDescent="0.75">
      <c r="A133" s="26">
        <v>111</v>
      </c>
      <c r="B133" s="28" t="s">
        <v>198</v>
      </c>
      <c r="C133" s="28" t="s">
        <v>199</v>
      </c>
      <c r="D133" s="29">
        <v>332335.86</v>
      </c>
      <c r="E133" s="29">
        <v>0</v>
      </c>
      <c r="F133" s="29">
        <v>3009.57</v>
      </c>
      <c r="G133" s="29">
        <v>329326.28999999998</v>
      </c>
    </row>
    <row r="134" spans="1:7" x14ac:dyDescent="0.75">
      <c r="A134" s="26">
        <v>112</v>
      </c>
      <c r="B134" s="28" t="s">
        <v>200</v>
      </c>
      <c r="C134" s="28" t="s">
        <v>201</v>
      </c>
      <c r="D134" s="29">
        <v>54807.5</v>
      </c>
      <c r="E134" s="29">
        <v>0</v>
      </c>
      <c r="F134" s="29">
        <v>0</v>
      </c>
      <c r="G134" s="29">
        <v>54807.5</v>
      </c>
    </row>
    <row r="135" spans="1:7" x14ac:dyDescent="0.75">
      <c r="A135" s="50">
        <v>114</v>
      </c>
      <c r="B135" t="s">
        <v>202</v>
      </c>
      <c r="C135" t="s">
        <v>203</v>
      </c>
      <c r="D135" s="15">
        <v>54807.5</v>
      </c>
      <c r="E135" s="15">
        <v>0</v>
      </c>
      <c r="F135" s="15">
        <v>0</v>
      </c>
      <c r="G135" s="15">
        <v>54807.5</v>
      </c>
    </row>
    <row r="136" spans="1:7" x14ac:dyDescent="0.75">
      <c r="A136" s="26">
        <v>116</v>
      </c>
      <c r="B136" s="28" t="s">
        <v>204</v>
      </c>
      <c r="C136" s="28" t="s">
        <v>205</v>
      </c>
      <c r="D136" s="29">
        <v>118915.59</v>
      </c>
      <c r="E136" s="29">
        <v>0</v>
      </c>
      <c r="F136" s="29">
        <v>0</v>
      </c>
      <c r="G136" s="29">
        <v>118915.59</v>
      </c>
    </row>
    <row r="137" spans="1:7" x14ac:dyDescent="0.75">
      <c r="A137" s="50">
        <v>117</v>
      </c>
      <c r="B137" t="s">
        <v>206</v>
      </c>
      <c r="C137" t="s">
        <v>205</v>
      </c>
      <c r="D137" s="15">
        <v>118915.59</v>
      </c>
      <c r="E137" s="15">
        <v>0</v>
      </c>
      <c r="F137" s="15">
        <v>0</v>
      </c>
      <c r="G137" s="15">
        <v>118915.59</v>
      </c>
    </row>
    <row r="138" spans="1:7" x14ac:dyDescent="0.75">
      <c r="A138" s="26">
        <v>118</v>
      </c>
      <c r="B138" s="28" t="s">
        <v>207</v>
      </c>
      <c r="C138" s="28" t="s">
        <v>208</v>
      </c>
      <c r="D138" s="29">
        <v>254470.27</v>
      </c>
      <c r="E138" s="29">
        <v>0</v>
      </c>
      <c r="F138" s="29">
        <v>0</v>
      </c>
      <c r="G138" s="29">
        <v>254470.27</v>
      </c>
    </row>
    <row r="139" spans="1:7" x14ac:dyDescent="0.75">
      <c r="A139" s="50">
        <v>119</v>
      </c>
      <c r="B139" t="s">
        <v>209</v>
      </c>
      <c r="C139" t="s">
        <v>210</v>
      </c>
      <c r="D139" s="15">
        <v>242220.27</v>
      </c>
      <c r="E139" s="15">
        <v>0</v>
      </c>
      <c r="F139" s="15">
        <v>0</v>
      </c>
      <c r="G139" s="15">
        <v>242220.27</v>
      </c>
    </row>
    <row r="140" spans="1:7" x14ac:dyDescent="0.75">
      <c r="A140" s="50">
        <v>728</v>
      </c>
      <c r="B140" t="s">
        <v>211</v>
      </c>
      <c r="C140" t="s">
        <v>212</v>
      </c>
      <c r="D140" s="15">
        <v>12250</v>
      </c>
      <c r="E140" s="15">
        <v>0</v>
      </c>
      <c r="F140" s="15">
        <v>0</v>
      </c>
      <c r="G140" s="15">
        <v>12250</v>
      </c>
    </row>
    <row r="141" spans="1:7" x14ac:dyDescent="0.75">
      <c r="A141" s="26">
        <v>120</v>
      </c>
      <c r="B141" s="28" t="s">
        <v>213</v>
      </c>
      <c r="C141" s="28" t="s">
        <v>214</v>
      </c>
      <c r="D141" s="29">
        <v>264745</v>
      </c>
      <c r="E141" s="29">
        <v>0</v>
      </c>
      <c r="F141" s="29">
        <v>0</v>
      </c>
      <c r="G141" s="29">
        <v>264745</v>
      </c>
    </row>
    <row r="142" spans="1:7" x14ac:dyDescent="0.75">
      <c r="A142" s="50">
        <v>121</v>
      </c>
      <c r="B142" t="s">
        <v>215</v>
      </c>
      <c r="C142" t="s">
        <v>214</v>
      </c>
      <c r="D142" s="15">
        <v>264745</v>
      </c>
      <c r="E142" s="15">
        <v>0</v>
      </c>
      <c r="F142" s="15">
        <v>0</v>
      </c>
      <c r="G142" s="15">
        <v>264745</v>
      </c>
    </row>
    <row r="143" spans="1:7" x14ac:dyDescent="0.75">
      <c r="A143" s="26">
        <v>122</v>
      </c>
      <c r="B143" s="28" t="s">
        <v>216</v>
      </c>
      <c r="C143" s="28" t="s">
        <v>217</v>
      </c>
      <c r="D143" s="29">
        <v>11871.62</v>
      </c>
      <c r="E143" s="29">
        <v>0</v>
      </c>
      <c r="F143" s="29">
        <v>0</v>
      </c>
      <c r="G143" s="29">
        <v>11871.62</v>
      </c>
    </row>
    <row r="144" spans="1:7" x14ac:dyDescent="0.75">
      <c r="A144" s="50">
        <v>551</v>
      </c>
      <c r="B144" t="s">
        <v>218</v>
      </c>
      <c r="C144" t="s">
        <v>217</v>
      </c>
      <c r="D144" s="15">
        <v>11871.62</v>
      </c>
      <c r="E144" s="15">
        <v>0</v>
      </c>
      <c r="F144" s="15">
        <v>0</v>
      </c>
      <c r="G144" s="15">
        <v>11871.62</v>
      </c>
    </row>
    <row r="145" spans="1:7" x14ac:dyDescent="0.75">
      <c r="A145" s="26">
        <v>125</v>
      </c>
      <c r="B145" s="28" t="s">
        <v>219</v>
      </c>
      <c r="C145" s="28" t="s">
        <v>220</v>
      </c>
      <c r="D145" s="29">
        <v>-372474.12</v>
      </c>
      <c r="E145" s="29">
        <v>0</v>
      </c>
      <c r="F145" s="29">
        <v>3009.57</v>
      </c>
      <c r="G145" s="29">
        <v>-375483.69</v>
      </c>
    </row>
    <row r="146" spans="1:7" x14ac:dyDescent="0.75">
      <c r="A146" s="50">
        <v>126</v>
      </c>
      <c r="B146" t="s">
        <v>221</v>
      </c>
      <c r="C146" t="s">
        <v>222</v>
      </c>
      <c r="D146" s="15">
        <v>-3856.49</v>
      </c>
      <c r="E146" s="15">
        <v>0</v>
      </c>
      <c r="F146" s="15">
        <v>76.95</v>
      </c>
      <c r="G146" s="15">
        <v>-3933.44</v>
      </c>
    </row>
    <row r="147" spans="1:7" x14ac:dyDescent="0.75">
      <c r="A147" s="50">
        <v>127</v>
      </c>
      <c r="B147" t="s">
        <v>223</v>
      </c>
      <c r="C147" t="s">
        <v>224</v>
      </c>
      <c r="D147" s="15">
        <v>-24644.75</v>
      </c>
      <c r="E147" s="15">
        <v>0</v>
      </c>
      <c r="F147" s="15">
        <v>888.03</v>
      </c>
      <c r="G147" s="15">
        <v>-25532.78</v>
      </c>
    </row>
    <row r="148" spans="1:7" x14ac:dyDescent="0.75">
      <c r="A148" s="50">
        <v>128</v>
      </c>
      <c r="B148" t="s">
        <v>225</v>
      </c>
      <c r="C148" t="s">
        <v>226</v>
      </c>
      <c r="D148" s="15">
        <v>-68504.66</v>
      </c>
      <c r="E148" s="15">
        <v>0</v>
      </c>
      <c r="F148" s="15">
        <v>2002.09</v>
      </c>
      <c r="G148" s="15">
        <v>-70506.75</v>
      </c>
    </row>
    <row r="149" spans="1:7" x14ac:dyDescent="0.75">
      <c r="A149" s="50">
        <v>129</v>
      </c>
      <c r="B149" t="s">
        <v>227</v>
      </c>
      <c r="C149" t="s">
        <v>228</v>
      </c>
      <c r="D149" s="15">
        <v>-264745</v>
      </c>
      <c r="E149" s="15">
        <v>0</v>
      </c>
      <c r="F149" s="15">
        <v>0</v>
      </c>
      <c r="G149" s="15">
        <v>-264745</v>
      </c>
    </row>
    <row r="150" spans="1:7" x14ac:dyDescent="0.75">
      <c r="A150" s="50">
        <v>729</v>
      </c>
      <c r="B150" t="s">
        <v>229</v>
      </c>
      <c r="C150" t="s">
        <v>1238</v>
      </c>
      <c r="D150" s="15">
        <v>-3936.23</v>
      </c>
      <c r="E150" s="15">
        <v>0</v>
      </c>
      <c r="F150" s="15">
        <v>42.5</v>
      </c>
      <c r="G150" s="15">
        <v>-3978.73</v>
      </c>
    </row>
    <row r="151" spans="1:7" x14ac:dyDescent="0.75">
      <c r="A151" s="50">
        <v>1382</v>
      </c>
      <c r="B151" t="s">
        <v>230</v>
      </c>
      <c r="C151" t="s">
        <v>231</v>
      </c>
      <c r="D151" s="15">
        <v>-6786.99</v>
      </c>
      <c r="E151" s="15">
        <v>0</v>
      </c>
      <c r="F151" s="15">
        <v>0</v>
      </c>
      <c r="G151" s="15">
        <v>-6786.99</v>
      </c>
    </row>
    <row r="152" spans="1:7" x14ac:dyDescent="0.75">
      <c r="A152" s="26">
        <v>149</v>
      </c>
      <c r="B152" s="28" t="s">
        <v>232</v>
      </c>
      <c r="C152" s="28" t="s">
        <v>233</v>
      </c>
      <c r="D152" s="29">
        <v>-2472295.21</v>
      </c>
      <c r="E152" s="29">
        <v>1402411.25</v>
      </c>
      <c r="F152" s="29">
        <v>1275115.75</v>
      </c>
      <c r="G152" s="29">
        <v>-2344999.71</v>
      </c>
    </row>
    <row r="153" spans="1:7" x14ac:dyDescent="0.75">
      <c r="A153" s="26">
        <v>150</v>
      </c>
      <c r="B153" s="28" t="s">
        <v>234</v>
      </c>
      <c r="C153" s="28" t="s">
        <v>235</v>
      </c>
      <c r="D153" s="29">
        <v>-1820366.32</v>
      </c>
      <c r="E153" s="29">
        <v>1380725.11</v>
      </c>
      <c r="F153" s="29">
        <v>1232258.6100000001</v>
      </c>
      <c r="G153" s="29">
        <v>-1671899.82</v>
      </c>
    </row>
    <row r="154" spans="1:7" x14ac:dyDescent="0.75">
      <c r="A154" s="26">
        <v>382</v>
      </c>
      <c r="B154" s="28" t="s">
        <v>236</v>
      </c>
      <c r="C154" s="28" t="s">
        <v>237</v>
      </c>
      <c r="D154" s="29">
        <v>-365217.71</v>
      </c>
      <c r="E154" s="29">
        <v>93418.12</v>
      </c>
      <c r="F154" s="29">
        <v>3021.23</v>
      </c>
      <c r="G154" s="29">
        <v>-274820.82</v>
      </c>
    </row>
    <row r="155" spans="1:7" x14ac:dyDescent="0.75">
      <c r="A155" s="26">
        <v>151</v>
      </c>
      <c r="B155" s="28" t="s">
        <v>238</v>
      </c>
      <c r="C155" s="28" t="s">
        <v>239</v>
      </c>
      <c r="D155" s="29">
        <v>-365217.71</v>
      </c>
      <c r="E155" s="29">
        <v>93418.12</v>
      </c>
      <c r="F155" s="29">
        <v>3021.23</v>
      </c>
      <c r="G155" s="29">
        <v>-274820.82</v>
      </c>
    </row>
    <row r="156" spans="1:7" x14ac:dyDescent="0.75">
      <c r="A156" s="50">
        <v>155</v>
      </c>
      <c r="B156" t="s">
        <v>1340</v>
      </c>
      <c r="C156" t="s">
        <v>1341</v>
      </c>
      <c r="D156" s="15">
        <v>-300000</v>
      </c>
      <c r="E156" s="15">
        <v>64285.71</v>
      </c>
      <c r="F156" s="15">
        <v>0</v>
      </c>
      <c r="G156" s="15">
        <v>-235714.29</v>
      </c>
    </row>
    <row r="157" spans="1:7" x14ac:dyDescent="0.75">
      <c r="A157" s="50">
        <v>1457</v>
      </c>
      <c r="B157" t="s">
        <v>240</v>
      </c>
      <c r="C157" t="s">
        <v>1342</v>
      </c>
      <c r="D157" s="15">
        <v>3863.57</v>
      </c>
      <c r="E157" s="15">
        <v>7939.36</v>
      </c>
      <c r="F157" s="15">
        <v>2529.21</v>
      </c>
      <c r="G157" s="15">
        <v>9273.7199999999993</v>
      </c>
    </row>
    <row r="158" spans="1:7" x14ac:dyDescent="0.75">
      <c r="A158" s="50">
        <v>1488</v>
      </c>
      <c r="B158" t="s">
        <v>241</v>
      </c>
      <c r="C158" t="s">
        <v>242</v>
      </c>
      <c r="D158" s="15">
        <v>-18533.91</v>
      </c>
      <c r="E158" s="15">
        <v>18533.96</v>
      </c>
      <c r="F158" s="15">
        <v>0.05</v>
      </c>
      <c r="G158" s="15">
        <v>0</v>
      </c>
    </row>
    <row r="159" spans="1:7" x14ac:dyDescent="0.75">
      <c r="A159" s="50">
        <v>1606</v>
      </c>
      <c r="B159" t="s">
        <v>243</v>
      </c>
      <c r="C159" t="s">
        <v>244</v>
      </c>
      <c r="D159" s="15">
        <v>-53181.83</v>
      </c>
      <c r="E159" s="15">
        <v>2659.09</v>
      </c>
      <c r="F159" s="15">
        <v>0</v>
      </c>
      <c r="G159" s="15">
        <v>-50522.74</v>
      </c>
    </row>
    <row r="160" spans="1:7" x14ac:dyDescent="0.75">
      <c r="A160" s="50">
        <v>1838</v>
      </c>
      <c r="B160" t="s">
        <v>245</v>
      </c>
      <c r="C160" t="s">
        <v>246</v>
      </c>
      <c r="D160" s="15">
        <v>379.16</v>
      </c>
      <c r="E160" s="15">
        <v>0</v>
      </c>
      <c r="F160" s="15">
        <v>379.16</v>
      </c>
      <c r="G160" s="15">
        <v>0</v>
      </c>
    </row>
    <row r="161" spans="1:7" x14ac:dyDescent="0.75">
      <c r="A161" s="50">
        <v>1839</v>
      </c>
      <c r="B161" t="s">
        <v>247</v>
      </c>
      <c r="C161" t="s">
        <v>248</v>
      </c>
      <c r="D161" s="15">
        <v>2255.3000000000002</v>
      </c>
      <c r="E161" s="15">
        <v>0</v>
      </c>
      <c r="F161" s="15">
        <v>112.81</v>
      </c>
      <c r="G161" s="15">
        <v>2142.4899999999998</v>
      </c>
    </row>
    <row r="162" spans="1:7" x14ac:dyDescent="0.75">
      <c r="A162" s="26">
        <v>164</v>
      </c>
      <c r="B162" s="28" t="s">
        <v>251</v>
      </c>
      <c r="C162" s="28" t="s">
        <v>252</v>
      </c>
      <c r="D162" s="29">
        <v>-1159054.1499999999</v>
      </c>
      <c r="E162" s="29">
        <v>1099486.97</v>
      </c>
      <c r="F162" s="29">
        <v>976389.22</v>
      </c>
      <c r="G162" s="29">
        <v>-1035956.4</v>
      </c>
    </row>
    <row r="163" spans="1:7" x14ac:dyDescent="0.75">
      <c r="A163" s="26">
        <v>165</v>
      </c>
      <c r="B163" s="28" t="s">
        <v>253</v>
      </c>
      <c r="C163" s="28" t="s">
        <v>252</v>
      </c>
      <c r="D163" s="29">
        <v>-1159054.1499999999</v>
      </c>
      <c r="E163" s="29">
        <v>1099486.97</v>
      </c>
      <c r="F163" s="29">
        <v>976389.22</v>
      </c>
      <c r="G163" s="29">
        <v>-1035956.4</v>
      </c>
    </row>
    <row r="164" spans="1:7" hidden="1" outlineLevel="1" x14ac:dyDescent="0.75">
      <c r="A164" s="50">
        <v>1021</v>
      </c>
      <c r="B164" t="s">
        <v>254</v>
      </c>
      <c r="C164" t="s">
        <v>256</v>
      </c>
      <c r="D164" s="15">
        <v>-188.6</v>
      </c>
      <c r="E164" s="15">
        <v>0</v>
      </c>
      <c r="F164" s="15">
        <v>0</v>
      </c>
      <c r="G164" s="15">
        <v>-188.6</v>
      </c>
    </row>
    <row r="165" spans="1:7" hidden="1" outlineLevel="1" x14ac:dyDescent="0.75">
      <c r="A165" s="50">
        <v>756</v>
      </c>
      <c r="B165" t="s">
        <v>254</v>
      </c>
      <c r="C165" t="s">
        <v>1343</v>
      </c>
      <c r="D165" s="15">
        <v>0</v>
      </c>
      <c r="E165" s="15">
        <v>1260</v>
      </c>
      <c r="F165" s="15">
        <v>1260</v>
      </c>
      <c r="G165" s="15">
        <v>0</v>
      </c>
    </row>
    <row r="166" spans="1:7" hidden="1" outlineLevel="1" x14ac:dyDescent="0.75">
      <c r="A166" s="50">
        <v>968</v>
      </c>
      <c r="B166" t="s">
        <v>254</v>
      </c>
      <c r="C166" t="s">
        <v>258</v>
      </c>
      <c r="D166" s="15">
        <v>0</v>
      </c>
      <c r="E166" s="15">
        <v>130</v>
      </c>
      <c r="F166" s="15">
        <v>130</v>
      </c>
      <c r="G166" s="15">
        <v>0</v>
      </c>
    </row>
    <row r="167" spans="1:7" hidden="1" outlineLevel="1" x14ac:dyDescent="0.75">
      <c r="A167" s="50">
        <v>948</v>
      </c>
      <c r="B167" t="s">
        <v>254</v>
      </c>
      <c r="C167" t="s">
        <v>259</v>
      </c>
      <c r="D167" s="15">
        <v>-13026.93</v>
      </c>
      <c r="E167" s="15">
        <v>11070.93</v>
      </c>
      <c r="F167" s="15">
        <v>9803.65</v>
      </c>
      <c r="G167" s="15">
        <v>-11759.65</v>
      </c>
    </row>
    <row r="168" spans="1:7" hidden="1" outlineLevel="1" x14ac:dyDescent="0.75">
      <c r="A168" s="50">
        <v>1029</v>
      </c>
      <c r="B168" t="s">
        <v>254</v>
      </c>
      <c r="C168" t="s">
        <v>834</v>
      </c>
      <c r="D168" s="15">
        <v>-3737.72</v>
      </c>
      <c r="E168" s="15">
        <v>1868.86</v>
      </c>
      <c r="F168" s="15">
        <v>0</v>
      </c>
      <c r="G168" s="15">
        <v>-1868.86</v>
      </c>
    </row>
    <row r="169" spans="1:7" hidden="1" outlineLevel="1" x14ac:dyDescent="0.75">
      <c r="A169" s="50">
        <v>694</v>
      </c>
      <c r="B169" t="s">
        <v>254</v>
      </c>
      <c r="C169" t="s">
        <v>261</v>
      </c>
      <c r="D169" s="15">
        <v>-10784.4</v>
      </c>
      <c r="E169" s="15">
        <v>7231.6</v>
      </c>
      <c r="F169" s="15">
        <v>7230.2</v>
      </c>
      <c r="G169" s="15">
        <v>-10783</v>
      </c>
    </row>
    <row r="170" spans="1:7" hidden="1" outlineLevel="1" x14ac:dyDescent="0.75">
      <c r="A170" s="50">
        <v>753</v>
      </c>
      <c r="B170" t="s">
        <v>254</v>
      </c>
      <c r="C170" t="s">
        <v>262</v>
      </c>
      <c r="D170" s="15">
        <v>-5855.8</v>
      </c>
      <c r="E170" s="15">
        <v>6162.33</v>
      </c>
      <c r="F170" s="15">
        <v>10459.75</v>
      </c>
      <c r="G170" s="15">
        <v>-10153.219999999999</v>
      </c>
    </row>
    <row r="171" spans="1:7" hidden="1" outlineLevel="1" x14ac:dyDescent="0.75">
      <c r="A171" s="50">
        <v>811</v>
      </c>
      <c r="B171" t="s">
        <v>254</v>
      </c>
      <c r="C171" t="s">
        <v>264</v>
      </c>
      <c r="D171" s="15">
        <v>-3379.72</v>
      </c>
      <c r="E171" s="15">
        <v>368.96</v>
      </c>
      <c r="F171" s="15">
        <v>0</v>
      </c>
      <c r="G171" s="15">
        <v>-3010.76</v>
      </c>
    </row>
    <row r="172" spans="1:7" hidden="1" outlineLevel="1" x14ac:dyDescent="0.75">
      <c r="A172" s="50">
        <v>787</v>
      </c>
      <c r="B172" t="s">
        <v>254</v>
      </c>
      <c r="C172" t="s">
        <v>265</v>
      </c>
      <c r="D172" s="15">
        <v>501.84</v>
      </c>
      <c r="E172" s="15">
        <v>10070.209999999999</v>
      </c>
      <c r="F172" s="15">
        <v>11626.99</v>
      </c>
      <c r="G172" s="15">
        <v>-1054.94</v>
      </c>
    </row>
    <row r="173" spans="1:7" hidden="1" outlineLevel="1" x14ac:dyDescent="0.75">
      <c r="A173" s="50">
        <v>744</v>
      </c>
      <c r="B173" t="s">
        <v>254</v>
      </c>
      <c r="C173" t="s">
        <v>836</v>
      </c>
      <c r="D173" s="15">
        <v>0</v>
      </c>
      <c r="E173" s="15">
        <v>2620</v>
      </c>
      <c r="F173" s="15">
        <v>2620</v>
      </c>
      <c r="G173" s="15">
        <v>0</v>
      </c>
    </row>
    <row r="174" spans="1:7" hidden="1" outlineLevel="1" x14ac:dyDescent="0.75">
      <c r="A174" s="50">
        <v>697</v>
      </c>
      <c r="B174" t="s">
        <v>254</v>
      </c>
      <c r="C174" t="s">
        <v>266</v>
      </c>
      <c r="D174" s="15">
        <v>-24749</v>
      </c>
      <c r="E174" s="15">
        <v>18738.5</v>
      </c>
      <c r="F174" s="15">
        <v>15160</v>
      </c>
      <c r="G174" s="15">
        <v>-21170.5</v>
      </c>
    </row>
    <row r="175" spans="1:7" hidden="1" outlineLevel="1" x14ac:dyDescent="0.75">
      <c r="A175" s="50">
        <v>908</v>
      </c>
      <c r="B175" t="s">
        <v>254</v>
      </c>
      <c r="C175" t="s">
        <v>267</v>
      </c>
      <c r="D175" s="15">
        <v>-5141.21</v>
      </c>
      <c r="E175" s="15">
        <v>6886.09</v>
      </c>
      <c r="F175" s="15">
        <v>7826.19</v>
      </c>
      <c r="G175" s="15">
        <v>-6081.31</v>
      </c>
    </row>
    <row r="176" spans="1:7" hidden="1" outlineLevel="1" x14ac:dyDescent="0.75">
      <c r="A176" s="50">
        <v>985</v>
      </c>
      <c r="B176" t="s">
        <v>254</v>
      </c>
      <c r="C176" t="s">
        <v>269</v>
      </c>
      <c r="D176" s="15">
        <v>0</v>
      </c>
      <c r="E176" s="15">
        <v>11350</v>
      </c>
      <c r="F176" s="15">
        <v>11550</v>
      </c>
      <c r="G176" s="15">
        <v>-200</v>
      </c>
    </row>
    <row r="177" spans="1:7" hidden="1" outlineLevel="1" x14ac:dyDescent="0.75">
      <c r="A177" s="50">
        <v>690</v>
      </c>
      <c r="B177" t="s">
        <v>254</v>
      </c>
      <c r="C177" t="s">
        <v>270</v>
      </c>
      <c r="D177" s="15">
        <v>-68882.350000000006</v>
      </c>
      <c r="E177" s="15">
        <v>39947.25</v>
      </c>
      <c r="F177" s="15">
        <v>19901.3</v>
      </c>
      <c r="G177" s="15">
        <v>-48836.4</v>
      </c>
    </row>
    <row r="178" spans="1:7" hidden="1" outlineLevel="1" x14ac:dyDescent="0.75">
      <c r="A178" s="50">
        <v>689</v>
      </c>
      <c r="B178" t="s">
        <v>254</v>
      </c>
      <c r="C178" t="s">
        <v>271</v>
      </c>
      <c r="D178" s="15">
        <v>-21745.65</v>
      </c>
      <c r="E178" s="15">
        <v>38328.300000000003</v>
      </c>
      <c r="F178" s="15">
        <v>27480.5</v>
      </c>
      <c r="G178" s="15">
        <v>-10897.85</v>
      </c>
    </row>
    <row r="179" spans="1:7" hidden="1" outlineLevel="1" x14ac:dyDescent="0.75">
      <c r="A179" s="50">
        <v>688</v>
      </c>
      <c r="B179" t="s">
        <v>254</v>
      </c>
      <c r="C179" t="s">
        <v>272</v>
      </c>
      <c r="D179" s="15">
        <v>-14694.3</v>
      </c>
      <c r="E179" s="15">
        <v>14942.3</v>
      </c>
      <c r="F179" s="15">
        <v>21957.75</v>
      </c>
      <c r="G179" s="15">
        <v>-21709.75</v>
      </c>
    </row>
    <row r="180" spans="1:7" hidden="1" outlineLevel="1" x14ac:dyDescent="0.75">
      <c r="A180" s="50">
        <v>1010</v>
      </c>
      <c r="B180" t="s">
        <v>254</v>
      </c>
      <c r="C180" t="s">
        <v>273</v>
      </c>
      <c r="D180" s="15">
        <v>0</v>
      </c>
      <c r="E180" s="15">
        <v>686.11</v>
      </c>
      <c r="F180" s="15">
        <v>1372.22</v>
      </c>
      <c r="G180" s="15">
        <v>-686.11</v>
      </c>
    </row>
    <row r="181" spans="1:7" hidden="1" outlineLevel="1" x14ac:dyDescent="0.75">
      <c r="A181" s="50">
        <v>995</v>
      </c>
      <c r="B181" t="s">
        <v>254</v>
      </c>
      <c r="C181" t="s">
        <v>275</v>
      </c>
      <c r="D181" s="15">
        <v>-168.44</v>
      </c>
      <c r="E181" s="15">
        <v>0</v>
      </c>
      <c r="F181" s="15">
        <v>0</v>
      </c>
      <c r="G181" s="15">
        <v>-168.44</v>
      </c>
    </row>
    <row r="182" spans="1:7" hidden="1" outlineLevel="1" x14ac:dyDescent="0.75">
      <c r="A182" s="50">
        <v>906</v>
      </c>
      <c r="B182" t="s">
        <v>254</v>
      </c>
      <c r="C182" t="s">
        <v>277</v>
      </c>
      <c r="D182" s="15">
        <v>0</v>
      </c>
      <c r="E182" s="15">
        <v>0</v>
      </c>
      <c r="F182" s="15">
        <v>630</v>
      </c>
      <c r="G182" s="15">
        <v>-630</v>
      </c>
    </row>
    <row r="183" spans="1:7" hidden="1" outlineLevel="1" x14ac:dyDescent="0.75">
      <c r="A183" s="50">
        <v>757</v>
      </c>
      <c r="B183" t="s">
        <v>254</v>
      </c>
      <c r="C183" t="s">
        <v>278</v>
      </c>
      <c r="D183" s="15">
        <v>-2773.21</v>
      </c>
      <c r="E183" s="15">
        <v>3696.13</v>
      </c>
      <c r="F183" s="15">
        <v>2151.13</v>
      </c>
      <c r="G183" s="15">
        <v>-1228.21</v>
      </c>
    </row>
    <row r="184" spans="1:7" hidden="1" outlineLevel="1" x14ac:dyDescent="0.75">
      <c r="A184" s="50">
        <v>874</v>
      </c>
      <c r="B184" t="s">
        <v>254</v>
      </c>
      <c r="C184" t="s">
        <v>280</v>
      </c>
      <c r="D184" s="15">
        <v>-13248.6</v>
      </c>
      <c r="E184" s="15">
        <v>20997.65</v>
      </c>
      <c r="F184" s="15">
        <v>25761.9</v>
      </c>
      <c r="G184" s="15">
        <v>-18012.849999999999</v>
      </c>
    </row>
    <row r="185" spans="1:7" hidden="1" outlineLevel="1" x14ac:dyDescent="0.75">
      <c r="A185" s="50">
        <v>703</v>
      </c>
      <c r="B185" t="s">
        <v>254</v>
      </c>
      <c r="C185" t="s">
        <v>281</v>
      </c>
      <c r="D185" s="15">
        <v>-3159.4</v>
      </c>
      <c r="E185" s="15">
        <v>3911.4</v>
      </c>
      <c r="F185" s="15">
        <v>1080</v>
      </c>
      <c r="G185" s="15">
        <v>-328</v>
      </c>
    </row>
    <row r="186" spans="1:7" hidden="1" outlineLevel="1" x14ac:dyDescent="0.75">
      <c r="A186" s="50">
        <v>748</v>
      </c>
      <c r="B186" t="s">
        <v>254</v>
      </c>
      <c r="C186" t="s">
        <v>282</v>
      </c>
      <c r="D186" s="15">
        <v>-59527</v>
      </c>
      <c r="E186" s="15">
        <v>59709</v>
      </c>
      <c r="F186" s="15">
        <v>31194.9</v>
      </c>
      <c r="G186" s="15">
        <v>-31012.9</v>
      </c>
    </row>
    <row r="187" spans="1:7" hidden="1" outlineLevel="1" x14ac:dyDescent="0.75">
      <c r="A187" s="50">
        <v>973</v>
      </c>
      <c r="B187" t="s">
        <v>254</v>
      </c>
      <c r="C187" t="s">
        <v>283</v>
      </c>
      <c r="D187" s="15">
        <v>-4808.3</v>
      </c>
      <c r="E187" s="15">
        <v>1186</v>
      </c>
      <c r="F187" s="15">
        <v>3534.4</v>
      </c>
      <c r="G187" s="15">
        <v>-7156.7</v>
      </c>
    </row>
    <row r="188" spans="1:7" hidden="1" outlineLevel="1" x14ac:dyDescent="0.75">
      <c r="A188" s="50">
        <v>759</v>
      </c>
      <c r="B188" t="s">
        <v>254</v>
      </c>
      <c r="C188" t="s">
        <v>284</v>
      </c>
      <c r="D188" s="15">
        <v>0</v>
      </c>
      <c r="E188" s="15">
        <v>0</v>
      </c>
      <c r="F188" s="15">
        <v>16233.04</v>
      </c>
      <c r="G188" s="15">
        <v>-16233.04</v>
      </c>
    </row>
    <row r="189" spans="1:7" hidden="1" outlineLevel="1" x14ac:dyDescent="0.75">
      <c r="A189" s="50">
        <v>751</v>
      </c>
      <c r="B189" t="s">
        <v>254</v>
      </c>
      <c r="C189" t="s">
        <v>286</v>
      </c>
      <c r="D189" s="15">
        <v>0</v>
      </c>
      <c r="E189" s="15">
        <v>13450.27</v>
      </c>
      <c r="F189" s="15">
        <v>13450.27</v>
      </c>
      <c r="G189" s="15">
        <v>0</v>
      </c>
    </row>
    <row r="190" spans="1:7" hidden="1" outlineLevel="1" x14ac:dyDescent="0.75">
      <c r="A190" s="50">
        <v>762</v>
      </c>
      <c r="B190" t="s">
        <v>254</v>
      </c>
      <c r="C190" t="s">
        <v>287</v>
      </c>
      <c r="D190" s="15">
        <v>-10124</v>
      </c>
      <c r="E190" s="15">
        <v>16000</v>
      </c>
      <c r="F190" s="15">
        <v>9360</v>
      </c>
      <c r="G190" s="15">
        <v>-3484</v>
      </c>
    </row>
    <row r="191" spans="1:7" hidden="1" outlineLevel="1" x14ac:dyDescent="0.75">
      <c r="A191" s="50">
        <v>749</v>
      </c>
      <c r="B191" t="s">
        <v>254</v>
      </c>
      <c r="C191" t="s">
        <v>288</v>
      </c>
      <c r="D191" s="15">
        <v>-1000</v>
      </c>
      <c r="E191" s="15">
        <v>1000</v>
      </c>
      <c r="F191" s="15">
        <v>0</v>
      </c>
      <c r="G191" s="15">
        <v>0</v>
      </c>
    </row>
    <row r="192" spans="1:7" hidden="1" outlineLevel="1" x14ac:dyDescent="0.75">
      <c r="A192" s="50">
        <v>702</v>
      </c>
      <c r="B192" t="s">
        <v>254</v>
      </c>
      <c r="C192" t="s">
        <v>289</v>
      </c>
      <c r="D192" s="15">
        <v>-5818</v>
      </c>
      <c r="E192" s="15">
        <v>2880</v>
      </c>
      <c r="F192" s="15">
        <v>0</v>
      </c>
      <c r="G192" s="15">
        <v>-2938</v>
      </c>
    </row>
    <row r="193" spans="1:7" hidden="1" outlineLevel="1" x14ac:dyDescent="0.75">
      <c r="A193" s="50">
        <v>774</v>
      </c>
      <c r="B193" t="s">
        <v>254</v>
      </c>
      <c r="C193" t="s">
        <v>290</v>
      </c>
      <c r="D193" s="15">
        <v>-34726.800000000003</v>
      </c>
      <c r="E193" s="15">
        <v>30341.3</v>
      </c>
      <c r="F193" s="15">
        <v>16642.5</v>
      </c>
      <c r="G193" s="15">
        <v>-21028</v>
      </c>
    </row>
    <row r="194" spans="1:7" hidden="1" outlineLevel="1" x14ac:dyDescent="0.75">
      <c r="A194" s="50">
        <v>696</v>
      </c>
      <c r="B194" t="s">
        <v>254</v>
      </c>
      <c r="C194" t="s">
        <v>291</v>
      </c>
      <c r="D194" s="15">
        <v>-1419</v>
      </c>
      <c r="E194" s="15">
        <v>1419</v>
      </c>
      <c r="F194" s="15">
        <v>1193</v>
      </c>
      <c r="G194" s="15">
        <v>-1193</v>
      </c>
    </row>
    <row r="195" spans="1:7" hidden="1" outlineLevel="1" x14ac:dyDescent="0.75">
      <c r="A195" s="50">
        <v>687</v>
      </c>
      <c r="B195" t="s">
        <v>254</v>
      </c>
      <c r="C195" t="s">
        <v>293</v>
      </c>
      <c r="D195" s="15">
        <v>-4825.2700000000004</v>
      </c>
      <c r="E195" s="15">
        <v>2369.3000000000002</v>
      </c>
      <c r="F195" s="15">
        <v>3161.9</v>
      </c>
      <c r="G195" s="15">
        <v>-5617.87</v>
      </c>
    </row>
    <row r="196" spans="1:7" hidden="1" outlineLevel="1" x14ac:dyDescent="0.75">
      <c r="A196" s="50">
        <v>971</v>
      </c>
      <c r="B196" t="s">
        <v>254</v>
      </c>
      <c r="C196" t="s">
        <v>295</v>
      </c>
      <c r="D196" s="15">
        <v>-454.2</v>
      </c>
      <c r="E196" s="15">
        <v>0</v>
      </c>
      <c r="F196" s="15">
        <v>0</v>
      </c>
      <c r="G196" s="15">
        <v>-454.2</v>
      </c>
    </row>
    <row r="197" spans="1:7" hidden="1" outlineLevel="1" x14ac:dyDescent="0.75">
      <c r="A197" s="50">
        <v>695</v>
      </c>
      <c r="B197" t="s">
        <v>254</v>
      </c>
      <c r="C197" t="s">
        <v>296</v>
      </c>
      <c r="D197" s="15">
        <v>-2967.8</v>
      </c>
      <c r="E197" s="15">
        <v>3693</v>
      </c>
      <c r="F197" s="15">
        <v>3162</v>
      </c>
      <c r="G197" s="15">
        <v>-2436.8000000000002</v>
      </c>
    </row>
    <row r="198" spans="1:7" hidden="1" outlineLevel="1" x14ac:dyDescent="0.75">
      <c r="A198" s="50">
        <v>1346</v>
      </c>
      <c r="B198" t="s">
        <v>297</v>
      </c>
      <c r="C198" t="s">
        <v>298</v>
      </c>
      <c r="D198" s="15">
        <v>-73782.990000000005</v>
      </c>
      <c r="E198" s="15">
        <v>0</v>
      </c>
      <c r="F198" s="15">
        <v>0</v>
      </c>
      <c r="G198" s="15">
        <v>-73782.990000000005</v>
      </c>
    </row>
    <row r="199" spans="1:7" hidden="1" outlineLevel="1" x14ac:dyDescent="0.75">
      <c r="A199" s="50">
        <v>686</v>
      </c>
      <c r="B199" t="s">
        <v>1266</v>
      </c>
      <c r="C199" t="s">
        <v>294</v>
      </c>
      <c r="D199" s="15">
        <v>-9802.9</v>
      </c>
      <c r="E199" s="15">
        <v>11054.2</v>
      </c>
      <c r="F199" s="15">
        <v>10045.5</v>
      </c>
      <c r="G199" s="15">
        <v>-8794.2000000000007</v>
      </c>
    </row>
    <row r="200" spans="1:7" hidden="1" outlineLevel="1" x14ac:dyDescent="0.75">
      <c r="A200" s="50">
        <v>1348</v>
      </c>
      <c r="B200" t="s">
        <v>299</v>
      </c>
      <c r="C200" t="s">
        <v>300</v>
      </c>
      <c r="D200" s="15">
        <v>-2160</v>
      </c>
      <c r="E200" s="15">
        <v>2815</v>
      </c>
      <c r="F200" s="15">
        <v>2310</v>
      </c>
      <c r="G200" s="15">
        <v>-1655</v>
      </c>
    </row>
    <row r="201" spans="1:7" hidden="1" outlineLevel="1" x14ac:dyDescent="0.75">
      <c r="A201" s="50">
        <v>1350</v>
      </c>
      <c r="B201" t="s">
        <v>301</v>
      </c>
      <c r="C201" t="s">
        <v>302</v>
      </c>
      <c r="D201" s="15">
        <v>-3755</v>
      </c>
      <c r="E201" s="15">
        <v>3465</v>
      </c>
      <c r="F201" s="15">
        <v>5275</v>
      </c>
      <c r="G201" s="15">
        <v>-5565</v>
      </c>
    </row>
    <row r="202" spans="1:7" hidden="1" outlineLevel="1" x14ac:dyDescent="0.75">
      <c r="A202" s="50">
        <v>692</v>
      </c>
      <c r="B202" t="s">
        <v>1267</v>
      </c>
      <c r="C202" t="s">
        <v>295</v>
      </c>
      <c r="D202" s="15">
        <v>-12905.6</v>
      </c>
      <c r="E202" s="15">
        <v>12905.6</v>
      </c>
      <c r="F202" s="15">
        <v>12180</v>
      </c>
      <c r="G202" s="15">
        <v>-12180</v>
      </c>
    </row>
    <row r="203" spans="1:7" hidden="1" outlineLevel="1" x14ac:dyDescent="0.75">
      <c r="A203" s="50">
        <v>1917</v>
      </c>
      <c r="B203" t="s">
        <v>1019</v>
      </c>
      <c r="C203" t="s">
        <v>1010</v>
      </c>
      <c r="D203" s="15">
        <v>-761.57</v>
      </c>
      <c r="E203" s="15">
        <v>0</v>
      </c>
      <c r="F203" s="15">
        <v>0</v>
      </c>
      <c r="G203" s="15">
        <v>-761.57</v>
      </c>
    </row>
    <row r="204" spans="1:7" hidden="1" outlineLevel="1" x14ac:dyDescent="0.75">
      <c r="A204" s="50">
        <v>754</v>
      </c>
      <c r="B204" t="s">
        <v>303</v>
      </c>
      <c r="C204" t="s">
        <v>304</v>
      </c>
      <c r="D204" s="15">
        <v>-28554.11</v>
      </c>
      <c r="E204" s="15">
        <v>36374.85</v>
      </c>
      <c r="F204" s="15">
        <v>8073</v>
      </c>
      <c r="G204" s="15">
        <v>-252.26</v>
      </c>
    </row>
    <row r="205" spans="1:7" hidden="1" outlineLevel="1" x14ac:dyDescent="0.75">
      <c r="A205" s="50">
        <v>758</v>
      </c>
      <c r="B205" t="s">
        <v>1268</v>
      </c>
      <c r="C205" t="s">
        <v>1269</v>
      </c>
      <c r="D205" s="15">
        <v>-32.53</v>
      </c>
      <c r="E205" s="15">
        <v>0</v>
      </c>
      <c r="F205" s="15">
        <v>0</v>
      </c>
      <c r="G205" s="15">
        <v>-32.53</v>
      </c>
    </row>
    <row r="206" spans="1:7" hidden="1" outlineLevel="1" x14ac:dyDescent="0.75">
      <c r="A206" s="50">
        <v>769</v>
      </c>
      <c r="B206" t="s">
        <v>1020</v>
      </c>
      <c r="C206" t="s">
        <v>1011</v>
      </c>
      <c r="D206" s="15">
        <v>-264535.53999999998</v>
      </c>
      <c r="E206" s="15">
        <v>176728.92</v>
      </c>
      <c r="F206" s="15">
        <v>103376.9</v>
      </c>
      <c r="G206" s="15">
        <v>-191183.52</v>
      </c>
    </row>
    <row r="207" spans="1:7" hidden="1" outlineLevel="1" x14ac:dyDescent="0.75">
      <c r="A207" s="50">
        <v>771</v>
      </c>
      <c r="B207" t="s">
        <v>1021</v>
      </c>
      <c r="C207" t="s">
        <v>1012</v>
      </c>
      <c r="D207" s="15">
        <v>-6691</v>
      </c>
      <c r="E207" s="15">
        <v>6691</v>
      </c>
      <c r="F207" s="15">
        <v>5955</v>
      </c>
      <c r="G207" s="15">
        <v>-5955</v>
      </c>
    </row>
    <row r="208" spans="1:7" hidden="1" outlineLevel="1" x14ac:dyDescent="0.75">
      <c r="A208" s="50">
        <v>963</v>
      </c>
      <c r="B208" t="s">
        <v>311</v>
      </c>
      <c r="C208" t="s">
        <v>312</v>
      </c>
      <c r="D208" s="15">
        <v>-118.07</v>
      </c>
      <c r="E208" s="15">
        <v>0</v>
      </c>
      <c r="F208" s="15">
        <v>0</v>
      </c>
      <c r="G208" s="15">
        <v>-118.07</v>
      </c>
    </row>
    <row r="209" spans="1:7" hidden="1" outlineLevel="1" x14ac:dyDescent="0.75">
      <c r="A209" s="50">
        <v>1292</v>
      </c>
      <c r="B209" t="s">
        <v>315</v>
      </c>
      <c r="C209" t="s">
        <v>316</v>
      </c>
      <c r="D209" s="15">
        <v>-4218.09</v>
      </c>
      <c r="E209" s="15">
        <v>1883.95</v>
      </c>
      <c r="F209" s="15">
        <v>1937.11</v>
      </c>
      <c r="G209" s="15">
        <v>-4271.25</v>
      </c>
    </row>
    <row r="210" spans="1:7" hidden="1" outlineLevel="1" x14ac:dyDescent="0.75">
      <c r="A210" s="50">
        <v>1294</v>
      </c>
      <c r="B210" t="s">
        <v>1344</v>
      </c>
      <c r="C210" t="s">
        <v>1345</v>
      </c>
      <c r="D210" s="15">
        <v>0</v>
      </c>
      <c r="E210" s="15">
        <v>0</v>
      </c>
      <c r="F210" s="15">
        <v>144</v>
      </c>
      <c r="G210" s="15">
        <v>-144</v>
      </c>
    </row>
    <row r="211" spans="1:7" hidden="1" outlineLevel="1" x14ac:dyDescent="0.75">
      <c r="A211" s="50">
        <v>1303</v>
      </c>
      <c r="B211" t="s">
        <v>1022</v>
      </c>
      <c r="C211" t="s">
        <v>1013</v>
      </c>
      <c r="D211" s="15">
        <v>-170</v>
      </c>
      <c r="E211" s="15">
        <v>0</v>
      </c>
      <c r="F211" s="15">
        <v>0</v>
      </c>
      <c r="G211" s="15">
        <v>-170</v>
      </c>
    </row>
    <row r="212" spans="1:7" hidden="1" outlineLevel="1" x14ac:dyDescent="0.75">
      <c r="A212" s="50">
        <v>1306</v>
      </c>
      <c r="B212" t="s">
        <v>319</v>
      </c>
      <c r="C212" t="s">
        <v>320</v>
      </c>
      <c r="D212" s="15">
        <v>-127450</v>
      </c>
      <c r="E212" s="15">
        <v>44225</v>
      </c>
      <c r="F212" s="15">
        <v>62502</v>
      </c>
      <c r="G212" s="15">
        <v>-145727</v>
      </c>
    </row>
    <row r="213" spans="1:7" hidden="1" outlineLevel="1" x14ac:dyDescent="0.75">
      <c r="A213" s="50">
        <v>1325</v>
      </c>
      <c r="B213" t="s">
        <v>1271</v>
      </c>
      <c r="C213" t="s">
        <v>321</v>
      </c>
      <c r="D213" s="15">
        <v>0</v>
      </c>
      <c r="E213" s="15">
        <v>1642</v>
      </c>
      <c r="F213" s="15">
        <v>1642</v>
      </c>
      <c r="G213" s="15">
        <v>0</v>
      </c>
    </row>
    <row r="214" spans="1:7" hidden="1" outlineLevel="1" x14ac:dyDescent="0.75">
      <c r="A214" s="50">
        <v>1327</v>
      </c>
      <c r="B214" t="s">
        <v>322</v>
      </c>
      <c r="C214" t="s">
        <v>323</v>
      </c>
      <c r="D214" s="15">
        <v>0</v>
      </c>
      <c r="E214" s="15">
        <v>834</v>
      </c>
      <c r="F214" s="15">
        <v>834</v>
      </c>
      <c r="G214" s="15">
        <v>0</v>
      </c>
    </row>
    <row r="215" spans="1:7" hidden="1" outlineLevel="1" x14ac:dyDescent="0.75">
      <c r="A215" s="50">
        <v>1331</v>
      </c>
      <c r="B215" t="s">
        <v>324</v>
      </c>
      <c r="C215" t="s">
        <v>325</v>
      </c>
      <c r="D215" s="15">
        <v>-330</v>
      </c>
      <c r="E215" s="15">
        <v>0</v>
      </c>
      <c r="F215" s="15">
        <v>13400</v>
      </c>
      <c r="G215" s="15">
        <v>-13730</v>
      </c>
    </row>
    <row r="216" spans="1:7" hidden="1" outlineLevel="1" x14ac:dyDescent="0.75">
      <c r="A216" s="50">
        <v>1359</v>
      </c>
      <c r="B216" t="s">
        <v>1031</v>
      </c>
      <c r="C216" t="s">
        <v>330</v>
      </c>
      <c r="D216" s="15">
        <v>0</v>
      </c>
      <c r="E216" s="15">
        <v>400</v>
      </c>
      <c r="F216" s="15">
        <v>400</v>
      </c>
      <c r="G216" s="15">
        <v>0</v>
      </c>
    </row>
    <row r="217" spans="1:7" hidden="1" outlineLevel="1" x14ac:dyDescent="0.75">
      <c r="A217" s="50">
        <v>1365</v>
      </c>
      <c r="B217" t="s">
        <v>331</v>
      </c>
      <c r="C217" t="s">
        <v>332</v>
      </c>
      <c r="D217" s="15">
        <v>-16993</v>
      </c>
      <c r="E217" s="15">
        <v>11555</v>
      </c>
      <c r="F217" s="15">
        <v>8467.6</v>
      </c>
      <c r="G217" s="15">
        <v>-13905.6</v>
      </c>
    </row>
    <row r="218" spans="1:7" hidden="1" outlineLevel="1" x14ac:dyDescent="0.75">
      <c r="A218" s="50">
        <v>1366</v>
      </c>
      <c r="B218" t="s">
        <v>333</v>
      </c>
      <c r="C218" t="s">
        <v>334</v>
      </c>
      <c r="D218" s="15">
        <v>-23645.5</v>
      </c>
      <c r="E218" s="15">
        <v>22835.5</v>
      </c>
      <c r="F218" s="15">
        <v>19721</v>
      </c>
      <c r="G218" s="15">
        <v>-20531</v>
      </c>
    </row>
    <row r="219" spans="1:7" hidden="1" outlineLevel="1" x14ac:dyDescent="0.75">
      <c r="A219" s="50">
        <v>1368</v>
      </c>
      <c r="B219" t="s">
        <v>1032</v>
      </c>
      <c r="C219" t="s">
        <v>335</v>
      </c>
      <c r="D219" s="15">
        <v>0</v>
      </c>
      <c r="E219" s="15">
        <v>119.8</v>
      </c>
      <c r="F219" s="15">
        <v>119.8</v>
      </c>
      <c r="G219" s="15">
        <v>0</v>
      </c>
    </row>
    <row r="220" spans="1:7" hidden="1" outlineLevel="1" x14ac:dyDescent="0.75">
      <c r="A220" s="50">
        <v>1369</v>
      </c>
      <c r="B220" t="s">
        <v>336</v>
      </c>
      <c r="C220" t="s">
        <v>337</v>
      </c>
      <c r="D220" s="15">
        <v>-14029</v>
      </c>
      <c r="E220" s="15">
        <v>0</v>
      </c>
      <c r="F220" s="15">
        <v>0</v>
      </c>
      <c r="G220" s="15">
        <v>-14029</v>
      </c>
    </row>
    <row r="221" spans="1:7" hidden="1" outlineLevel="1" x14ac:dyDescent="0.75">
      <c r="A221" s="50">
        <v>1372</v>
      </c>
      <c r="B221" t="s">
        <v>338</v>
      </c>
      <c r="C221" t="s">
        <v>339</v>
      </c>
      <c r="D221" s="15">
        <v>-8177.63</v>
      </c>
      <c r="E221" s="15">
        <v>14150.59</v>
      </c>
      <c r="F221" s="15">
        <v>13974.07</v>
      </c>
      <c r="G221" s="15">
        <v>-8001.11</v>
      </c>
    </row>
    <row r="222" spans="1:7" hidden="1" outlineLevel="1" x14ac:dyDescent="0.75">
      <c r="A222" s="50">
        <v>1377</v>
      </c>
      <c r="B222" t="s">
        <v>340</v>
      </c>
      <c r="C222" t="s">
        <v>341</v>
      </c>
      <c r="D222" s="15">
        <v>-1700.59</v>
      </c>
      <c r="E222" s="15">
        <v>0</v>
      </c>
      <c r="F222" s="15">
        <v>0</v>
      </c>
      <c r="G222" s="15">
        <v>-1700.59</v>
      </c>
    </row>
    <row r="223" spans="1:7" hidden="1" outlineLevel="1" x14ac:dyDescent="0.75">
      <c r="A223" s="50">
        <v>1394</v>
      </c>
      <c r="B223" t="s">
        <v>855</v>
      </c>
      <c r="C223" t="s">
        <v>856</v>
      </c>
      <c r="D223" s="15">
        <v>-3400</v>
      </c>
      <c r="E223" s="15">
        <v>1700</v>
      </c>
      <c r="F223" s="15">
        <v>662</v>
      </c>
      <c r="G223" s="15">
        <v>-2362</v>
      </c>
    </row>
    <row r="224" spans="1:7" hidden="1" outlineLevel="1" x14ac:dyDescent="0.75">
      <c r="A224" s="50">
        <v>1396</v>
      </c>
      <c r="B224" t="s">
        <v>344</v>
      </c>
      <c r="C224" t="s">
        <v>345</v>
      </c>
      <c r="D224" s="15">
        <v>-15540</v>
      </c>
      <c r="E224" s="15">
        <v>15430</v>
      </c>
      <c r="F224" s="15">
        <v>0</v>
      </c>
      <c r="G224" s="15">
        <v>-110</v>
      </c>
    </row>
    <row r="225" spans="1:7" hidden="1" outlineLevel="1" x14ac:dyDescent="0.75">
      <c r="A225" s="50">
        <v>1399</v>
      </c>
      <c r="B225" t="s">
        <v>346</v>
      </c>
      <c r="C225" t="s">
        <v>347</v>
      </c>
      <c r="D225" s="15">
        <v>-375.65</v>
      </c>
      <c r="E225" s="15">
        <v>0</v>
      </c>
      <c r="F225" s="15">
        <v>47.6</v>
      </c>
      <c r="G225" s="15">
        <v>-423.25</v>
      </c>
    </row>
    <row r="226" spans="1:7" hidden="1" outlineLevel="1" x14ac:dyDescent="0.75">
      <c r="A226" s="50">
        <v>1401</v>
      </c>
      <c r="B226" t="s">
        <v>350</v>
      </c>
      <c r="C226" t="s">
        <v>351</v>
      </c>
      <c r="D226" s="15">
        <v>-4045</v>
      </c>
      <c r="E226" s="15">
        <v>1665</v>
      </c>
      <c r="F226" s="15">
        <v>185</v>
      </c>
      <c r="G226" s="15">
        <v>-2565</v>
      </c>
    </row>
    <row r="227" spans="1:7" hidden="1" outlineLevel="1" x14ac:dyDescent="0.75">
      <c r="A227" s="50">
        <v>1405</v>
      </c>
      <c r="B227" t="s">
        <v>354</v>
      </c>
      <c r="C227" t="s">
        <v>355</v>
      </c>
      <c r="D227" s="15">
        <v>-19507.5</v>
      </c>
      <c r="E227" s="15">
        <v>82644.899999999994</v>
      </c>
      <c r="F227" s="15">
        <v>86566.1</v>
      </c>
      <c r="G227" s="15">
        <v>-23428.7</v>
      </c>
    </row>
    <row r="228" spans="1:7" hidden="1" outlineLevel="1" x14ac:dyDescent="0.75">
      <c r="A228" s="50">
        <v>1406</v>
      </c>
      <c r="B228" t="s">
        <v>356</v>
      </c>
      <c r="C228" t="s">
        <v>357</v>
      </c>
      <c r="D228" s="15">
        <v>-12864</v>
      </c>
      <c r="E228" s="15">
        <v>25671.5</v>
      </c>
      <c r="F228" s="15">
        <v>15734.75</v>
      </c>
      <c r="G228" s="15">
        <v>-2927.25</v>
      </c>
    </row>
    <row r="229" spans="1:7" hidden="1" outlineLevel="1" x14ac:dyDescent="0.75">
      <c r="A229" s="50">
        <v>1413</v>
      </c>
      <c r="B229" t="s">
        <v>360</v>
      </c>
      <c r="C229" t="s">
        <v>361</v>
      </c>
      <c r="D229" s="15">
        <v>-2665.43</v>
      </c>
      <c r="E229" s="15">
        <v>90</v>
      </c>
      <c r="F229" s="15">
        <v>220</v>
      </c>
      <c r="G229" s="15">
        <v>-2795.43</v>
      </c>
    </row>
    <row r="230" spans="1:7" hidden="1" outlineLevel="1" x14ac:dyDescent="0.75">
      <c r="A230" s="50">
        <v>1419</v>
      </c>
      <c r="B230" t="s">
        <v>364</v>
      </c>
      <c r="C230" t="s">
        <v>365</v>
      </c>
      <c r="D230" s="15">
        <v>-381.05</v>
      </c>
      <c r="E230" s="15">
        <v>381.05</v>
      </c>
      <c r="F230" s="15">
        <v>381.05</v>
      </c>
      <c r="G230" s="15">
        <v>-381.05</v>
      </c>
    </row>
    <row r="231" spans="1:7" hidden="1" outlineLevel="1" x14ac:dyDescent="0.75">
      <c r="A231" s="50">
        <v>1444</v>
      </c>
      <c r="B231" t="s">
        <v>366</v>
      </c>
      <c r="C231" t="s">
        <v>367</v>
      </c>
      <c r="D231" s="15">
        <v>-1072</v>
      </c>
      <c r="E231" s="15">
        <v>175</v>
      </c>
      <c r="F231" s="15">
        <v>175</v>
      </c>
      <c r="G231" s="15">
        <v>-1072</v>
      </c>
    </row>
    <row r="232" spans="1:7" hidden="1" outlineLevel="1" x14ac:dyDescent="0.75">
      <c r="A232" s="50">
        <v>1449</v>
      </c>
      <c r="B232" t="s">
        <v>368</v>
      </c>
      <c r="C232" t="s">
        <v>369</v>
      </c>
      <c r="D232" s="15">
        <v>0</v>
      </c>
      <c r="E232" s="15">
        <v>275</v>
      </c>
      <c r="F232" s="15">
        <v>275</v>
      </c>
      <c r="G232" s="15">
        <v>0</v>
      </c>
    </row>
    <row r="233" spans="1:7" hidden="1" outlineLevel="1" x14ac:dyDescent="0.75">
      <c r="A233" s="50">
        <v>1458</v>
      </c>
      <c r="B233" t="s">
        <v>370</v>
      </c>
      <c r="C233" t="s">
        <v>371</v>
      </c>
      <c r="D233" s="15">
        <v>-1338.2</v>
      </c>
      <c r="E233" s="15">
        <v>1338.2</v>
      </c>
      <c r="F233" s="15">
        <v>0</v>
      </c>
      <c r="G233" s="15">
        <v>0</v>
      </c>
    </row>
    <row r="234" spans="1:7" hidden="1" outlineLevel="1" x14ac:dyDescent="0.75">
      <c r="A234" s="50">
        <v>1483</v>
      </c>
      <c r="B234" t="s">
        <v>376</v>
      </c>
      <c r="C234" t="s">
        <v>377</v>
      </c>
      <c r="D234" s="15">
        <v>-4000</v>
      </c>
      <c r="E234" s="15">
        <v>3300</v>
      </c>
      <c r="F234" s="15">
        <v>3850</v>
      </c>
      <c r="G234" s="15">
        <v>-4550</v>
      </c>
    </row>
    <row r="235" spans="1:7" hidden="1" outlineLevel="1" x14ac:dyDescent="0.75">
      <c r="A235" s="50">
        <v>1500</v>
      </c>
      <c r="B235" t="s">
        <v>380</v>
      </c>
      <c r="C235" t="s">
        <v>381</v>
      </c>
      <c r="D235" s="15">
        <v>0</v>
      </c>
      <c r="E235" s="15">
        <v>24000</v>
      </c>
      <c r="F235" s="15">
        <v>24000</v>
      </c>
      <c r="G235" s="15">
        <v>0</v>
      </c>
    </row>
    <row r="236" spans="1:7" hidden="1" outlineLevel="1" x14ac:dyDescent="0.75">
      <c r="A236" s="50">
        <v>1503</v>
      </c>
      <c r="B236" t="s">
        <v>382</v>
      </c>
      <c r="C236" t="s">
        <v>383</v>
      </c>
      <c r="D236" s="15">
        <v>-20442.400000000001</v>
      </c>
      <c r="E236" s="15">
        <v>20308.400000000001</v>
      </c>
      <c r="F236" s="15">
        <v>29143</v>
      </c>
      <c r="G236" s="15">
        <v>-29277</v>
      </c>
    </row>
    <row r="237" spans="1:7" hidden="1" outlineLevel="1" x14ac:dyDescent="0.75">
      <c r="A237" s="50">
        <v>1518</v>
      </c>
      <c r="B237" t="s">
        <v>392</v>
      </c>
      <c r="C237" t="s">
        <v>393</v>
      </c>
      <c r="D237" s="15">
        <v>-1192.4000000000001</v>
      </c>
      <c r="E237" s="15">
        <v>1132.4000000000001</v>
      </c>
      <c r="F237" s="15">
        <v>748.9</v>
      </c>
      <c r="G237" s="15">
        <v>-808.9</v>
      </c>
    </row>
    <row r="238" spans="1:7" hidden="1" outlineLevel="1" x14ac:dyDescent="0.75">
      <c r="A238" s="50">
        <v>1534</v>
      </c>
      <c r="B238" t="s">
        <v>396</v>
      </c>
      <c r="C238" t="s">
        <v>397</v>
      </c>
      <c r="D238" s="15">
        <v>-9473.86</v>
      </c>
      <c r="E238" s="15">
        <v>4641.5600000000004</v>
      </c>
      <c r="F238" s="15">
        <v>3760.04</v>
      </c>
      <c r="G238" s="15">
        <v>-8592.34</v>
      </c>
    </row>
    <row r="239" spans="1:7" hidden="1" outlineLevel="1" x14ac:dyDescent="0.75">
      <c r="A239" s="50">
        <v>1551</v>
      </c>
      <c r="B239" t="s">
        <v>859</v>
      </c>
      <c r="C239" t="s">
        <v>860</v>
      </c>
      <c r="D239" s="15">
        <v>-950</v>
      </c>
      <c r="E239" s="15">
        <v>950</v>
      </c>
      <c r="F239" s="15">
        <v>0</v>
      </c>
      <c r="G239" s="15">
        <v>0</v>
      </c>
    </row>
    <row r="240" spans="1:7" hidden="1" outlineLevel="1" x14ac:dyDescent="0.75">
      <c r="A240" s="50">
        <v>1558</v>
      </c>
      <c r="B240" t="s">
        <v>404</v>
      </c>
      <c r="C240" t="s">
        <v>405</v>
      </c>
      <c r="D240" s="15">
        <v>-842.2</v>
      </c>
      <c r="E240" s="15">
        <v>4567.8999999999996</v>
      </c>
      <c r="F240" s="15">
        <v>3962.45</v>
      </c>
      <c r="G240" s="15">
        <v>-236.75</v>
      </c>
    </row>
    <row r="241" spans="1:7" hidden="1" outlineLevel="1" x14ac:dyDescent="0.75">
      <c r="A241" s="50">
        <v>1572</v>
      </c>
      <c r="B241" t="s">
        <v>406</v>
      </c>
      <c r="C241" t="s">
        <v>407</v>
      </c>
      <c r="D241" s="15">
        <v>-59.23</v>
      </c>
      <c r="E241" s="15">
        <v>0</v>
      </c>
      <c r="F241" s="15">
        <v>0</v>
      </c>
      <c r="G241" s="15">
        <v>-59.23</v>
      </c>
    </row>
    <row r="242" spans="1:7" hidden="1" outlineLevel="1" x14ac:dyDescent="0.75">
      <c r="A242" s="50">
        <v>1573</v>
      </c>
      <c r="B242" t="s">
        <v>408</v>
      </c>
      <c r="C242" t="s">
        <v>409</v>
      </c>
      <c r="D242" s="15">
        <v>0</v>
      </c>
      <c r="E242" s="15">
        <v>0</v>
      </c>
      <c r="F242" s="15">
        <v>80</v>
      </c>
      <c r="G242" s="15">
        <v>-80</v>
      </c>
    </row>
    <row r="243" spans="1:7" hidden="1" outlineLevel="1" x14ac:dyDescent="0.75">
      <c r="A243" s="50">
        <v>1583</v>
      </c>
      <c r="B243" t="s">
        <v>1272</v>
      </c>
      <c r="C243" t="s">
        <v>1243</v>
      </c>
      <c r="D243" s="15">
        <v>-250</v>
      </c>
      <c r="E243" s="15">
        <v>0</v>
      </c>
      <c r="F243" s="15">
        <v>0</v>
      </c>
      <c r="G243" s="15">
        <v>-250</v>
      </c>
    </row>
    <row r="244" spans="1:7" hidden="1" outlineLevel="1" x14ac:dyDescent="0.75">
      <c r="A244" s="50">
        <v>1593</v>
      </c>
      <c r="B244" t="s">
        <v>416</v>
      </c>
      <c r="C244" t="s">
        <v>417</v>
      </c>
      <c r="D244" s="15">
        <v>0</v>
      </c>
      <c r="E244" s="15">
        <v>0</v>
      </c>
      <c r="F244" s="15">
        <v>72</v>
      </c>
      <c r="G244" s="15">
        <v>-72</v>
      </c>
    </row>
    <row r="245" spans="1:7" hidden="1" outlineLevel="1" x14ac:dyDescent="0.75">
      <c r="A245" s="50">
        <v>1619</v>
      </c>
      <c r="B245" t="s">
        <v>1033</v>
      </c>
      <c r="C245" t="s">
        <v>968</v>
      </c>
      <c r="D245" s="15">
        <v>0</v>
      </c>
      <c r="E245" s="15">
        <v>11734.1</v>
      </c>
      <c r="F245" s="15">
        <v>11734.1</v>
      </c>
      <c r="G245" s="15">
        <v>0</v>
      </c>
    </row>
    <row r="246" spans="1:7" hidden="1" outlineLevel="1" x14ac:dyDescent="0.75">
      <c r="A246" s="50">
        <v>1637</v>
      </c>
      <c r="B246" t="s">
        <v>422</v>
      </c>
      <c r="C246" t="s">
        <v>423</v>
      </c>
      <c r="D246" s="15">
        <v>-246.92</v>
      </c>
      <c r="E246" s="15">
        <v>0</v>
      </c>
      <c r="F246" s="15">
        <v>184.9</v>
      </c>
      <c r="G246" s="15">
        <v>-431.82</v>
      </c>
    </row>
    <row r="247" spans="1:7" hidden="1" outlineLevel="1" x14ac:dyDescent="0.75">
      <c r="A247" s="50">
        <v>1641</v>
      </c>
      <c r="B247" t="s">
        <v>426</v>
      </c>
      <c r="C247" t="s">
        <v>427</v>
      </c>
      <c r="D247" s="15">
        <v>-9160</v>
      </c>
      <c r="E247" s="15">
        <v>7500</v>
      </c>
      <c r="F247" s="15">
        <v>8750</v>
      </c>
      <c r="G247" s="15">
        <v>-10410</v>
      </c>
    </row>
    <row r="248" spans="1:7" hidden="1" outlineLevel="1" x14ac:dyDescent="0.75">
      <c r="A248" s="50">
        <v>1642</v>
      </c>
      <c r="B248" t="s">
        <v>428</v>
      </c>
      <c r="C248" t="s">
        <v>429</v>
      </c>
      <c r="D248" s="15">
        <v>-5133.33</v>
      </c>
      <c r="E248" s="15">
        <v>3850</v>
      </c>
      <c r="F248" s="15">
        <v>3850</v>
      </c>
      <c r="G248" s="15">
        <v>-5133.33</v>
      </c>
    </row>
    <row r="249" spans="1:7" hidden="1" outlineLevel="1" x14ac:dyDescent="0.75">
      <c r="A249" s="50">
        <v>1655</v>
      </c>
      <c r="B249" t="s">
        <v>430</v>
      </c>
      <c r="C249" t="s">
        <v>431</v>
      </c>
      <c r="D249" s="15">
        <v>0</v>
      </c>
      <c r="E249" s="15">
        <v>0</v>
      </c>
      <c r="F249" s="15">
        <v>995</v>
      </c>
      <c r="G249" s="15">
        <v>-995</v>
      </c>
    </row>
    <row r="250" spans="1:7" hidden="1" outlineLevel="1" x14ac:dyDescent="0.75">
      <c r="A250" s="50">
        <v>1672</v>
      </c>
      <c r="B250" t="s">
        <v>438</v>
      </c>
      <c r="C250" t="s">
        <v>439</v>
      </c>
      <c r="D250" s="15">
        <v>-457.5</v>
      </c>
      <c r="E250" s="15">
        <v>120</v>
      </c>
      <c r="F250" s="15">
        <v>120</v>
      </c>
      <c r="G250" s="15">
        <v>-457.5</v>
      </c>
    </row>
    <row r="251" spans="1:7" hidden="1" outlineLevel="1" x14ac:dyDescent="0.75">
      <c r="A251" s="50">
        <v>1675</v>
      </c>
      <c r="B251" t="s">
        <v>442</v>
      </c>
      <c r="C251" t="s">
        <v>443</v>
      </c>
      <c r="D251" s="15">
        <v>-298</v>
      </c>
      <c r="E251" s="15">
        <v>0</v>
      </c>
      <c r="F251" s="15">
        <v>0</v>
      </c>
      <c r="G251" s="15">
        <v>-298</v>
      </c>
    </row>
    <row r="252" spans="1:7" hidden="1" outlineLevel="1" x14ac:dyDescent="0.75">
      <c r="A252" s="50">
        <v>1677</v>
      </c>
      <c r="B252" t="s">
        <v>444</v>
      </c>
      <c r="C252" t="s">
        <v>445</v>
      </c>
      <c r="D252" s="15">
        <v>-489.65</v>
      </c>
      <c r="E252" s="15">
        <v>178.2</v>
      </c>
      <c r="F252" s="15">
        <v>178.2</v>
      </c>
      <c r="G252" s="15">
        <v>-489.65</v>
      </c>
    </row>
    <row r="253" spans="1:7" hidden="1" outlineLevel="1" x14ac:dyDescent="0.75">
      <c r="A253" s="50">
        <v>1679</v>
      </c>
      <c r="B253" t="s">
        <v>447</v>
      </c>
      <c r="C253" t="s">
        <v>448</v>
      </c>
      <c r="D253" s="15">
        <v>0</v>
      </c>
      <c r="E253" s="15">
        <v>6600</v>
      </c>
      <c r="F253" s="15">
        <v>6600</v>
      </c>
      <c r="G253" s="15">
        <v>0</v>
      </c>
    </row>
    <row r="254" spans="1:7" hidden="1" outlineLevel="1" x14ac:dyDescent="0.75">
      <c r="A254" s="50">
        <v>1683</v>
      </c>
      <c r="B254" t="s">
        <v>449</v>
      </c>
      <c r="C254" t="s">
        <v>450</v>
      </c>
      <c r="D254" s="15">
        <v>-2220</v>
      </c>
      <c r="E254" s="15">
        <v>0</v>
      </c>
      <c r="F254" s="15">
        <v>0</v>
      </c>
      <c r="G254" s="15">
        <v>-2220</v>
      </c>
    </row>
    <row r="255" spans="1:7" hidden="1" outlineLevel="1" x14ac:dyDescent="0.75">
      <c r="A255" s="50">
        <v>1684</v>
      </c>
      <c r="B255" t="s">
        <v>451</v>
      </c>
      <c r="C255" t="s">
        <v>452</v>
      </c>
      <c r="D255" s="15">
        <v>-14818.75</v>
      </c>
      <c r="E255" s="15">
        <v>8324.9500000000007</v>
      </c>
      <c r="F255" s="15">
        <v>6883.85</v>
      </c>
      <c r="G255" s="15">
        <v>-13377.65</v>
      </c>
    </row>
    <row r="256" spans="1:7" hidden="1" outlineLevel="1" x14ac:dyDescent="0.75">
      <c r="A256" s="50">
        <v>1701</v>
      </c>
      <c r="B256" t="s">
        <v>453</v>
      </c>
      <c r="C256" t="s">
        <v>454</v>
      </c>
      <c r="D256" s="15">
        <v>-2094</v>
      </c>
      <c r="E256" s="15">
        <v>0</v>
      </c>
      <c r="F256" s="15">
        <v>0</v>
      </c>
      <c r="G256" s="15">
        <v>-2094</v>
      </c>
    </row>
    <row r="257" spans="1:7" hidden="1" outlineLevel="1" x14ac:dyDescent="0.75">
      <c r="A257" s="50">
        <v>1703</v>
      </c>
      <c r="B257" t="s">
        <v>455</v>
      </c>
      <c r="C257" t="s">
        <v>456</v>
      </c>
      <c r="D257" s="15">
        <v>-1158</v>
      </c>
      <c r="E257" s="15">
        <v>0</v>
      </c>
      <c r="F257" s="15">
        <v>0</v>
      </c>
      <c r="G257" s="15">
        <v>-1158</v>
      </c>
    </row>
    <row r="258" spans="1:7" hidden="1" outlineLevel="1" x14ac:dyDescent="0.75">
      <c r="A258" s="50">
        <v>1711</v>
      </c>
      <c r="B258" t="s">
        <v>461</v>
      </c>
      <c r="C258" t="s">
        <v>462</v>
      </c>
      <c r="D258" s="15">
        <v>0</v>
      </c>
      <c r="E258" s="15">
        <v>900</v>
      </c>
      <c r="F258" s="15">
        <v>900</v>
      </c>
      <c r="G258" s="15">
        <v>0</v>
      </c>
    </row>
    <row r="259" spans="1:7" hidden="1" outlineLevel="1" x14ac:dyDescent="0.75">
      <c r="A259" s="50">
        <v>1721</v>
      </c>
      <c r="B259" t="s">
        <v>469</v>
      </c>
      <c r="C259" t="s">
        <v>470</v>
      </c>
      <c r="D259" s="15">
        <v>-49275.3</v>
      </c>
      <c r="E259" s="15">
        <v>29317.7</v>
      </c>
      <c r="F259" s="15">
        <v>25318.5</v>
      </c>
      <c r="G259" s="15">
        <v>-45276.1</v>
      </c>
    </row>
    <row r="260" spans="1:7" hidden="1" outlineLevel="1" x14ac:dyDescent="0.75">
      <c r="A260" s="50">
        <v>1755</v>
      </c>
      <c r="B260" t="s">
        <v>1273</v>
      </c>
      <c r="C260" t="s">
        <v>1121</v>
      </c>
      <c r="D260" s="15">
        <v>-1018.25</v>
      </c>
      <c r="E260" s="15">
        <v>0</v>
      </c>
      <c r="F260" s="15">
        <v>0</v>
      </c>
      <c r="G260" s="15">
        <v>-1018.25</v>
      </c>
    </row>
    <row r="261" spans="1:7" hidden="1" outlineLevel="1" x14ac:dyDescent="0.75">
      <c r="A261" s="50">
        <v>1777</v>
      </c>
      <c r="B261" t="s">
        <v>1346</v>
      </c>
      <c r="C261" t="s">
        <v>1347</v>
      </c>
      <c r="D261" s="15">
        <v>0</v>
      </c>
      <c r="E261" s="15">
        <v>6175.49</v>
      </c>
      <c r="F261" s="15">
        <v>6175.49</v>
      </c>
      <c r="G261" s="15">
        <v>0</v>
      </c>
    </row>
    <row r="262" spans="1:7" hidden="1" outlineLevel="1" x14ac:dyDescent="0.75">
      <c r="A262" s="50">
        <v>1779</v>
      </c>
      <c r="B262" t="s">
        <v>959</v>
      </c>
      <c r="C262" t="s">
        <v>960</v>
      </c>
      <c r="D262" s="15">
        <v>-270</v>
      </c>
      <c r="E262" s="15">
        <v>0</v>
      </c>
      <c r="F262" s="15">
        <v>0</v>
      </c>
      <c r="G262" s="15">
        <v>-270</v>
      </c>
    </row>
    <row r="263" spans="1:7" hidden="1" outlineLevel="1" x14ac:dyDescent="0.75">
      <c r="A263" s="50">
        <v>1794</v>
      </c>
      <c r="B263" t="s">
        <v>483</v>
      </c>
      <c r="C263" t="s">
        <v>484</v>
      </c>
      <c r="D263" s="15">
        <v>-9808.6</v>
      </c>
      <c r="E263" s="15">
        <v>28136.2</v>
      </c>
      <c r="F263" s="15">
        <v>18327.599999999999</v>
      </c>
      <c r="G263" s="15">
        <v>0</v>
      </c>
    </row>
    <row r="264" spans="1:7" hidden="1" outlineLevel="1" x14ac:dyDescent="0.75">
      <c r="A264" s="50">
        <v>1799</v>
      </c>
      <c r="B264" t="s">
        <v>487</v>
      </c>
      <c r="C264" t="s">
        <v>488</v>
      </c>
      <c r="D264" s="15">
        <v>-340</v>
      </c>
      <c r="E264" s="15">
        <v>340</v>
      </c>
      <c r="F264" s="15">
        <v>0</v>
      </c>
      <c r="G264" s="15">
        <v>0</v>
      </c>
    </row>
    <row r="265" spans="1:7" hidden="1" outlineLevel="1" x14ac:dyDescent="0.75">
      <c r="A265" s="50">
        <v>1803</v>
      </c>
      <c r="B265" t="s">
        <v>493</v>
      </c>
      <c r="C265" t="s">
        <v>494</v>
      </c>
      <c r="D265" s="15">
        <v>0</v>
      </c>
      <c r="E265" s="15">
        <v>1000</v>
      </c>
      <c r="F265" s="15">
        <v>1113.3499999999999</v>
      </c>
      <c r="G265" s="15">
        <v>-113.35</v>
      </c>
    </row>
    <row r="266" spans="1:7" hidden="1" outlineLevel="1" x14ac:dyDescent="0.75">
      <c r="A266" s="50">
        <v>1833</v>
      </c>
      <c r="B266" t="s">
        <v>1274</v>
      </c>
      <c r="C266" t="s">
        <v>1275</v>
      </c>
      <c r="D266" s="15">
        <v>-214</v>
      </c>
      <c r="E266" s="15">
        <v>0</v>
      </c>
      <c r="F266" s="15">
        <v>0</v>
      </c>
      <c r="G266" s="15">
        <v>-214</v>
      </c>
    </row>
    <row r="267" spans="1:7" hidden="1" outlineLevel="1" x14ac:dyDescent="0.75">
      <c r="A267" s="50">
        <v>1853</v>
      </c>
      <c r="B267" t="s">
        <v>497</v>
      </c>
      <c r="C267" t="s">
        <v>498</v>
      </c>
      <c r="D267" s="15">
        <v>-262</v>
      </c>
      <c r="E267" s="15">
        <v>0</v>
      </c>
      <c r="F267" s="15">
        <v>0</v>
      </c>
      <c r="G267" s="15">
        <v>-262</v>
      </c>
    </row>
    <row r="268" spans="1:7" hidden="1" outlineLevel="1" x14ac:dyDescent="0.75">
      <c r="A268" s="50">
        <v>1859</v>
      </c>
      <c r="B268" t="s">
        <v>1034</v>
      </c>
      <c r="C268" t="s">
        <v>411</v>
      </c>
      <c r="D268" s="15">
        <v>0</v>
      </c>
      <c r="E268" s="15">
        <v>14850</v>
      </c>
      <c r="F268" s="15">
        <v>14850</v>
      </c>
      <c r="G268" s="15">
        <v>0</v>
      </c>
    </row>
    <row r="269" spans="1:7" hidden="1" outlineLevel="1" x14ac:dyDescent="0.75">
      <c r="A269" s="50">
        <v>1898</v>
      </c>
      <c r="B269" t="s">
        <v>961</v>
      </c>
      <c r="C269" t="s">
        <v>962</v>
      </c>
      <c r="D269" s="15">
        <v>-7337.3</v>
      </c>
      <c r="E269" s="15">
        <v>21069.5</v>
      </c>
      <c r="F269" s="15">
        <v>18298.599999999999</v>
      </c>
      <c r="G269" s="15">
        <v>-4566.3999999999996</v>
      </c>
    </row>
    <row r="270" spans="1:7" hidden="1" outlineLevel="1" x14ac:dyDescent="0.75">
      <c r="A270" s="50">
        <v>1899</v>
      </c>
      <c r="B270" t="s">
        <v>963</v>
      </c>
      <c r="C270" t="s">
        <v>964</v>
      </c>
      <c r="D270" s="15">
        <v>-80</v>
      </c>
      <c r="E270" s="15">
        <v>0</v>
      </c>
      <c r="F270" s="15">
        <v>0</v>
      </c>
      <c r="G270" s="15">
        <v>-80</v>
      </c>
    </row>
    <row r="271" spans="1:7" hidden="1" outlineLevel="1" x14ac:dyDescent="0.75">
      <c r="A271" s="50">
        <v>1900</v>
      </c>
      <c r="B271" t="s">
        <v>965</v>
      </c>
      <c r="C271" t="s">
        <v>966</v>
      </c>
      <c r="D271" s="15">
        <v>-18806.8</v>
      </c>
      <c r="E271" s="15">
        <v>18806.8</v>
      </c>
      <c r="F271" s="15">
        <v>5958</v>
      </c>
      <c r="G271" s="15">
        <v>-5958</v>
      </c>
    </row>
    <row r="272" spans="1:7" hidden="1" outlineLevel="1" x14ac:dyDescent="0.75">
      <c r="A272" s="50">
        <v>1906</v>
      </c>
      <c r="B272" t="s">
        <v>1348</v>
      </c>
      <c r="C272" t="s">
        <v>92</v>
      </c>
      <c r="D272" s="15">
        <v>0</v>
      </c>
      <c r="E272" s="15">
        <v>0</v>
      </c>
      <c r="F272" s="15">
        <v>9244.35</v>
      </c>
      <c r="G272" s="15">
        <v>-9244.35</v>
      </c>
    </row>
    <row r="273" spans="1:7" hidden="1" outlineLevel="1" x14ac:dyDescent="0.75">
      <c r="A273" s="50">
        <v>1912</v>
      </c>
      <c r="B273" t="s">
        <v>1349</v>
      </c>
      <c r="C273" t="s">
        <v>1350</v>
      </c>
      <c r="D273" s="15">
        <v>0</v>
      </c>
      <c r="E273" s="15">
        <v>260</v>
      </c>
      <c r="F273" s="15">
        <v>260</v>
      </c>
      <c r="G273" s="15">
        <v>0</v>
      </c>
    </row>
    <row r="274" spans="1:7" hidden="1" outlineLevel="1" x14ac:dyDescent="0.75">
      <c r="A274" s="50">
        <v>1914</v>
      </c>
      <c r="B274" t="s">
        <v>1087</v>
      </c>
      <c r="C274" t="s">
        <v>1059</v>
      </c>
      <c r="D274" s="15">
        <v>300</v>
      </c>
      <c r="E274" s="15">
        <v>3800</v>
      </c>
      <c r="F274" s="15">
        <v>4100</v>
      </c>
      <c r="G274" s="15">
        <v>0</v>
      </c>
    </row>
    <row r="275" spans="1:7" hidden="1" outlineLevel="1" x14ac:dyDescent="0.75">
      <c r="A275" s="50">
        <v>1915</v>
      </c>
      <c r="B275" t="s">
        <v>1088</v>
      </c>
      <c r="C275" t="s">
        <v>1060</v>
      </c>
      <c r="D275" s="15">
        <v>-4050</v>
      </c>
      <c r="E275" s="15">
        <v>23400</v>
      </c>
      <c r="F275" s="15">
        <v>19350</v>
      </c>
      <c r="G275" s="15">
        <v>0</v>
      </c>
    </row>
    <row r="276" spans="1:7" hidden="1" outlineLevel="1" x14ac:dyDescent="0.75">
      <c r="A276" s="50">
        <v>1918</v>
      </c>
      <c r="B276" t="s">
        <v>1089</v>
      </c>
      <c r="C276" t="s">
        <v>1061</v>
      </c>
      <c r="D276" s="15">
        <v>-2938.67</v>
      </c>
      <c r="E276" s="15">
        <v>1642.78</v>
      </c>
      <c r="F276" s="15">
        <v>1222.97</v>
      </c>
      <c r="G276" s="15">
        <v>-2518.86</v>
      </c>
    </row>
    <row r="277" spans="1:7" hidden="1" outlineLevel="1" x14ac:dyDescent="0.75">
      <c r="A277" s="50">
        <v>1925</v>
      </c>
      <c r="B277" t="s">
        <v>1092</v>
      </c>
      <c r="C277" t="s">
        <v>1064</v>
      </c>
      <c r="D277" s="15">
        <v>-270</v>
      </c>
      <c r="E277" s="15">
        <v>0</v>
      </c>
      <c r="F277" s="15">
        <v>0</v>
      </c>
      <c r="G277" s="15">
        <v>-270</v>
      </c>
    </row>
    <row r="278" spans="1:7" hidden="1" outlineLevel="1" x14ac:dyDescent="0.75">
      <c r="A278" s="50">
        <v>1944</v>
      </c>
      <c r="B278" t="s">
        <v>1277</v>
      </c>
      <c r="C278" t="s">
        <v>1278</v>
      </c>
      <c r="D278" s="15">
        <v>-40</v>
      </c>
      <c r="E278" s="15">
        <v>0</v>
      </c>
      <c r="F278" s="15">
        <v>0</v>
      </c>
      <c r="G278" s="15">
        <v>-40</v>
      </c>
    </row>
    <row r="279" spans="1:7" hidden="1" outlineLevel="1" x14ac:dyDescent="0.75">
      <c r="A279" s="50">
        <v>1945</v>
      </c>
      <c r="B279" t="s">
        <v>1279</v>
      </c>
      <c r="C279" t="s">
        <v>1245</v>
      </c>
      <c r="D279" s="15">
        <v>-4823.6099999999997</v>
      </c>
      <c r="E279" s="15">
        <v>1819.43</v>
      </c>
      <c r="F279" s="15">
        <v>350</v>
      </c>
      <c r="G279" s="15">
        <v>-3354.18</v>
      </c>
    </row>
    <row r="280" spans="1:7" hidden="1" outlineLevel="1" x14ac:dyDescent="0.75">
      <c r="A280" s="50">
        <v>1947</v>
      </c>
      <c r="B280" t="s">
        <v>1280</v>
      </c>
      <c r="C280" t="s">
        <v>1246</v>
      </c>
      <c r="D280" s="15">
        <v>-4833</v>
      </c>
      <c r="E280" s="15">
        <v>3077</v>
      </c>
      <c r="F280" s="15">
        <v>2199</v>
      </c>
      <c r="G280" s="15">
        <v>-3955</v>
      </c>
    </row>
    <row r="281" spans="1:7" hidden="1" outlineLevel="1" x14ac:dyDescent="0.75">
      <c r="A281" s="50">
        <v>1961</v>
      </c>
      <c r="B281" t="s">
        <v>1281</v>
      </c>
      <c r="C281" t="s">
        <v>1247</v>
      </c>
      <c r="D281" s="15">
        <v>-3514.57</v>
      </c>
      <c r="E281" s="15">
        <v>3295.51</v>
      </c>
      <c r="F281" s="15">
        <v>14187.1</v>
      </c>
      <c r="G281" s="15">
        <v>-14406.16</v>
      </c>
    </row>
    <row r="282" spans="1:7" hidden="1" outlineLevel="1" x14ac:dyDescent="0.75">
      <c r="A282" s="50">
        <v>1963</v>
      </c>
      <c r="B282" t="s">
        <v>1282</v>
      </c>
      <c r="C282" t="s">
        <v>1248</v>
      </c>
      <c r="D282" s="15">
        <v>-480</v>
      </c>
      <c r="E282" s="15">
        <v>0</v>
      </c>
      <c r="F282" s="15">
        <v>0</v>
      </c>
      <c r="G282" s="15">
        <v>-480</v>
      </c>
    </row>
    <row r="283" spans="1:7" hidden="1" outlineLevel="1" x14ac:dyDescent="0.75">
      <c r="A283" s="50">
        <v>1978</v>
      </c>
      <c r="B283" t="s">
        <v>1351</v>
      </c>
      <c r="C283" t="s">
        <v>1352</v>
      </c>
      <c r="D283" s="15">
        <v>0</v>
      </c>
      <c r="E283" s="15">
        <v>0</v>
      </c>
      <c r="F283" s="15">
        <v>127.65</v>
      </c>
      <c r="G283" s="15">
        <v>-127.65</v>
      </c>
    </row>
    <row r="284" spans="1:7" hidden="1" outlineLevel="1" x14ac:dyDescent="0.75">
      <c r="A284" s="50">
        <v>1979</v>
      </c>
      <c r="B284" t="s">
        <v>1353</v>
      </c>
      <c r="C284" t="s">
        <v>1354</v>
      </c>
      <c r="D284" s="15">
        <v>0</v>
      </c>
      <c r="E284" s="15">
        <v>11269.5</v>
      </c>
      <c r="F284" s="15">
        <v>21329.1</v>
      </c>
      <c r="G284" s="15">
        <v>-10059.6</v>
      </c>
    </row>
    <row r="285" spans="1:7" hidden="1" outlineLevel="1" x14ac:dyDescent="0.75">
      <c r="A285" s="50">
        <v>1980</v>
      </c>
      <c r="B285" t="s">
        <v>1355</v>
      </c>
      <c r="C285" t="s">
        <v>1356</v>
      </c>
      <c r="D285" s="15">
        <v>0</v>
      </c>
      <c r="E285" s="15">
        <v>0</v>
      </c>
      <c r="F285" s="15">
        <v>14660</v>
      </c>
      <c r="G285" s="15">
        <v>-14660</v>
      </c>
    </row>
    <row r="286" spans="1:7" hidden="1" outlineLevel="1" x14ac:dyDescent="0.75">
      <c r="A286" s="50">
        <v>1982</v>
      </c>
      <c r="B286" t="s">
        <v>1357</v>
      </c>
      <c r="C286" t="s">
        <v>1358</v>
      </c>
      <c r="D286" s="15">
        <v>0</v>
      </c>
      <c r="E286" s="15">
        <v>23754</v>
      </c>
      <c r="F286" s="15">
        <v>42904</v>
      </c>
      <c r="G286" s="15">
        <v>-19150</v>
      </c>
    </row>
    <row r="287" spans="1:7" hidden="1" outlineLevel="1" x14ac:dyDescent="0.75">
      <c r="A287" s="50">
        <v>1983</v>
      </c>
      <c r="B287" t="s">
        <v>1359</v>
      </c>
      <c r="C287" t="s">
        <v>1360</v>
      </c>
      <c r="D287" s="15">
        <v>0</v>
      </c>
      <c r="E287" s="15">
        <v>0</v>
      </c>
      <c r="F287" s="15">
        <v>64</v>
      </c>
      <c r="G287" s="15">
        <v>-64</v>
      </c>
    </row>
    <row r="288" spans="1:7" collapsed="1" x14ac:dyDescent="0.75">
      <c r="A288" s="26">
        <v>169</v>
      </c>
      <c r="B288" s="28" t="s">
        <v>501</v>
      </c>
      <c r="C288" s="28" t="s">
        <v>502</v>
      </c>
      <c r="D288" s="29">
        <v>-10443.32</v>
      </c>
      <c r="E288" s="29">
        <v>39324.9</v>
      </c>
      <c r="F288" s="29">
        <v>35663.800000000003</v>
      </c>
      <c r="G288" s="29">
        <v>-6782.22</v>
      </c>
    </row>
    <row r="289" spans="1:7" x14ac:dyDescent="0.75">
      <c r="A289" s="26">
        <v>170</v>
      </c>
      <c r="B289" s="28" t="s">
        <v>503</v>
      </c>
      <c r="C289" s="28" t="s">
        <v>504</v>
      </c>
      <c r="D289" s="29">
        <v>-10443.32</v>
      </c>
      <c r="E289" s="29">
        <v>39324.9</v>
      </c>
      <c r="F289" s="29">
        <v>35663.800000000003</v>
      </c>
      <c r="G289" s="29">
        <v>-6782.22</v>
      </c>
    </row>
    <row r="290" spans="1:7" x14ac:dyDescent="0.75">
      <c r="A290" s="50">
        <v>172</v>
      </c>
      <c r="B290" t="s">
        <v>505</v>
      </c>
      <c r="C290" t="s">
        <v>506</v>
      </c>
      <c r="D290" s="15">
        <v>0</v>
      </c>
      <c r="E290" s="15">
        <v>33134.730000000003</v>
      </c>
      <c r="F290" s="15">
        <v>33134.730000000003</v>
      </c>
      <c r="G290" s="15">
        <v>0</v>
      </c>
    </row>
    <row r="291" spans="1:7" x14ac:dyDescent="0.75">
      <c r="A291" s="50">
        <v>176</v>
      </c>
      <c r="B291" t="s">
        <v>507</v>
      </c>
      <c r="C291" t="s">
        <v>508</v>
      </c>
      <c r="D291" s="15">
        <v>-6358.33</v>
      </c>
      <c r="E291" s="15">
        <v>2119.44</v>
      </c>
      <c r="F291" s="15">
        <v>0</v>
      </c>
      <c r="G291" s="15">
        <v>-4238.8900000000003</v>
      </c>
    </row>
    <row r="292" spans="1:7" x14ac:dyDescent="0.75">
      <c r="A292" s="50">
        <v>177</v>
      </c>
      <c r="B292" t="s">
        <v>509</v>
      </c>
      <c r="C292" t="s">
        <v>510</v>
      </c>
      <c r="D292" s="15">
        <v>-3815</v>
      </c>
      <c r="E292" s="15">
        <v>1271.67</v>
      </c>
      <c r="F292" s="15">
        <v>0</v>
      </c>
      <c r="G292" s="15">
        <v>-2543.33</v>
      </c>
    </row>
    <row r="293" spans="1:7" x14ac:dyDescent="0.75">
      <c r="A293" s="50">
        <v>178</v>
      </c>
      <c r="B293" t="s">
        <v>1283</v>
      </c>
      <c r="C293" t="s">
        <v>1284</v>
      </c>
      <c r="D293" s="15">
        <v>-65.849999999999994</v>
      </c>
      <c r="E293" s="15">
        <v>80.41</v>
      </c>
      <c r="F293" s="15">
        <v>14.56</v>
      </c>
      <c r="G293" s="15">
        <v>0</v>
      </c>
    </row>
    <row r="294" spans="1:7" x14ac:dyDescent="0.75">
      <c r="A294" s="50">
        <v>179</v>
      </c>
      <c r="B294" t="s">
        <v>1035</v>
      </c>
      <c r="C294" t="s">
        <v>511</v>
      </c>
      <c r="D294" s="15">
        <v>0</v>
      </c>
      <c r="E294" s="15">
        <v>440.48</v>
      </c>
      <c r="F294" s="15">
        <v>440.48</v>
      </c>
      <c r="G294" s="15">
        <v>0</v>
      </c>
    </row>
    <row r="295" spans="1:7" x14ac:dyDescent="0.75">
      <c r="A295" s="50">
        <v>180</v>
      </c>
      <c r="B295" t="s">
        <v>1036</v>
      </c>
      <c r="C295" t="s">
        <v>512</v>
      </c>
      <c r="D295" s="15">
        <v>0</v>
      </c>
      <c r="E295" s="15">
        <v>2028.89</v>
      </c>
      <c r="F295" s="15">
        <v>2028.89</v>
      </c>
      <c r="G295" s="15">
        <v>0</v>
      </c>
    </row>
    <row r="296" spans="1:7" x14ac:dyDescent="0.75">
      <c r="A296" s="50">
        <v>1016</v>
      </c>
      <c r="B296" t="s">
        <v>1285</v>
      </c>
      <c r="C296" t="s">
        <v>1286</v>
      </c>
      <c r="D296" s="15">
        <v>-204.14</v>
      </c>
      <c r="E296" s="15">
        <v>249.28</v>
      </c>
      <c r="F296" s="15">
        <v>45.14</v>
      </c>
      <c r="G296" s="15">
        <v>0</v>
      </c>
    </row>
    <row r="297" spans="1:7" x14ac:dyDescent="0.75">
      <c r="A297" s="26">
        <v>185</v>
      </c>
      <c r="B297" s="28" t="s">
        <v>519</v>
      </c>
      <c r="C297" s="28" t="s">
        <v>520</v>
      </c>
      <c r="D297" s="29">
        <v>-237127.95</v>
      </c>
      <c r="E297" s="29">
        <v>118643.66</v>
      </c>
      <c r="F297" s="29">
        <v>131036.16</v>
      </c>
      <c r="G297" s="29">
        <v>-249520.45</v>
      </c>
    </row>
    <row r="298" spans="1:7" x14ac:dyDescent="0.75">
      <c r="A298" s="26">
        <v>186</v>
      </c>
      <c r="B298" s="28" t="s">
        <v>521</v>
      </c>
      <c r="C298" s="28" t="s">
        <v>522</v>
      </c>
      <c r="D298" s="29">
        <v>-48448</v>
      </c>
      <c r="E298" s="29">
        <v>44280.17</v>
      </c>
      <c r="F298" s="29">
        <v>41213.47</v>
      </c>
      <c r="G298" s="29">
        <v>-45381.3</v>
      </c>
    </row>
    <row r="299" spans="1:7" x14ac:dyDescent="0.75">
      <c r="A299" s="50">
        <v>187</v>
      </c>
      <c r="B299" t="s">
        <v>523</v>
      </c>
      <c r="C299" t="s">
        <v>524</v>
      </c>
      <c r="D299" s="15">
        <v>0</v>
      </c>
      <c r="E299" s="15">
        <v>38680.17</v>
      </c>
      <c r="F299" s="15">
        <v>38680.17</v>
      </c>
      <c r="G299" s="15">
        <v>0</v>
      </c>
    </row>
    <row r="300" spans="1:7" x14ac:dyDescent="0.75">
      <c r="A300" s="50">
        <v>553</v>
      </c>
      <c r="B300" t="s">
        <v>525</v>
      </c>
      <c r="C300" t="s">
        <v>526</v>
      </c>
      <c r="D300" s="15">
        <v>0</v>
      </c>
      <c r="E300" s="15">
        <v>0</v>
      </c>
      <c r="F300" s="15">
        <v>2533.3000000000002</v>
      </c>
      <c r="G300" s="15">
        <v>-2533.3000000000002</v>
      </c>
    </row>
    <row r="301" spans="1:7" x14ac:dyDescent="0.75">
      <c r="A301" s="50">
        <v>1649</v>
      </c>
      <c r="B301" t="s">
        <v>880</v>
      </c>
      <c r="C301" t="s">
        <v>881</v>
      </c>
      <c r="D301" s="15">
        <v>-48448</v>
      </c>
      <c r="E301" s="15">
        <v>5600</v>
      </c>
      <c r="F301" s="15">
        <v>0</v>
      </c>
      <c r="G301" s="15">
        <v>-42848</v>
      </c>
    </row>
    <row r="302" spans="1:7" x14ac:dyDescent="0.75">
      <c r="A302" s="26">
        <v>190</v>
      </c>
      <c r="B302" s="28" t="s">
        <v>527</v>
      </c>
      <c r="C302" s="28" t="s">
        <v>528</v>
      </c>
      <c r="D302" s="29">
        <v>-49692.63</v>
      </c>
      <c r="E302" s="29">
        <v>65509.9</v>
      </c>
      <c r="F302" s="29">
        <v>57891.53</v>
      </c>
      <c r="G302" s="29">
        <v>-42074.26</v>
      </c>
    </row>
    <row r="303" spans="1:7" x14ac:dyDescent="0.75">
      <c r="A303" s="50">
        <v>192</v>
      </c>
      <c r="B303" t="s">
        <v>529</v>
      </c>
      <c r="C303" t="s">
        <v>530</v>
      </c>
      <c r="D303" s="15">
        <v>-9703.36</v>
      </c>
      <c r="E303" s="15">
        <v>11783.21</v>
      </c>
      <c r="F303" s="15">
        <v>9439.5</v>
      </c>
      <c r="G303" s="15">
        <v>-7359.65</v>
      </c>
    </row>
    <row r="304" spans="1:7" x14ac:dyDescent="0.75">
      <c r="A304" s="50">
        <v>554</v>
      </c>
      <c r="B304" t="s">
        <v>531</v>
      </c>
      <c r="C304" t="s">
        <v>532</v>
      </c>
      <c r="D304" s="15">
        <v>-1870.14</v>
      </c>
      <c r="E304" s="15">
        <v>1870.14</v>
      </c>
      <c r="F304" s="15">
        <v>902.97</v>
      </c>
      <c r="G304" s="15">
        <v>-902.97</v>
      </c>
    </row>
    <row r="305" spans="1:7" x14ac:dyDescent="0.75">
      <c r="A305" s="50">
        <v>1486</v>
      </c>
      <c r="B305" t="s">
        <v>533</v>
      </c>
      <c r="C305" t="s">
        <v>534</v>
      </c>
      <c r="D305" s="15">
        <v>-7427.19</v>
      </c>
      <c r="E305" s="15">
        <v>7427.19</v>
      </c>
      <c r="F305" s="15">
        <v>7020.54</v>
      </c>
      <c r="G305" s="15">
        <v>-7020.54</v>
      </c>
    </row>
    <row r="306" spans="1:7" x14ac:dyDescent="0.75">
      <c r="A306" s="50">
        <v>1487</v>
      </c>
      <c r="B306" t="s">
        <v>535</v>
      </c>
      <c r="C306" t="s">
        <v>536</v>
      </c>
      <c r="D306" s="15">
        <v>-21099.75</v>
      </c>
      <c r="E306" s="15">
        <v>34824.31</v>
      </c>
      <c r="F306" s="15">
        <v>34823.9</v>
      </c>
      <c r="G306" s="15">
        <v>-21099.34</v>
      </c>
    </row>
    <row r="307" spans="1:7" x14ac:dyDescent="0.75">
      <c r="A307" s="50">
        <v>1806</v>
      </c>
      <c r="B307" t="s">
        <v>537</v>
      </c>
      <c r="C307" t="s">
        <v>538</v>
      </c>
      <c r="D307" s="15">
        <v>-5692.19</v>
      </c>
      <c r="E307" s="15">
        <v>5692.19</v>
      </c>
      <c r="F307" s="15">
        <v>5691.76</v>
      </c>
      <c r="G307" s="15">
        <v>-5691.76</v>
      </c>
    </row>
    <row r="308" spans="1:7" x14ac:dyDescent="0.75">
      <c r="A308" s="50">
        <v>1924</v>
      </c>
      <c r="B308" t="s">
        <v>1093</v>
      </c>
      <c r="C308" t="s">
        <v>1065</v>
      </c>
      <c r="D308" s="15">
        <v>-3900</v>
      </c>
      <c r="E308" s="15">
        <v>3912.86</v>
      </c>
      <c r="F308" s="15">
        <v>12.86</v>
      </c>
      <c r="G308" s="15">
        <v>0</v>
      </c>
    </row>
    <row r="309" spans="1:7" x14ac:dyDescent="0.75">
      <c r="A309" s="26">
        <v>193</v>
      </c>
      <c r="B309" s="28" t="s">
        <v>539</v>
      </c>
      <c r="C309" s="28" t="s">
        <v>540</v>
      </c>
      <c r="D309" s="29">
        <v>-138987.32</v>
      </c>
      <c r="E309" s="29">
        <v>8853.59</v>
      </c>
      <c r="F309" s="29">
        <v>31931.16</v>
      </c>
      <c r="G309" s="29">
        <v>-162064.89000000001</v>
      </c>
    </row>
    <row r="310" spans="1:7" x14ac:dyDescent="0.75">
      <c r="A310" s="50">
        <v>194</v>
      </c>
      <c r="B310" t="s">
        <v>541</v>
      </c>
      <c r="C310" t="s">
        <v>542</v>
      </c>
      <c r="D310" s="15">
        <v>-100870.83</v>
      </c>
      <c r="E310" s="15">
        <v>6389.14</v>
      </c>
      <c r="F310" s="15">
        <v>15431.05</v>
      </c>
      <c r="G310" s="15">
        <v>-109912.74</v>
      </c>
    </row>
    <row r="311" spans="1:7" x14ac:dyDescent="0.75">
      <c r="A311" s="50">
        <v>196</v>
      </c>
      <c r="B311" t="s">
        <v>543</v>
      </c>
      <c r="C311" t="s">
        <v>544</v>
      </c>
      <c r="D311" s="15">
        <v>-29478.400000000001</v>
      </c>
      <c r="E311" s="15">
        <v>1742.04</v>
      </c>
      <c r="F311" s="15">
        <v>3427.38</v>
      </c>
      <c r="G311" s="15">
        <v>-31163.74</v>
      </c>
    </row>
    <row r="312" spans="1:7" x14ac:dyDescent="0.75">
      <c r="A312" s="50">
        <v>198</v>
      </c>
      <c r="B312" t="s">
        <v>545</v>
      </c>
      <c r="C312" t="s">
        <v>546</v>
      </c>
      <c r="D312" s="15">
        <v>-8638.09</v>
      </c>
      <c r="E312" s="15">
        <v>550.63</v>
      </c>
      <c r="F312" s="15">
        <v>1154.76</v>
      </c>
      <c r="G312" s="15">
        <v>-9242.2199999999993</v>
      </c>
    </row>
    <row r="313" spans="1:7" x14ac:dyDescent="0.75">
      <c r="A313" s="50">
        <v>195</v>
      </c>
      <c r="B313" t="s">
        <v>547</v>
      </c>
      <c r="C313" t="s">
        <v>548</v>
      </c>
      <c r="D313" s="15">
        <v>0</v>
      </c>
      <c r="E313" s="15">
        <v>127.67</v>
      </c>
      <c r="F313" s="15">
        <v>9149.26</v>
      </c>
      <c r="G313" s="15">
        <v>-9021.59</v>
      </c>
    </row>
    <row r="314" spans="1:7" x14ac:dyDescent="0.75">
      <c r="A314" s="50">
        <v>197</v>
      </c>
      <c r="B314" t="s">
        <v>549</v>
      </c>
      <c r="C314" t="s">
        <v>550</v>
      </c>
      <c r="D314" s="15">
        <v>0</v>
      </c>
      <c r="E314" s="15">
        <v>34.11</v>
      </c>
      <c r="F314" s="15">
        <v>2124.92</v>
      </c>
      <c r="G314" s="15">
        <v>-2090.81</v>
      </c>
    </row>
    <row r="315" spans="1:7" x14ac:dyDescent="0.75">
      <c r="A315" s="50">
        <v>199</v>
      </c>
      <c r="B315" t="s">
        <v>551</v>
      </c>
      <c r="C315" t="s">
        <v>552</v>
      </c>
      <c r="D315" s="15">
        <v>0</v>
      </c>
      <c r="E315" s="15">
        <v>10</v>
      </c>
      <c r="F315" s="15">
        <v>643.79</v>
      </c>
      <c r="G315" s="15">
        <v>-633.79</v>
      </c>
    </row>
    <row r="316" spans="1:7" x14ac:dyDescent="0.75">
      <c r="A316" s="26">
        <v>200</v>
      </c>
      <c r="B316" s="28" t="s">
        <v>553</v>
      </c>
      <c r="C316" s="28" t="s">
        <v>554</v>
      </c>
      <c r="D316" s="29">
        <v>-48523.19</v>
      </c>
      <c r="E316" s="29">
        <v>29851.46</v>
      </c>
      <c r="F316" s="29">
        <v>86148.2</v>
      </c>
      <c r="G316" s="29">
        <v>-104819.93</v>
      </c>
    </row>
    <row r="317" spans="1:7" x14ac:dyDescent="0.75">
      <c r="A317" s="26">
        <v>201</v>
      </c>
      <c r="B317" s="28" t="s">
        <v>555</v>
      </c>
      <c r="C317" s="28" t="s">
        <v>556</v>
      </c>
      <c r="D317" s="29">
        <v>-27538.11</v>
      </c>
      <c r="E317" s="29">
        <v>0</v>
      </c>
      <c r="F317" s="29">
        <v>53097.55</v>
      </c>
      <c r="G317" s="29">
        <v>-80635.66</v>
      </c>
    </row>
    <row r="318" spans="1:7" x14ac:dyDescent="0.75">
      <c r="A318" s="50">
        <v>1621</v>
      </c>
      <c r="B318" t="s">
        <v>1287</v>
      </c>
      <c r="C318" t="s">
        <v>1288</v>
      </c>
      <c r="D318" s="15">
        <v>-25987.08</v>
      </c>
      <c r="E318" s="15">
        <v>0</v>
      </c>
      <c r="F318" s="15">
        <v>53097.55</v>
      </c>
      <c r="G318" s="15">
        <v>-79084.63</v>
      </c>
    </row>
    <row r="319" spans="1:7" x14ac:dyDescent="0.75">
      <c r="A319" s="50">
        <v>1843</v>
      </c>
      <c r="B319" t="s">
        <v>557</v>
      </c>
      <c r="C319" t="s">
        <v>558</v>
      </c>
      <c r="D319" s="15">
        <v>-1551.03</v>
      </c>
      <c r="E319" s="15">
        <v>0</v>
      </c>
      <c r="F319" s="15">
        <v>0</v>
      </c>
      <c r="G319" s="15">
        <v>-1551.03</v>
      </c>
    </row>
    <row r="320" spans="1:7" x14ac:dyDescent="0.75">
      <c r="A320" s="26">
        <v>202</v>
      </c>
      <c r="B320" s="28" t="s">
        <v>559</v>
      </c>
      <c r="C320" s="28" t="s">
        <v>560</v>
      </c>
      <c r="D320" s="29">
        <v>-16000</v>
      </c>
      <c r="E320" s="29">
        <v>24866.38</v>
      </c>
      <c r="F320" s="29">
        <v>27618.98</v>
      </c>
      <c r="G320" s="29">
        <v>-18752.599999999999</v>
      </c>
    </row>
    <row r="321" spans="1:7" x14ac:dyDescent="0.75">
      <c r="A321" s="50">
        <v>984</v>
      </c>
      <c r="B321" t="s">
        <v>882</v>
      </c>
      <c r="C321" t="s">
        <v>883</v>
      </c>
      <c r="D321" s="15">
        <v>0</v>
      </c>
      <c r="E321" s="15">
        <v>0</v>
      </c>
      <c r="F321" s="15">
        <v>1877.4</v>
      </c>
      <c r="G321" s="15">
        <v>-1877.4</v>
      </c>
    </row>
    <row r="322" spans="1:7" x14ac:dyDescent="0.75">
      <c r="A322" s="50">
        <v>1389</v>
      </c>
      <c r="B322" t="s">
        <v>884</v>
      </c>
      <c r="C322" t="s">
        <v>885</v>
      </c>
      <c r="D322" s="15">
        <v>0</v>
      </c>
      <c r="E322" s="15">
        <v>0</v>
      </c>
      <c r="F322" s="15">
        <v>875.2</v>
      </c>
      <c r="G322" s="15">
        <v>-875.2</v>
      </c>
    </row>
    <row r="323" spans="1:7" x14ac:dyDescent="0.75">
      <c r="A323" s="50">
        <v>1313</v>
      </c>
      <c r="B323" t="s">
        <v>561</v>
      </c>
      <c r="C323" t="s">
        <v>562</v>
      </c>
      <c r="D323" s="15">
        <v>-16000</v>
      </c>
      <c r="E323" s="15">
        <v>16000</v>
      </c>
      <c r="F323" s="15">
        <v>16000</v>
      </c>
      <c r="G323" s="15">
        <v>-16000</v>
      </c>
    </row>
    <row r="324" spans="1:7" x14ac:dyDescent="0.75">
      <c r="A324" s="50">
        <v>1474</v>
      </c>
      <c r="B324" t="s">
        <v>1361</v>
      </c>
      <c r="C324" t="s">
        <v>1362</v>
      </c>
      <c r="D324" s="15">
        <v>0</v>
      </c>
      <c r="E324" s="15">
        <v>8866.3799999999992</v>
      </c>
      <c r="F324" s="15">
        <v>8866.3799999999992</v>
      </c>
      <c r="G324" s="15">
        <v>0</v>
      </c>
    </row>
    <row r="325" spans="1:7" x14ac:dyDescent="0.75">
      <c r="A325" s="26">
        <v>203</v>
      </c>
      <c r="B325" s="28" t="s">
        <v>563</v>
      </c>
      <c r="C325" s="28" t="s">
        <v>564</v>
      </c>
      <c r="D325" s="29">
        <v>-4985.08</v>
      </c>
      <c r="E325" s="29">
        <v>4985.08</v>
      </c>
      <c r="F325" s="29">
        <v>5431.67</v>
      </c>
      <c r="G325" s="29">
        <v>-5431.67</v>
      </c>
    </row>
    <row r="326" spans="1:7" x14ac:dyDescent="0.75">
      <c r="A326" s="50">
        <v>1378</v>
      </c>
      <c r="B326" t="s">
        <v>565</v>
      </c>
      <c r="C326" t="s">
        <v>566</v>
      </c>
      <c r="D326" s="15">
        <v>-3879.68</v>
      </c>
      <c r="E326" s="15">
        <v>3879.68</v>
      </c>
      <c r="F326" s="15">
        <v>3486.66</v>
      </c>
      <c r="G326" s="15">
        <v>-3486.66</v>
      </c>
    </row>
    <row r="327" spans="1:7" x14ac:dyDescent="0.75">
      <c r="A327" s="50">
        <v>1379</v>
      </c>
      <c r="B327" t="s">
        <v>567</v>
      </c>
      <c r="C327" t="s">
        <v>568</v>
      </c>
      <c r="D327" s="15">
        <v>-1105.4000000000001</v>
      </c>
      <c r="E327" s="15">
        <v>1105.4000000000001</v>
      </c>
      <c r="F327" s="15">
        <v>1945.01</v>
      </c>
      <c r="G327" s="15">
        <v>-1945.01</v>
      </c>
    </row>
    <row r="328" spans="1:7" x14ac:dyDescent="0.75">
      <c r="A328" s="26">
        <v>503</v>
      </c>
      <c r="B328" s="28" t="s">
        <v>569</v>
      </c>
      <c r="C328" s="28" t="s">
        <v>570</v>
      </c>
      <c r="D328" s="29">
        <v>0</v>
      </c>
      <c r="E328" s="29">
        <v>1686.14</v>
      </c>
      <c r="F328" s="29">
        <v>42857.14</v>
      </c>
      <c r="G328" s="29">
        <v>-41171</v>
      </c>
    </row>
    <row r="329" spans="1:7" x14ac:dyDescent="0.75">
      <c r="A329" s="26">
        <v>217</v>
      </c>
      <c r="B329" s="28" t="s">
        <v>571</v>
      </c>
      <c r="C329" s="28" t="s">
        <v>572</v>
      </c>
      <c r="D329" s="29">
        <v>0</v>
      </c>
      <c r="E329" s="29">
        <v>1686.14</v>
      </c>
      <c r="F329" s="29">
        <v>42857.14</v>
      </c>
      <c r="G329" s="29">
        <v>-41171</v>
      </c>
    </row>
    <row r="330" spans="1:7" x14ac:dyDescent="0.75">
      <c r="A330" s="26">
        <v>219</v>
      </c>
      <c r="B330" s="28" t="s">
        <v>573</v>
      </c>
      <c r="C330" s="28" t="s">
        <v>239</v>
      </c>
      <c r="D330" s="29">
        <v>0</v>
      </c>
      <c r="E330" s="29">
        <v>1686.14</v>
      </c>
      <c r="F330" s="29">
        <v>42857.14</v>
      </c>
      <c r="G330" s="29">
        <v>-41171</v>
      </c>
    </row>
    <row r="331" spans="1:7" x14ac:dyDescent="0.75">
      <c r="A331" s="50">
        <v>1984</v>
      </c>
      <c r="B331" t="s">
        <v>1363</v>
      </c>
      <c r="C331" t="s">
        <v>1364</v>
      </c>
      <c r="D331" s="15">
        <v>0</v>
      </c>
      <c r="E331" s="15">
        <v>0</v>
      </c>
      <c r="F331" s="15">
        <v>42857.14</v>
      </c>
      <c r="G331" s="15">
        <v>-42857.14</v>
      </c>
    </row>
    <row r="332" spans="1:7" x14ac:dyDescent="0.75">
      <c r="A332" s="50">
        <v>1985</v>
      </c>
      <c r="B332" t="s">
        <v>1365</v>
      </c>
      <c r="C332" t="s">
        <v>1342</v>
      </c>
      <c r="D332" s="15">
        <v>0</v>
      </c>
      <c r="E332" s="15">
        <v>1686.14</v>
      </c>
      <c r="F332" s="15">
        <v>0</v>
      </c>
      <c r="G332" s="15">
        <v>1686.14</v>
      </c>
    </row>
    <row r="333" spans="1:7" x14ac:dyDescent="0.75">
      <c r="A333" s="26">
        <v>242</v>
      </c>
      <c r="B333" s="28" t="s">
        <v>582</v>
      </c>
      <c r="C333" s="28" t="s">
        <v>583</v>
      </c>
      <c r="D333" s="29">
        <v>-651928.89</v>
      </c>
      <c r="E333" s="29">
        <v>20000</v>
      </c>
      <c r="F333" s="29">
        <v>0</v>
      </c>
      <c r="G333" s="29">
        <v>-631928.89</v>
      </c>
    </row>
    <row r="334" spans="1:7" x14ac:dyDescent="0.75">
      <c r="A334" s="26">
        <v>243</v>
      </c>
      <c r="B334" s="28" t="s">
        <v>584</v>
      </c>
      <c r="C334" s="28" t="s">
        <v>585</v>
      </c>
      <c r="D334" s="29">
        <v>-400000</v>
      </c>
      <c r="E334" s="29">
        <v>0</v>
      </c>
      <c r="F334" s="29">
        <v>0</v>
      </c>
      <c r="G334" s="29">
        <v>-400000</v>
      </c>
    </row>
    <row r="335" spans="1:7" x14ac:dyDescent="0.75">
      <c r="A335" s="26">
        <v>244</v>
      </c>
      <c r="B335" s="28" t="s">
        <v>586</v>
      </c>
      <c r="C335" s="28" t="s">
        <v>587</v>
      </c>
      <c r="D335" s="29">
        <v>-400000</v>
      </c>
      <c r="E335" s="29">
        <v>0</v>
      </c>
      <c r="F335" s="29">
        <v>0</v>
      </c>
      <c r="G335" s="29">
        <v>-400000</v>
      </c>
    </row>
    <row r="336" spans="1:7" x14ac:dyDescent="0.75">
      <c r="A336" s="50">
        <v>245</v>
      </c>
      <c r="B336" t="s">
        <v>588</v>
      </c>
      <c r="C336" t="s">
        <v>581</v>
      </c>
      <c r="D336" s="15">
        <v>-200000</v>
      </c>
      <c r="E336" s="15">
        <v>0</v>
      </c>
      <c r="F336" s="15">
        <v>0</v>
      </c>
      <c r="G336" s="15">
        <v>-200000</v>
      </c>
    </row>
    <row r="337" spans="1:7" x14ac:dyDescent="0.75">
      <c r="A337" s="50">
        <v>739</v>
      </c>
      <c r="B337" t="s">
        <v>589</v>
      </c>
      <c r="C337" t="s">
        <v>590</v>
      </c>
      <c r="D337" s="15">
        <v>-200000</v>
      </c>
      <c r="E337" s="15">
        <v>0</v>
      </c>
      <c r="F337" s="15">
        <v>0</v>
      </c>
      <c r="G337" s="15">
        <v>-200000</v>
      </c>
    </row>
    <row r="338" spans="1:7" x14ac:dyDescent="0.75">
      <c r="A338" s="26">
        <v>264</v>
      </c>
      <c r="B338" s="28" t="s">
        <v>591</v>
      </c>
      <c r="C338" s="28" t="s">
        <v>592</v>
      </c>
      <c r="D338" s="29">
        <v>-274853.7</v>
      </c>
      <c r="E338" s="29">
        <v>0</v>
      </c>
      <c r="F338" s="29">
        <v>0</v>
      </c>
      <c r="G338" s="29">
        <v>-274853.7</v>
      </c>
    </row>
    <row r="339" spans="1:7" x14ac:dyDescent="0.75">
      <c r="A339" s="26">
        <v>265</v>
      </c>
      <c r="B339" s="28" t="s">
        <v>593</v>
      </c>
      <c r="C339" s="28" t="s">
        <v>592</v>
      </c>
      <c r="D339" s="29">
        <v>-274853.7</v>
      </c>
      <c r="E339" s="29">
        <v>0</v>
      </c>
      <c r="F339" s="29">
        <v>0</v>
      </c>
      <c r="G339" s="29">
        <v>-274853.7</v>
      </c>
    </row>
    <row r="340" spans="1:7" x14ac:dyDescent="0.75">
      <c r="A340" s="50">
        <v>266</v>
      </c>
      <c r="B340" t="s">
        <v>594</v>
      </c>
      <c r="C340" t="s">
        <v>595</v>
      </c>
      <c r="D340" s="15">
        <v>653772.46</v>
      </c>
      <c r="E340" s="15">
        <v>0</v>
      </c>
      <c r="F340" s="15">
        <v>0</v>
      </c>
      <c r="G340" s="15">
        <v>653772.46</v>
      </c>
    </row>
    <row r="341" spans="1:7" x14ac:dyDescent="0.75">
      <c r="A341" s="50">
        <v>1832</v>
      </c>
      <c r="B341" t="s">
        <v>596</v>
      </c>
      <c r="C341" t="s">
        <v>597</v>
      </c>
      <c r="D341" s="15">
        <v>-264883.73</v>
      </c>
      <c r="E341" s="15">
        <v>0</v>
      </c>
      <c r="F341" s="15">
        <v>0</v>
      </c>
      <c r="G341" s="15">
        <v>-264883.73</v>
      </c>
    </row>
    <row r="342" spans="1:7" x14ac:dyDescent="0.75">
      <c r="A342" s="50">
        <v>1894</v>
      </c>
      <c r="B342" t="s">
        <v>886</v>
      </c>
      <c r="C342" t="s">
        <v>887</v>
      </c>
      <c r="D342" s="15">
        <v>-312769.8</v>
      </c>
      <c r="E342" s="15">
        <v>0</v>
      </c>
      <c r="F342" s="15">
        <v>0</v>
      </c>
      <c r="G342" s="15">
        <v>-312769.8</v>
      </c>
    </row>
    <row r="343" spans="1:7" x14ac:dyDescent="0.75">
      <c r="A343" s="50">
        <v>1943</v>
      </c>
      <c r="B343" t="s">
        <v>1289</v>
      </c>
      <c r="C343" t="s">
        <v>1217</v>
      </c>
      <c r="D343" s="15">
        <v>-332165</v>
      </c>
      <c r="E343" s="15">
        <v>0</v>
      </c>
      <c r="F343" s="15">
        <v>0</v>
      </c>
      <c r="G343" s="15">
        <v>-332165</v>
      </c>
    </row>
    <row r="344" spans="1:7" x14ac:dyDescent="0.75">
      <c r="A344" s="50">
        <v>1971</v>
      </c>
      <c r="B344" t="s">
        <v>1366</v>
      </c>
      <c r="C344" t="s">
        <v>1367</v>
      </c>
      <c r="D344" s="15">
        <v>-18807.63</v>
      </c>
      <c r="E344" s="15">
        <v>0</v>
      </c>
      <c r="F344" s="15">
        <v>0</v>
      </c>
      <c r="G344" s="15">
        <v>-18807.63</v>
      </c>
    </row>
    <row r="345" spans="1:7" x14ac:dyDescent="0.75">
      <c r="A345" s="26">
        <v>248</v>
      </c>
      <c r="B345" s="28" t="s">
        <v>1290</v>
      </c>
      <c r="C345" s="28" t="s">
        <v>1291</v>
      </c>
      <c r="D345" s="29">
        <v>22924.81</v>
      </c>
      <c r="E345" s="29">
        <v>20000</v>
      </c>
      <c r="F345" s="29">
        <v>0</v>
      </c>
      <c r="G345" s="29">
        <v>42924.81</v>
      </c>
    </row>
    <row r="346" spans="1:7" x14ac:dyDescent="0.75">
      <c r="A346" s="26">
        <v>827</v>
      </c>
      <c r="B346" s="28" t="s">
        <v>1292</v>
      </c>
      <c r="C346" s="28" t="s">
        <v>1291</v>
      </c>
      <c r="D346" s="29">
        <v>22924.81</v>
      </c>
      <c r="E346" s="29">
        <v>20000</v>
      </c>
      <c r="F346" s="29">
        <v>0</v>
      </c>
      <c r="G346" s="29">
        <v>42924.81</v>
      </c>
    </row>
    <row r="347" spans="1:7" x14ac:dyDescent="0.75">
      <c r="A347" s="50">
        <v>828</v>
      </c>
      <c r="B347" t="s">
        <v>1293</v>
      </c>
      <c r="C347" t="s">
        <v>590</v>
      </c>
      <c r="D347" s="68">
        <v>22924.81</v>
      </c>
      <c r="E347" s="15">
        <v>20000</v>
      </c>
      <c r="F347" s="15">
        <v>0</v>
      </c>
      <c r="G347" s="15">
        <v>42924.81</v>
      </c>
    </row>
    <row r="348" spans="1:7" x14ac:dyDescent="0.75">
      <c r="A348" s="26">
        <v>269</v>
      </c>
      <c r="B348" s="28" t="s">
        <v>598</v>
      </c>
      <c r="C348" s="28" t="s">
        <v>599</v>
      </c>
      <c r="D348" s="29">
        <v>0</v>
      </c>
      <c r="E348" s="29">
        <v>1371832.63</v>
      </c>
      <c r="F348" s="29">
        <v>26178.37</v>
      </c>
      <c r="G348" s="29">
        <v>1345654.26</v>
      </c>
    </row>
    <row r="349" spans="1:7" x14ac:dyDescent="0.75">
      <c r="A349" s="26">
        <v>500</v>
      </c>
      <c r="B349" s="28" t="s">
        <v>600</v>
      </c>
      <c r="C349" s="28" t="s">
        <v>601</v>
      </c>
      <c r="D349" s="29">
        <v>0</v>
      </c>
      <c r="E349" s="29">
        <v>881331.62</v>
      </c>
      <c r="F349" s="29">
        <v>19351.05</v>
      </c>
      <c r="G349" s="29">
        <v>861980.57</v>
      </c>
    </row>
    <row r="350" spans="1:7" x14ac:dyDescent="0.75">
      <c r="A350" s="26">
        <v>270</v>
      </c>
      <c r="B350" s="28" t="s">
        <v>602</v>
      </c>
      <c r="C350" s="28" t="s">
        <v>603</v>
      </c>
      <c r="D350" s="29">
        <v>0</v>
      </c>
      <c r="E350" s="29">
        <v>177432.4</v>
      </c>
      <c r="F350" s="29">
        <v>19351.05</v>
      </c>
      <c r="G350" s="29">
        <v>158081.35</v>
      </c>
    </row>
    <row r="351" spans="1:7" x14ac:dyDescent="0.75">
      <c r="A351" s="26">
        <v>273</v>
      </c>
      <c r="B351" s="28" t="s">
        <v>604</v>
      </c>
      <c r="C351" s="28" t="s">
        <v>969</v>
      </c>
      <c r="D351" s="29">
        <v>0</v>
      </c>
      <c r="E351" s="29">
        <v>98381.39</v>
      </c>
      <c r="F351" s="29">
        <v>9418.32</v>
      </c>
      <c r="G351" s="29">
        <v>88963.07</v>
      </c>
    </row>
    <row r="352" spans="1:7" x14ac:dyDescent="0.75">
      <c r="A352" s="50">
        <v>274</v>
      </c>
      <c r="B352" t="s">
        <v>605</v>
      </c>
      <c r="C352" t="s">
        <v>606</v>
      </c>
      <c r="D352" s="15">
        <v>0</v>
      </c>
      <c r="E352" s="15">
        <v>35998.54</v>
      </c>
      <c r="F352" s="15">
        <v>1747.6</v>
      </c>
      <c r="G352" s="15">
        <v>34250.94</v>
      </c>
    </row>
    <row r="353" spans="1:7" x14ac:dyDescent="0.75">
      <c r="A353" s="50">
        <v>276</v>
      </c>
      <c r="B353" t="s">
        <v>607</v>
      </c>
      <c r="C353" t="s">
        <v>608</v>
      </c>
      <c r="D353" s="15">
        <v>0</v>
      </c>
      <c r="E353" s="15">
        <v>2900</v>
      </c>
      <c r="F353" s="15">
        <v>0</v>
      </c>
      <c r="G353" s="15">
        <v>2900</v>
      </c>
    </row>
    <row r="354" spans="1:7" x14ac:dyDescent="0.75">
      <c r="A354" s="50">
        <v>277</v>
      </c>
      <c r="B354" t="s">
        <v>609</v>
      </c>
      <c r="C354" t="s">
        <v>610</v>
      </c>
      <c r="D354" s="15">
        <v>0</v>
      </c>
      <c r="E354" s="15">
        <v>3380.48</v>
      </c>
      <c r="F354" s="15">
        <v>0</v>
      </c>
      <c r="G354" s="15">
        <v>3380.48</v>
      </c>
    </row>
    <row r="355" spans="1:7" x14ac:dyDescent="0.75">
      <c r="A355" s="50">
        <v>278</v>
      </c>
      <c r="B355" t="s">
        <v>611</v>
      </c>
      <c r="C355" t="s">
        <v>612</v>
      </c>
      <c r="D355" s="15">
        <v>0</v>
      </c>
      <c r="E355" s="15">
        <v>4554.82</v>
      </c>
      <c r="F355" s="15">
        <v>10.210000000000001</v>
      </c>
      <c r="G355" s="15">
        <v>4544.6099999999997</v>
      </c>
    </row>
    <row r="356" spans="1:7" x14ac:dyDescent="0.75">
      <c r="A356" s="50">
        <v>279</v>
      </c>
      <c r="B356" t="s">
        <v>613</v>
      </c>
      <c r="C356" t="s">
        <v>970</v>
      </c>
      <c r="D356" s="15">
        <v>0</v>
      </c>
      <c r="E356" s="15">
        <v>12834.13</v>
      </c>
      <c r="F356" s="15">
        <v>2559.02</v>
      </c>
      <c r="G356" s="15">
        <v>10275.11</v>
      </c>
    </row>
    <row r="357" spans="1:7" x14ac:dyDescent="0.75">
      <c r="A357" s="50">
        <v>280</v>
      </c>
      <c r="B357" t="s">
        <v>614</v>
      </c>
      <c r="C357" t="s">
        <v>615</v>
      </c>
      <c r="D357" s="15">
        <v>0</v>
      </c>
      <c r="E357" s="15">
        <v>3643.97</v>
      </c>
      <c r="F357" s="15">
        <v>160.96</v>
      </c>
      <c r="G357" s="15">
        <v>3483.01</v>
      </c>
    </row>
    <row r="358" spans="1:7" x14ac:dyDescent="0.75">
      <c r="A358" s="50">
        <v>281</v>
      </c>
      <c r="B358" t="s">
        <v>616</v>
      </c>
      <c r="C358" t="s">
        <v>617</v>
      </c>
      <c r="D358" s="15">
        <v>0</v>
      </c>
      <c r="E358" s="15">
        <v>2005.46</v>
      </c>
      <c r="F358" s="15">
        <v>0</v>
      </c>
      <c r="G358" s="15">
        <v>2005.46</v>
      </c>
    </row>
    <row r="359" spans="1:7" x14ac:dyDescent="0.75">
      <c r="A359" s="50">
        <v>282</v>
      </c>
      <c r="B359" t="s">
        <v>618</v>
      </c>
      <c r="C359" t="s">
        <v>619</v>
      </c>
      <c r="D359" s="15">
        <v>0</v>
      </c>
      <c r="E359" s="15">
        <v>4845.3500000000004</v>
      </c>
      <c r="F359" s="15">
        <v>0</v>
      </c>
      <c r="G359" s="15">
        <v>4845.3500000000004</v>
      </c>
    </row>
    <row r="360" spans="1:7" x14ac:dyDescent="0.75">
      <c r="A360" s="50">
        <v>776</v>
      </c>
      <c r="B360" t="s">
        <v>618</v>
      </c>
      <c r="C360" t="s">
        <v>620</v>
      </c>
      <c r="D360" s="15">
        <v>0</v>
      </c>
      <c r="E360" s="15">
        <v>3172.44</v>
      </c>
      <c r="F360" s="15">
        <v>0</v>
      </c>
      <c r="G360" s="15">
        <v>3172.44</v>
      </c>
    </row>
    <row r="361" spans="1:7" x14ac:dyDescent="0.75">
      <c r="A361" s="50">
        <v>647</v>
      </c>
      <c r="B361" t="s">
        <v>621</v>
      </c>
      <c r="C361" t="s">
        <v>622</v>
      </c>
      <c r="D361" s="15">
        <v>0</v>
      </c>
      <c r="E361" s="15">
        <v>18387.740000000002</v>
      </c>
      <c r="F361" s="15">
        <v>4409.95</v>
      </c>
      <c r="G361" s="15">
        <v>13977.79</v>
      </c>
    </row>
    <row r="362" spans="1:7" x14ac:dyDescent="0.75">
      <c r="A362" s="50">
        <v>650</v>
      </c>
      <c r="B362" t="s">
        <v>623</v>
      </c>
      <c r="C362" t="s">
        <v>193</v>
      </c>
      <c r="D362" s="15">
        <v>0</v>
      </c>
      <c r="E362" s="15">
        <v>4940.91</v>
      </c>
      <c r="F362" s="15">
        <v>530.58000000000004</v>
      </c>
      <c r="G362" s="15">
        <v>4410.33</v>
      </c>
    </row>
    <row r="363" spans="1:7" x14ac:dyDescent="0.75">
      <c r="A363" s="50">
        <v>1809</v>
      </c>
      <c r="B363" t="s">
        <v>625</v>
      </c>
      <c r="C363" t="s">
        <v>626</v>
      </c>
      <c r="D363" s="15">
        <v>0</v>
      </c>
      <c r="E363" s="15">
        <v>396.5</v>
      </c>
      <c r="F363" s="15">
        <v>0</v>
      </c>
      <c r="G363" s="15">
        <v>396.5</v>
      </c>
    </row>
    <row r="364" spans="1:7" x14ac:dyDescent="0.75">
      <c r="A364" s="50">
        <v>1811</v>
      </c>
      <c r="B364" t="s">
        <v>627</v>
      </c>
      <c r="C364" t="s">
        <v>628</v>
      </c>
      <c r="D364" s="15">
        <v>0</v>
      </c>
      <c r="E364" s="15">
        <v>1321.05</v>
      </c>
      <c r="F364" s="15">
        <v>0</v>
      </c>
      <c r="G364" s="15">
        <v>1321.05</v>
      </c>
    </row>
    <row r="365" spans="1:7" x14ac:dyDescent="0.75">
      <c r="A365" s="26">
        <v>1867</v>
      </c>
      <c r="B365" s="28" t="s">
        <v>971</v>
      </c>
      <c r="C365" s="28" t="s">
        <v>972</v>
      </c>
      <c r="D365" s="29">
        <v>0</v>
      </c>
      <c r="E365" s="29">
        <v>79051.009999999995</v>
      </c>
      <c r="F365" s="29">
        <v>9932.73</v>
      </c>
      <c r="G365" s="29">
        <v>69118.28</v>
      </c>
    </row>
    <row r="366" spans="1:7" x14ac:dyDescent="0.75">
      <c r="A366" s="50">
        <v>1868</v>
      </c>
      <c r="B366" t="s">
        <v>973</v>
      </c>
      <c r="C366" t="s">
        <v>606</v>
      </c>
      <c r="D366" s="15">
        <v>0</v>
      </c>
      <c r="E366" s="15">
        <v>46131</v>
      </c>
      <c r="F366" s="15">
        <v>9821.9500000000007</v>
      </c>
      <c r="G366" s="15">
        <v>36309.050000000003</v>
      </c>
    </row>
    <row r="367" spans="1:7" x14ac:dyDescent="0.75">
      <c r="A367" s="50">
        <v>1870</v>
      </c>
      <c r="B367" t="s">
        <v>974</v>
      </c>
      <c r="C367" t="s">
        <v>608</v>
      </c>
      <c r="D367" s="15">
        <v>0</v>
      </c>
      <c r="E367" s="15">
        <v>1200</v>
      </c>
      <c r="F367" s="15">
        <v>0</v>
      </c>
      <c r="G367" s="15">
        <v>1200</v>
      </c>
    </row>
    <row r="368" spans="1:7" x14ac:dyDescent="0.75">
      <c r="A368" s="50">
        <v>1871</v>
      </c>
      <c r="B368" t="s">
        <v>975</v>
      </c>
      <c r="C368" t="s">
        <v>610</v>
      </c>
      <c r="D368" s="15">
        <v>0</v>
      </c>
      <c r="E368" s="15">
        <v>4511.67</v>
      </c>
      <c r="F368" s="15">
        <v>0</v>
      </c>
      <c r="G368" s="15">
        <v>4511.67</v>
      </c>
    </row>
    <row r="369" spans="1:7" x14ac:dyDescent="0.75">
      <c r="A369" s="50">
        <v>1872</v>
      </c>
      <c r="B369" t="s">
        <v>976</v>
      </c>
      <c r="C369" t="s">
        <v>612</v>
      </c>
      <c r="D369" s="15">
        <v>0</v>
      </c>
      <c r="E369" s="15">
        <v>4904.71</v>
      </c>
      <c r="F369" s="15">
        <v>83.94</v>
      </c>
      <c r="G369" s="15">
        <v>4820.7700000000004</v>
      </c>
    </row>
    <row r="370" spans="1:7" x14ac:dyDescent="0.75">
      <c r="A370" s="50">
        <v>1873</v>
      </c>
      <c r="B370" t="s">
        <v>977</v>
      </c>
      <c r="C370" t="s">
        <v>970</v>
      </c>
      <c r="D370" s="15">
        <v>0</v>
      </c>
      <c r="E370" s="15">
        <v>12930.74</v>
      </c>
      <c r="F370" s="15">
        <v>20.76</v>
      </c>
      <c r="G370" s="15">
        <v>12909.98</v>
      </c>
    </row>
    <row r="371" spans="1:7" x14ac:dyDescent="0.75">
      <c r="A371" s="50">
        <v>1874</v>
      </c>
      <c r="B371" t="s">
        <v>978</v>
      </c>
      <c r="C371" t="s">
        <v>615</v>
      </c>
      <c r="D371" s="15">
        <v>0</v>
      </c>
      <c r="E371" s="15">
        <v>3789.07</v>
      </c>
      <c r="F371" s="15">
        <v>6.08</v>
      </c>
      <c r="G371" s="15">
        <v>3782.99</v>
      </c>
    </row>
    <row r="372" spans="1:7" x14ac:dyDescent="0.75">
      <c r="A372" s="50">
        <v>1876</v>
      </c>
      <c r="B372" t="s">
        <v>980</v>
      </c>
      <c r="C372" t="s">
        <v>619</v>
      </c>
      <c r="D372" s="15">
        <v>0</v>
      </c>
      <c r="E372" s="15">
        <v>5112.32</v>
      </c>
      <c r="F372" s="15">
        <v>0</v>
      </c>
      <c r="G372" s="15">
        <v>5112.32</v>
      </c>
    </row>
    <row r="373" spans="1:7" x14ac:dyDescent="0.75">
      <c r="A373" s="50">
        <v>1877</v>
      </c>
      <c r="B373" t="s">
        <v>981</v>
      </c>
      <c r="C373" t="s">
        <v>620</v>
      </c>
      <c r="D373" s="15">
        <v>0</v>
      </c>
      <c r="E373" s="15">
        <v>471.5</v>
      </c>
      <c r="F373" s="15">
        <v>0</v>
      </c>
      <c r="G373" s="15">
        <v>471.5</v>
      </c>
    </row>
    <row r="374" spans="1:7" x14ac:dyDescent="0.75">
      <c r="A374" s="26">
        <v>514</v>
      </c>
      <c r="B374" s="28" t="s">
        <v>629</v>
      </c>
      <c r="C374" s="28" t="s">
        <v>630</v>
      </c>
      <c r="D374" s="29">
        <v>0</v>
      </c>
      <c r="E374" s="29">
        <v>324.64</v>
      </c>
      <c r="F374" s="29">
        <v>0</v>
      </c>
      <c r="G374" s="29">
        <v>324.64</v>
      </c>
    </row>
    <row r="375" spans="1:7" x14ac:dyDescent="0.75">
      <c r="A375" s="26">
        <v>515</v>
      </c>
      <c r="B375" s="28" t="s">
        <v>631</v>
      </c>
      <c r="C375" s="28" t="s">
        <v>632</v>
      </c>
      <c r="D375" s="29">
        <v>0</v>
      </c>
      <c r="E375" s="29">
        <v>324.64</v>
      </c>
      <c r="F375" s="29">
        <v>0</v>
      </c>
      <c r="G375" s="29">
        <v>324.64</v>
      </c>
    </row>
    <row r="376" spans="1:7" x14ac:dyDescent="0.75">
      <c r="A376" s="50">
        <v>518</v>
      </c>
      <c r="B376" t="s">
        <v>633</v>
      </c>
      <c r="C376" t="s">
        <v>634</v>
      </c>
      <c r="D376" s="15">
        <v>0</v>
      </c>
      <c r="E376" s="15">
        <v>324.64</v>
      </c>
      <c r="F376" s="15">
        <v>0</v>
      </c>
      <c r="G376" s="15">
        <v>324.64</v>
      </c>
    </row>
    <row r="377" spans="1:7" x14ac:dyDescent="0.75">
      <c r="A377" s="26">
        <v>468</v>
      </c>
      <c r="B377" s="28" t="s">
        <v>635</v>
      </c>
      <c r="C377" s="28" t="s">
        <v>636</v>
      </c>
      <c r="D377" s="29">
        <v>0</v>
      </c>
      <c r="E377" s="29">
        <v>703574.58</v>
      </c>
      <c r="F377" s="29">
        <v>0</v>
      </c>
      <c r="G377" s="29">
        <v>703574.58</v>
      </c>
    </row>
    <row r="378" spans="1:7" x14ac:dyDescent="0.75">
      <c r="A378" s="26">
        <v>469</v>
      </c>
      <c r="B378" s="28" t="s">
        <v>637</v>
      </c>
      <c r="C378" s="28" t="s">
        <v>636</v>
      </c>
      <c r="D378" s="29">
        <v>0</v>
      </c>
      <c r="E378" s="29">
        <v>703574.58</v>
      </c>
      <c r="F378" s="29">
        <v>0</v>
      </c>
      <c r="G378" s="29">
        <v>703574.58</v>
      </c>
    </row>
    <row r="379" spans="1:7" x14ac:dyDescent="0.75">
      <c r="A379" s="50">
        <v>470</v>
      </c>
      <c r="B379" t="s">
        <v>638</v>
      </c>
      <c r="C379" t="s">
        <v>636</v>
      </c>
      <c r="D379" s="15">
        <v>0</v>
      </c>
      <c r="E379" s="15">
        <v>656017.27</v>
      </c>
      <c r="F379" s="15">
        <v>0</v>
      </c>
      <c r="G379" s="15">
        <v>656017.27</v>
      </c>
    </row>
    <row r="380" spans="1:7" x14ac:dyDescent="0.75">
      <c r="A380" s="50">
        <v>1646</v>
      </c>
      <c r="B380" t="s">
        <v>639</v>
      </c>
      <c r="C380" t="s">
        <v>640</v>
      </c>
      <c r="D380" s="15">
        <v>0</v>
      </c>
      <c r="E380" s="15">
        <v>47557.31</v>
      </c>
      <c r="F380" s="15">
        <v>0</v>
      </c>
      <c r="G380" s="15">
        <v>47557.31</v>
      </c>
    </row>
    <row r="381" spans="1:7" x14ac:dyDescent="0.75">
      <c r="A381" s="26">
        <v>295</v>
      </c>
      <c r="B381" s="28" t="s">
        <v>641</v>
      </c>
      <c r="C381" s="28" t="s">
        <v>642</v>
      </c>
      <c r="D381" s="29">
        <v>0</v>
      </c>
      <c r="E381" s="29">
        <v>490501.01</v>
      </c>
      <c r="F381" s="29">
        <v>6827.32</v>
      </c>
      <c r="G381" s="29">
        <v>483673.69</v>
      </c>
    </row>
    <row r="382" spans="1:7" x14ac:dyDescent="0.75">
      <c r="A382" s="26">
        <v>296</v>
      </c>
      <c r="B382" s="28" t="s">
        <v>643</v>
      </c>
      <c r="C382" s="28" t="s">
        <v>644</v>
      </c>
      <c r="D382" s="29">
        <v>0</v>
      </c>
      <c r="E382" s="29">
        <v>315385.32</v>
      </c>
      <c r="F382" s="29">
        <v>1068.72</v>
      </c>
      <c r="G382" s="29">
        <v>314316.59999999998</v>
      </c>
    </row>
    <row r="383" spans="1:7" x14ac:dyDescent="0.75">
      <c r="A383" s="26">
        <v>311</v>
      </c>
      <c r="B383" s="28" t="s">
        <v>645</v>
      </c>
      <c r="C383" s="28" t="s">
        <v>646</v>
      </c>
      <c r="D383" s="29">
        <v>0</v>
      </c>
      <c r="E383" s="29">
        <v>315385.32</v>
      </c>
      <c r="F383" s="29">
        <v>1068.72</v>
      </c>
      <c r="G383" s="29">
        <v>314316.59999999998</v>
      </c>
    </row>
    <row r="384" spans="1:7" x14ac:dyDescent="0.75">
      <c r="A384" s="50">
        <v>312</v>
      </c>
      <c r="B384" t="s">
        <v>647</v>
      </c>
      <c r="C384" t="s">
        <v>648</v>
      </c>
      <c r="D384" s="15">
        <v>0</v>
      </c>
      <c r="E384" s="15">
        <v>98740.76</v>
      </c>
      <c r="F384" s="15">
        <v>1068.72</v>
      </c>
      <c r="G384" s="15">
        <v>97672.04</v>
      </c>
    </row>
    <row r="385" spans="1:7" x14ac:dyDescent="0.75">
      <c r="A385" s="50">
        <v>677</v>
      </c>
      <c r="B385" t="s">
        <v>649</v>
      </c>
      <c r="C385" t="s">
        <v>650</v>
      </c>
      <c r="D385" s="15">
        <v>0</v>
      </c>
      <c r="E385" s="15">
        <v>28606.33</v>
      </c>
      <c r="F385" s="15">
        <v>0</v>
      </c>
      <c r="G385" s="15">
        <v>28606.33</v>
      </c>
    </row>
    <row r="386" spans="1:7" x14ac:dyDescent="0.75">
      <c r="A386" s="50">
        <v>1316</v>
      </c>
      <c r="B386" t="s">
        <v>651</v>
      </c>
      <c r="C386" t="s">
        <v>652</v>
      </c>
      <c r="D386" s="15">
        <v>0</v>
      </c>
      <c r="E386" s="15">
        <v>3326.74</v>
      </c>
      <c r="F386" s="15">
        <v>0</v>
      </c>
      <c r="G386" s="15">
        <v>3326.74</v>
      </c>
    </row>
    <row r="387" spans="1:7" x14ac:dyDescent="0.75">
      <c r="A387" s="50">
        <v>1353</v>
      </c>
      <c r="B387" t="s">
        <v>653</v>
      </c>
      <c r="C387" t="s">
        <v>654</v>
      </c>
      <c r="D387" s="15">
        <v>0</v>
      </c>
      <c r="E387" s="15">
        <v>9587.15</v>
      </c>
      <c r="F387" s="15">
        <v>0</v>
      </c>
      <c r="G387" s="15">
        <v>9587.15</v>
      </c>
    </row>
    <row r="388" spans="1:7" x14ac:dyDescent="0.75">
      <c r="A388" s="50">
        <v>1385</v>
      </c>
      <c r="B388" t="s">
        <v>655</v>
      </c>
      <c r="C388" t="s">
        <v>656</v>
      </c>
      <c r="D388" s="15">
        <v>0</v>
      </c>
      <c r="E388" s="15">
        <v>12775.49</v>
      </c>
      <c r="F388" s="15">
        <v>0</v>
      </c>
      <c r="G388" s="15">
        <v>12775.49</v>
      </c>
    </row>
    <row r="389" spans="1:7" x14ac:dyDescent="0.75">
      <c r="A389" s="50">
        <v>1596</v>
      </c>
      <c r="B389" t="s">
        <v>657</v>
      </c>
      <c r="C389" t="s">
        <v>658</v>
      </c>
      <c r="D389" s="15">
        <v>0</v>
      </c>
      <c r="E389" s="15">
        <v>419.07</v>
      </c>
      <c r="F389" s="15">
        <v>0</v>
      </c>
      <c r="G389" s="15">
        <v>419.07</v>
      </c>
    </row>
    <row r="390" spans="1:7" x14ac:dyDescent="0.75">
      <c r="A390" s="50">
        <v>1639</v>
      </c>
      <c r="B390" t="s">
        <v>659</v>
      </c>
      <c r="C390" t="s">
        <v>660</v>
      </c>
      <c r="D390" s="15">
        <v>0</v>
      </c>
      <c r="E390" s="15">
        <v>161929.78</v>
      </c>
      <c r="F390" s="15">
        <v>0</v>
      </c>
      <c r="G390" s="15">
        <v>161929.78</v>
      </c>
    </row>
    <row r="391" spans="1:7" x14ac:dyDescent="0.75">
      <c r="A391" s="26">
        <v>329</v>
      </c>
      <c r="B391" s="28" t="s">
        <v>661</v>
      </c>
      <c r="C391" s="28" t="s">
        <v>662</v>
      </c>
      <c r="D391" s="29">
        <v>0</v>
      </c>
      <c r="E391" s="29">
        <v>175115.69</v>
      </c>
      <c r="F391" s="29">
        <v>5758.6</v>
      </c>
      <c r="G391" s="29">
        <v>169357.09</v>
      </c>
    </row>
    <row r="392" spans="1:7" x14ac:dyDescent="0.75">
      <c r="A392" s="26">
        <v>330</v>
      </c>
      <c r="B392" s="28" t="s">
        <v>663</v>
      </c>
      <c r="C392" s="28" t="s">
        <v>982</v>
      </c>
      <c r="D392" s="29">
        <v>0</v>
      </c>
      <c r="E392" s="29">
        <v>35416.400000000001</v>
      </c>
      <c r="F392" s="29">
        <v>4218.8999999999996</v>
      </c>
      <c r="G392" s="29">
        <v>31197.5</v>
      </c>
    </row>
    <row r="393" spans="1:7" x14ac:dyDescent="0.75">
      <c r="A393" s="50">
        <v>298</v>
      </c>
      <c r="B393" t="s">
        <v>664</v>
      </c>
      <c r="C393" t="s">
        <v>606</v>
      </c>
      <c r="D393" s="15">
        <v>0</v>
      </c>
      <c r="E393" s="15">
        <v>16608.259999999998</v>
      </c>
      <c r="F393" s="15">
        <v>2116.5</v>
      </c>
      <c r="G393" s="15">
        <v>14491.76</v>
      </c>
    </row>
    <row r="394" spans="1:7" x14ac:dyDescent="0.75">
      <c r="A394" s="50">
        <v>301</v>
      </c>
      <c r="B394" t="s">
        <v>665</v>
      </c>
      <c r="C394" t="s">
        <v>610</v>
      </c>
      <c r="D394" s="15">
        <v>0</v>
      </c>
      <c r="E394" s="15">
        <v>1257.1099999999999</v>
      </c>
      <c r="F394" s="15">
        <v>0</v>
      </c>
      <c r="G394" s="15">
        <v>1257.1099999999999</v>
      </c>
    </row>
    <row r="395" spans="1:7" x14ac:dyDescent="0.75">
      <c r="A395" s="50">
        <v>302</v>
      </c>
      <c r="B395" t="s">
        <v>666</v>
      </c>
      <c r="C395" t="s">
        <v>612</v>
      </c>
      <c r="D395" s="15">
        <v>0</v>
      </c>
      <c r="E395" s="15">
        <v>5971.52</v>
      </c>
      <c r="F395" s="15">
        <v>0</v>
      </c>
      <c r="G395" s="15">
        <v>5971.52</v>
      </c>
    </row>
    <row r="396" spans="1:7" x14ac:dyDescent="0.75">
      <c r="A396" s="50">
        <v>303</v>
      </c>
      <c r="B396" t="s">
        <v>667</v>
      </c>
      <c r="C396" t="s">
        <v>1007</v>
      </c>
      <c r="D396" s="15">
        <v>0</v>
      </c>
      <c r="E396" s="15">
        <v>762.37</v>
      </c>
      <c r="F396" s="15">
        <v>0</v>
      </c>
      <c r="G396" s="15">
        <v>762.37</v>
      </c>
    </row>
    <row r="397" spans="1:7" x14ac:dyDescent="0.75">
      <c r="A397" s="50">
        <v>304</v>
      </c>
      <c r="B397" t="s">
        <v>668</v>
      </c>
      <c r="C397" t="s">
        <v>615</v>
      </c>
      <c r="D397" s="15">
        <v>0</v>
      </c>
      <c r="E397" s="15">
        <v>5548.41</v>
      </c>
      <c r="F397" s="15">
        <v>0</v>
      </c>
      <c r="G397" s="15">
        <v>5548.41</v>
      </c>
    </row>
    <row r="398" spans="1:7" x14ac:dyDescent="0.75">
      <c r="A398" s="50">
        <v>306</v>
      </c>
      <c r="B398" t="s">
        <v>670</v>
      </c>
      <c r="C398" t="s">
        <v>619</v>
      </c>
      <c r="D398" s="15">
        <v>0</v>
      </c>
      <c r="E398" s="15">
        <v>1669.32</v>
      </c>
      <c r="F398" s="15">
        <v>1</v>
      </c>
      <c r="G398" s="15">
        <v>1668.32</v>
      </c>
    </row>
    <row r="399" spans="1:7" x14ac:dyDescent="0.75">
      <c r="A399" s="50">
        <v>649</v>
      </c>
      <c r="B399" t="s">
        <v>671</v>
      </c>
      <c r="C399" t="s">
        <v>193</v>
      </c>
      <c r="D399" s="15">
        <v>0</v>
      </c>
      <c r="E399" s="15">
        <v>2539.62</v>
      </c>
      <c r="F399" s="15">
        <v>2101.4</v>
      </c>
      <c r="G399" s="15">
        <v>438.22</v>
      </c>
    </row>
    <row r="400" spans="1:7" x14ac:dyDescent="0.75">
      <c r="A400" s="50">
        <v>566</v>
      </c>
      <c r="B400" t="s">
        <v>672</v>
      </c>
      <c r="C400" t="s">
        <v>626</v>
      </c>
      <c r="D400" s="15">
        <v>0</v>
      </c>
      <c r="E400" s="15">
        <v>275.8</v>
      </c>
      <c r="F400" s="15">
        <v>0</v>
      </c>
      <c r="G400" s="15">
        <v>275.8</v>
      </c>
    </row>
    <row r="401" spans="1:7" x14ac:dyDescent="0.75">
      <c r="A401" s="50">
        <v>567</v>
      </c>
      <c r="B401" t="s">
        <v>673</v>
      </c>
      <c r="C401" t="s">
        <v>628</v>
      </c>
      <c r="D401" s="15">
        <v>0</v>
      </c>
      <c r="E401" s="15">
        <v>783.99</v>
      </c>
      <c r="F401" s="15">
        <v>0</v>
      </c>
      <c r="G401" s="15">
        <v>783.99</v>
      </c>
    </row>
    <row r="402" spans="1:7" x14ac:dyDescent="0.75">
      <c r="A402" s="26">
        <v>345</v>
      </c>
      <c r="B402" s="28" t="s">
        <v>674</v>
      </c>
      <c r="C402" s="28" t="s">
        <v>675</v>
      </c>
      <c r="D402" s="29">
        <v>0</v>
      </c>
      <c r="E402" s="29">
        <v>1235.69</v>
      </c>
      <c r="F402" s="29">
        <v>0</v>
      </c>
      <c r="G402" s="29">
        <v>1235.69</v>
      </c>
    </row>
    <row r="403" spans="1:7" x14ac:dyDescent="0.75">
      <c r="A403" s="50">
        <v>349</v>
      </c>
      <c r="B403" t="s">
        <v>676</v>
      </c>
      <c r="C403" t="s">
        <v>191</v>
      </c>
      <c r="D403" s="15">
        <v>0</v>
      </c>
      <c r="E403" s="15">
        <v>156.44999999999999</v>
      </c>
      <c r="F403" s="15">
        <v>0</v>
      </c>
      <c r="G403" s="15">
        <v>156.44999999999999</v>
      </c>
    </row>
    <row r="404" spans="1:7" x14ac:dyDescent="0.75">
      <c r="A404" s="50">
        <v>350</v>
      </c>
      <c r="B404" t="s">
        <v>677</v>
      </c>
      <c r="C404" t="s">
        <v>678</v>
      </c>
      <c r="D404" s="15">
        <v>0</v>
      </c>
      <c r="E404" s="15">
        <v>933.38</v>
      </c>
      <c r="F404" s="15">
        <v>0</v>
      </c>
      <c r="G404" s="15">
        <v>933.38</v>
      </c>
    </row>
    <row r="405" spans="1:7" x14ac:dyDescent="0.75">
      <c r="A405" s="50">
        <v>678</v>
      </c>
      <c r="B405" t="s">
        <v>679</v>
      </c>
      <c r="C405" t="s">
        <v>680</v>
      </c>
      <c r="D405" s="15">
        <v>0</v>
      </c>
      <c r="E405" s="15">
        <v>145.86000000000001</v>
      </c>
      <c r="F405" s="15">
        <v>0</v>
      </c>
      <c r="G405" s="15">
        <v>145.86000000000001</v>
      </c>
    </row>
    <row r="406" spans="1:7" x14ac:dyDescent="0.75">
      <c r="A406" s="26">
        <v>353</v>
      </c>
      <c r="B406" s="28" t="s">
        <v>681</v>
      </c>
      <c r="C406" s="28" t="s">
        <v>682</v>
      </c>
      <c r="D406" s="29">
        <v>0</v>
      </c>
      <c r="E406" s="29">
        <v>113574.5</v>
      </c>
      <c r="F406" s="29">
        <v>1539.7</v>
      </c>
      <c r="G406" s="29">
        <v>112034.8</v>
      </c>
    </row>
    <row r="407" spans="1:7" x14ac:dyDescent="0.75">
      <c r="A407" s="50">
        <v>354</v>
      </c>
      <c r="B407" t="s">
        <v>683</v>
      </c>
      <c r="C407" t="s">
        <v>684</v>
      </c>
      <c r="D407" s="15">
        <v>0</v>
      </c>
      <c r="E407" s="15">
        <v>3486.66</v>
      </c>
      <c r="F407" s="15">
        <v>0</v>
      </c>
      <c r="G407" s="15">
        <v>3486.66</v>
      </c>
    </row>
    <row r="408" spans="1:7" x14ac:dyDescent="0.75">
      <c r="A408" s="50">
        <v>355</v>
      </c>
      <c r="B408" t="s">
        <v>685</v>
      </c>
      <c r="C408" t="s">
        <v>686</v>
      </c>
      <c r="D408" s="15">
        <v>0</v>
      </c>
      <c r="E408" s="15">
        <v>1945.01</v>
      </c>
      <c r="F408" s="15">
        <v>0</v>
      </c>
      <c r="G408" s="15">
        <v>1945.01</v>
      </c>
    </row>
    <row r="409" spans="1:7" x14ac:dyDescent="0.75">
      <c r="A409" s="50">
        <v>356</v>
      </c>
      <c r="B409" t="s">
        <v>687</v>
      </c>
      <c r="C409" t="s">
        <v>688</v>
      </c>
      <c r="D409" s="15">
        <v>0</v>
      </c>
      <c r="E409" s="15">
        <v>935.44</v>
      </c>
      <c r="F409" s="15">
        <v>0</v>
      </c>
      <c r="G409" s="15">
        <v>935.44</v>
      </c>
    </row>
    <row r="410" spans="1:7" x14ac:dyDescent="0.75">
      <c r="A410" s="50">
        <v>360</v>
      </c>
      <c r="B410" t="s">
        <v>691</v>
      </c>
      <c r="C410" t="s">
        <v>692</v>
      </c>
      <c r="D410" s="15">
        <v>0</v>
      </c>
      <c r="E410" s="15">
        <v>140.85</v>
      </c>
      <c r="F410" s="15">
        <v>0</v>
      </c>
      <c r="G410" s="15">
        <v>140.85</v>
      </c>
    </row>
    <row r="411" spans="1:7" x14ac:dyDescent="0.75">
      <c r="A411" s="50">
        <v>361</v>
      </c>
      <c r="B411" t="s">
        <v>693</v>
      </c>
      <c r="C411" t="s">
        <v>694</v>
      </c>
      <c r="D411" s="15">
        <v>0</v>
      </c>
      <c r="E411" s="15">
        <v>4608.5</v>
      </c>
      <c r="F411" s="15">
        <v>59.7</v>
      </c>
      <c r="G411" s="15">
        <v>4548.8</v>
      </c>
    </row>
    <row r="412" spans="1:7" x14ac:dyDescent="0.75">
      <c r="A412" s="50">
        <v>363</v>
      </c>
      <c r="B412" t="s">
        <v>695</v>
      </c>
      <c r="C412" t="s">
        <v>696</v>
      </c>
      <c r="D412" s="15">
        <v>0</v>
      </c>
      <c r="E412" s="15">
        <v>3009.57</v>
      </c>
      <c r="F412" s="15">
        <v>0</v>
      </c>
      <c r="G412" s="15">
        <v>3009.57</v>
      </c>
    </row>
    <row r="413" spans="1:7" x14ac:dyDescent="0.75">
      <c r="A413" s="50">
        <v>557</v>
      </c>
      <c r="B413" t="s">
        <v>697</v>
      </c>
      <c r="C413" t="s">
        <v>698</v>
      </c>
      <c r="D413" s="15">
        <v>0</v>
      </c>
      <c r="E413" s="15">
        <v>4</v>
      </c>
      <c r="F413" s="15">
        <v>0</v>
      </c>
      <c r="G413" s="15">
        <v>4</v>
      </c>
    </row>
    <row r="414" spans="1:7" x14ac:dyDescent="0.75">
      <c r="A414" s="50">
        <v>585</v>
      </c>
      <c r="B414" t="s">
        <v>699</v>
      </c>
      <c r="C414" t="s">
        <v>700</v>
      </c>
      <c r="D414" s="15">
        <v>0</v>
      </c>
      <c r="E414" s="15">
        <v>3247.57</v>
      </c>
      <c r="F414" s="15">
        <v>0</v>
      </c>
      <c r="G414" s="15">
        <v>3247.57</v>
      </c>
    </row>
    <row r="415" spans="1:7" x14ac:dyDescent="0.75">
      <c r="A415" s="50">
        <v>659</v>
      </c>
      <c r="B415" t="s">
        <v>701</v>
      </c>
      <c r="C415" t="s">
        <v>702</v>
      </c>
      <c r="D415" s="15">
        <v>0</v>
      </c>
      <c r="E415" s="15">
        <v>381.05</v>
      </c>
      <c r="F415" s="15">
        <v>0</v>
      </c>
      <c r="G415" s="15">
        <v>381.05</v>
      </c>
    </row>
    <row r="416" spans="1:7" x14ac:dyDescent="0.75">
      <c r="A416" s="50">
        <v>660</v>
      </c>
      <c r="B416" t="s">
        <v>703</v>
      </c>
      <c r="C416" t="s">
        <v>704</v>
      </c>
      <c r="D416" s="15">
        <v>0</v>
      </c>
      <c r="E416" s="15">
        <v>720</v>
      </c>
      <c r="F416" s="15">
        <v>0</v>
      </c>
      <c r="G416" s="15">
        <v>720</v>
      </c>
    </row>
    <row r="417" spans="1:7" x14ac:dyDescent="0.75">
      <c r="A417" s="50">
        <v>662</v>
      </c>
      <c r="B417" t="s">
        <v>705</v>
      </c>
      <c r="C417" t="s">
        <v>706</v>
      </c>
      <c r="D417" s="15">
        <v>0</v>
      </c>
      <c r="E417" s="15">
        <v>61551.35</v>
      </c>
      <c r="F417" s="15">
        <v>0</v>
      </c>
      <c r="G417" s="15">
        <v>61551.35</v>
      </c>
    </row>
    <row r="418" spans="1:7" x14ac:dyDescent="0.75">
      <c r="A418" s="50">
        <v>664</v>
      </c>
      <c r="B418" t="s">
        <v>707</v>
      </c>
      <c r="C418" t="s">
        <v>1252</v>
      </c>
      <c r="D418" s="15">
        <v>0</v>
      </c>
      <c r="E418" s="15">
        <v>4568.46</v>
      </c>
      <c r="F418" s="15">
        <v>0</v>
      </c>
      <c r="G418" s="15">
        <v>4568.46</v>
      </c>
    </row>
    <row r="419" spans="1:7" x14ac:dyDescent="0.75">
      <c r="A419" s="50">
        <v>792</v>
      </c>
      <c r="B419" t="s">
        <v>708</v>
      </c>
      <c r="C419" t="s">
        <v>709</v>
      </c>
      <c r="D419" s="15">
        <v>0</v>
      </c>
      <c r="E419" s="15">
        <v>808.96</v>
      </c>
      <c r="F419" s="15">
        <v>0</v>
      </c>
      <c r="G419" s="15">
        <v>808.96</v>
      </c>
    </row>
    <row r="420" spans="1:7" x14ac:dyDescent="0.75">
      <c r="A420" s="50">
        <v>794</v>
      </c>
      <c r="B420" t="s">
        <v>710</v>
      </c>
      <c r="C420" t="s">
        <v>711</v>
      </c>
      <c r="D420" s="15">
        <v>0</v>
      </c>
      <c r="E420" s="15">
        <v>302.69</v>
      </c>
      <c r="F420" s="15">
        <v>0</v>
      </c>
      <c r="G420" s="15">
        <v>302.69</v>
      </c>
    </row>
    <row r="421" spans="1:7" x14ac:dyDescent="0.75">
      <c r="A421" s="50">
        <v>992</v>
      </c>
      <c r="B421" t="s">
        <v>712</v>
      </c>
      <c r="C421" t="s">
        <v>713</v>
      </c>
      <c r="D421" s="15">
        <v>0</v>
      </c>
      <c r="E421" s="15">
        <v>390</v>
      </c>
      <c r="F421" s="15">
        <v>0</v>
      </c>
      <c r="G421" s="15">
        <v>390</v>
      </c>
    </row>
    <row r="422" spans="1:7" x14ac:dyDescent="0.75">
      <c r="A422" s="50">
        <v>1283</v>
      </c>
      <c r="B422" t="s">
        <v>716</v>
      </c>
      <c r="C422" t="s">
        <v>718</v>
      </c>
      <c r="D422" s="15">
        <v>0</v>
      </c>
      <c r="E422" s="15">
        <v>1406.41</v>
      </c>
      <c r="F422" s="15">
        <v>0</v>
      </c>
      <c r="G422" s="15">
        <v>1406.41</v>
      </c>
    </row>
    <row r="423" spans="1:7" x14ac:dyDescent="0.75">
      <c r="A423" s="50">
        <v>1314</v>
      </c>
      <c r="B423" t="s">
        <v>723</v>
      </c>
      <c r="C423" t="s">
        <v>724</v>
      </c>
      <c r="D423" s="15">
        <v>0</v>
      </c>
      <c r="E423" s="15">
        <v>16000</v>
      </c>
      <c r="F423" s="15">
        <v>1480</v>
      </c>
      <c r="G423" s="15">
        <v>14520</v>
      </c>
    </row>
    <row r="424" spans="1:7" x14ac:dyDescent="0.75">
      <c r="A424" s="50">
        <v>1942</v>
      </c>
      <c r="B424" t="s">
        <v>1294</v>
      </c>
      <c r="C424" t="s">
        <v>1253</v>
      </c>
      <c r="D424" s="15">
        <v>0</v>
      </c>
      <c r="E424" s="15">
        <v>10067.98</v>
      </c>
      <c r="F424" s="15">
        <v>0</v>
      </c>
      <c r="G424" s="15">
        <v>10067.98</v>
      </c>
    </row>
    <row r="425" spans="1:7" x14ac:dyDescent="0.75">
      <c r="A425" s="26">
        <v>367</v>
      </c>
      <c r="B425" s="28" t="s">
        <v>725</v>
      </c>
      <c r="C425" s="28" t="s">
        <v>726</v>
      </c>
      <c r="D425" s="29">
        <v>0</v>
      </c>
      <c r="E425" s="29">
        <v>17947.419999999998</v>
      </c>
      <c r="F425" s="29">
        <v>0</v>
      </c>
      <c r="G425" s="29">
        <v>17947.419999999998</v>
      </c>
    </row>
    <row r="426" spans="1:7" x14ac:dyDescent="0.75">
      <c r="A426" s="50">
        <v>368</v>
      </c>
      <c r="B426" t="s">
        <v>727</v>
      </c>
      <c r="C426" t="s">
        <v>728</v>
      </c>
      <c r="D426" s="15">
        <v>0</v>
      </c>
      <c r="E426" s="15">
        <v>73.319999999999993</v>
      </c>
      <c r="F426" s="15">
        <v>0</v>
      </c>
      <c r="G426" s="15">
        <v>73.319999999999993</v>
      </c>
    </row>
    <row r="427" spans="1:7" x14ac:dyDescent="0.75">
      <c r="A427" s="50">
        <v>1388</v>
      </c>
      <c r="B427" t="s">
        <v>729</v>
      </c>
      <c r="C427" t="s">
        <v>730</v>
      </c>
      <c r="D427" s="15">
        <v>0</v>
      </c>
      <c r="E427" s="15">
        <v>13074.29</v>
      </c>
      <c r="F427" s="15">
        <v>0</v>
      </c>
      <c r="G427" s="15">
        <v>13074.29</v>
      </c>
    </row>
    <row r="428" spans="1:7" x14ac:dyDescent="0.75">
      <c r="A428" s="50">
        <v>374</v>
      </c>
      <c r="B428" t="s">
        <v>735</v>
      </c>
      <c r="C428" t="s">
        <v>736</v>
      </c>
      <c r="D428" s="15">
        <v>0</v>
      </c>
      <c r="E428" s="15">
        <v>2683.81</v>
      </c>
      <c r="F428" s="15">
        <v>0</v>
      </c>
      <c r="G428" s="15">
        <v>2683.81</v>
      </c>
    </row>
    <row r="429" spans="1:7" x14ac:dyDescent="0.75">
      <c r="A429" s="50">
        <v>375</v>
      </c>
      <c r="B429" t="s">
        <v>737</v>
      </c>
      <c r="C429" t="s">
        <v>738</v>
      </c>
      <c r="D429" s="15">
        <v>0</v>
      </c>
      <c r="E429" s="15">
        <v>2116</v>
      </c>
      <c r="F429" s="15">
        <v>0</v>
      </c>
      <c r="G429" s="15">
        <v>2116</v>
      </c>
    </row>
    <row r="430" spans="1:7" x14ac:dyDescent="0.75">
      <c r="A430" s="26">
        <v>376</v>
      </c>
      <c r="B430" s="28" t="s">
        <v>739</v>
      </c>
      <c r="C430" s="28" t="s">
        <v>740</v>
      </c>
      <c r="D430" s="29">
        <v>0</v>
      </c>
      <c r="E430" s="29">
        <v>6941.68</v>
      </c>
      <c r="F430" s="29">
        <v>0</v>
      </c>
      <c r="G430" s="29">
        <v>6941.68</v>
      </c>
    </row>
    <row r="431" spans="1:7" x14ac:dyDescent="0.75">
      <c r="A431" s="50">
        <v>788</v>
      </c>
      <c r="B431" t="s">
        <v>741</v>
      </c>
      <c r="C431" t="s">
        <v>742</v>
      </c>
      <c r="D431" s="15">
        <v>0</v>
      </c>
      <c r="E431" s="15">
        <v>6941.68</v>
      </c>
      <c r="F431" s="15">
        <v>0</v>
      </c>
      <c r="G431" s="15">
        <v>6941.68</v>
      </c>
    </row>
    <row r="432" spans="1:7" x14ac:dyDescent="0.75">
      <c r="A432" s="26">
        <v>402</v>
      </c>
      <c r="B432" s="28" t="s">
        <v>751</v>
      </c>
      <c r="C432" s="28" t="s">
        <v>752</v>
      </c>
      <c r="D432" s="29">
        <v>0</v>
      </c>
      <c r="E432" s="29">
        <v>85008.52</v>
      </c>
      <c r="F432" s="29">
        <v>1318337.4099999999</v>
      </c>
      <c r="G432" s="29">
        <v>-1233328.8899999999</v>
      </c>
    </row>
    <row r="433" spans="1:7" x14ac:dyDescent="0.75">
      <c r="A433" s="26">
        <v>403</v>
      </c>
      <c r="B433" s="28" t="s">
        <v>753</v>
      </c>
      <c r="C433" s="28" t="s">
        <v>754</v>
      </c>
      <c r="D433" s="29">
        <v>0</v>
      </c>
      <c r="E433" s="29">
        <v>85008.52</v>
      </c>
      <c r="F433" s="29">
        <v>1318337.4099999999</v>
      </c>
      <c r="G433" s="29">
        <v>-1233328.8899999999</v>
      </c>
    </row>
    <row r="434" spans="1:7" x14ac:dyDescent="0.75">
      <c r="A434" s="26">
        <v>404</v>
      </c>
      <c r="B434" s="28" t="s">
        <v>755</v>
      </c>
      <c r="C434" s="28" t="s">
        <v>756</v>
      </c>
      <c r="D434" s="29">
        <v>0</v>
      </c>
      <c r="E434" s="29">
        <v>0</v>
      </c>
      <c r="F434" s="29">
        <v>1317254.73</v>
      </c>
      <c r="G434" s="29">
        <v>-1317254.73</v>
      </c>
    </row>
    <row r="435" spans="1:7" x14ac:dyDescent="0.75">
      <c r="A435" s="26">
        <v>405</v>
      </c>
      <c r="B435" s="28" t="s">
        <v>757</v>
      </c>
      <c r="C435" s="28" t="s">
        <v>758</v>
      </c>
      <c r="D435" s="29">
        <v>0</v>
      </c>
      <c r="E435" s="29">
        <v>0</v>
      </c>
      <c r="F435" s="29">
        <v>1317254.73</v>
      </c>
      <c r="G435" s="29">
        <v>-1317254.73</v>
      </c>
    </row>
    <row r="436" spans="1:7" x14ac:dyDescent="0.75">
      <c r="A436" s="50">
        <v>408</v>
      </c>
      <c r="B436" t="s">
        <v>759</v>
      </c>
      <c r="C436" t="s">
        <v>760</v>
      </c>
      <c r="D436" s="15">
        <v>0</v>
      </c>
      <c r="E436" s="15">
        <v>0</v>
      </c>
      <c r="F436" s="15">
        <v>1317254.73</v>
      </c>
      <c r="G436" s="15">
        <v>-1317254.73</v>
      </c>
    </row>
    <row r="437" spans="1:7" x14ac:dyDescent="0.75">
      <c r="A437" s="26">
        <v>413</v>
      </c>
      <c r="B437" s="28" t="s">
        <v>761</v>
      </c>
      <c r="C437" s="28" t="s">
        <v>762</v>
      </c>
      <c r="D437" s="29">
        <v>0</v>
      </c>
      <c r="E437" s="29">
        <v>85008.52</v>
      </c>
      <c r="F437" s="29">
        <v>211.44</v>
      </c>
      <c r="G437" s="29">
        <v>84797.08</v>
      </c>
    </row>
    <row r="438" spans="1:7" x14ac:dyDescent="0.75">
      <c r="A438" s="26">
        <v>414</v>
      </c>
      <c r="B438" s="28" t="s">
        <v>763</v>
      </c>
      <c r="C438" s="28" t="s">
        <v>764</v>
      </c>
      <c r="D438" s="29">
        <v>0</v>
      </c>
      <c r="E438" s="29">
        <v>49520.06</v>
      </c>
      <c r="F438" s="29">
        <v>211.44</v>
      </c>
      <c r="G438" s="29">
        <v>49308.62</v>
      </c>
    </row>
    <row r="439" spans="1:7" x14ac:dyDescent="0.75">
      <c r="A439" s="50">
        <v>417</v>
      </c>
      <c r="B439" t="s">
        <v>765</v>
      </c>
      <c r="C439" t="s">
        <v>766</v>
      </c>
      <c r="D439" s="15">
        <v>0</v>
      </c>
      <c r="E439" s="15">
        <v>49520.06</v>
      </c>
      <c r="F439" s="15">
        <v>211.44</v>
      </c>
      <c r="G439" s="15">
        <v>49308.62</v>
      </c>
    </row>
    <row r="440" spans="1:7" x14ac:dyDescent="0.75">
      <c r="A440" s="26">
        <v>424</v>
      </c>
      <c r="B440" s="28" t="s">
        <v>767</v>
      </c>
      <c r="C440" s="28" t="s">
        <v>768</v>
      </c>
      <c r="D440" s="29">
        <v>0</v>
      </c>
      <c r="E440" s="29">
        <v>35488.46</v>
      </c>
      <c r="F440" s="29">
        <v>0</v>
      </c>
      <c r="G440" s="29">
        <v>35488.46</v>
      </c>
    </row>
    <row r="441" spans="1:7" x14ac:dyDescent="0.75">
      <c r="A441" s="50">
        <v>426</v>
      </c>
      <c r="B441" t="s">
        <v>769</v>
      </c>
      <c r="C441" t="s">
        <v>770</v>
      </c>
      <c r="D441" s="15">
        <v>0</v>
      </c>
      <c r="E441" s="15">
        <v>33019.089999999997</v>
      </c>
      <c r="F441" s="15">
        <v>0</v>
      </c>
      <c r="G441" s="15">
        <v>33019.089999999997</v>
      </c>
    </row>
    <row r="442" spans="1:7" x14ac:dyDescent="0.75">
      <c r="A442" s="50">
        <v>428</v>
      </c>
      <c r="B442" t="s">
        <v>771</v>
      </c>
      <c r="C442" t="s">
        <v>772</v>
      </c>
      <c r="D442" s="15">
        <v>0</v>
      </c>
      <c r="E442" s="15">
        <v>2028.89</v>
      </c>
      <c r="F442" s="15">
        <v>0</v>
      </c>
      <c r="G442" s="15">
        <v>2028.89</v>
      </c>
    </row>
    <row r="443" spans="1:7" x14ac:dyDescent="0.75">
      <c r="A443" s="50">
        <v>429</v>
      </c>
      <c r="B443" t="s">
        <v>773</v>
      </c>
      <c r="C443" t="s">
        <v>774</v>
      </c>
      <c r="D443" s="15">
        <v>0</v>
      </c>
      <c r="E443" s="15">
        <v>440.48</v>
      </c>
      <c r="F443" s="15">
        <v>0</v>
      </c>
      <c r="G443" s="15">
        <v>440.48</v>
      </c>
    </row>
    <row r="444" spans="1:7" x14ac:dyDescent="0.75">
      <c r="A444" s="26">
        <v>430</v>
      </c>
      <c r="B444" s="28" t="s">
        <v>775</v>
      </c>
      <c r="C444" s="28" t="s">
        <v>776</v>
      </c>
      <c r="D444" s="29">
        <v>0</v>
      </c>
      <c r="E444" s="29">
        <v>0</v>
      </c>
      <c r="F444" s="29">
        <v>871.24</v>
      </c>
      <c r="G444" s="29">
        <v>-871.24</v>
      </c>
    </row>
    <row r="445" spans="1:7" x14ac:dyDescent="0.75">
      <c r="A445" s="26">
        <v>431</v>
      </c>
      <c r="B445" s="28" t="s">
        <v>777</v>
      </c>
      <c r="C445" s="28" t="s">
        <v>778</v>
      </c>
      <c r="D445" s="29">
        <v>0</v>
      </c>
      <c r="E445" s="29">
        <v>0</v>
      </c>
      <c r="F445" s="29">
        <v>871.24</v>
      </c>
      <c r="G445" s="29">
        <v>-871.24</v>
      </c>
    </row>
    <row r="446" spans="1:7" x14ac:dyDescent="0.75">
      <c r="A446" s="50">
        <v>432</v>
      </c>
      <c r="B446" t="s">
        <v>779</v>
      </c>
      <c r="C446" t="s">
        <v>780</v>
      </c>
      <c r="D446" s="15">
        <v>0</v>
      </c>
      <c r="E446" s="15">
        <v>0</v>
      </c>
      <c r="F446" s="15">
        <v>871.24</v>
      </c>
      <c r="G446" s="15">
        <v>-871.24</v>
      </c>
    </row>
    <row r="447" spans="1:7" x14ac:dyDescent="0.75">
      <c r="A447" s="26">
        <v>931</v>
      </c>
      <c r="B447" s="28" t="s">
        <v>1037</v>
      </c>
      <c r="C447" s="28" t="s">
        <v>1038</v>
      </c>
      <c r="D447" s="29">
        <v>65940.41</v>
      </c>
      <c r="E447" s="29">
        <v>1390945.1</v>
      </c>
      <c r="F447" s="29">
        <v>1392620.33</v>
      </c>
      <c r="G447" s="29">
        <v>64265.18</v>
      </c>
    </row>
    <row r="448" spans="1:7" x14ac:dyDescent="0.75">
      <c r="A448" s="26">
        <v>932</v>
      </c>
      <c r="B448" s="28" t="s">
        <v>1039</v>
      </c>
      <c r="C448" s="28" t="s">
        <v>1038</v>
      </c>
      <c r="D448" s="29">
        <v>65940.41</v>
      </c>
      <c r="E448" s="29">
        <v>1390945.1</v>
      </c>
      <c r="F448" s="29">
        <v>1392620.33</v>
      </c>
      <c r="G448" s="29">
        <v>64265.18</v>
      </c>
    </row>
    <row r="449" spans="1:7" x14ac:dyDescent="0.75">
      <c r="A449" s="26">
        <v>933</v>
      </c>
      <c r="B449" s="28" t="s">
        <v>1040</v>
      </c>
      <c r="C449" s="28" t="s">
        <v>1038</v>
      </c>
      <c r="D449" s="29">
        <v>65940.41</v>
      </c>
      <c r="E449" s="29">
        <v>1390945.1</v>
      </c>
      <c r="F449" s="29">
        <v>1392620.33</v>
      </c>
      <c r="G449" s="29">
        <v>64265.18</v>
      </c>
    </row>
    <row r="450" spans="1:7" x14ac:dyDescent="0.75">
      <c r="A450" s="26">
        <v>934</v>
      </c>
      <c r="B450" s="28" t="s">
        <v>1041</v>
      </c>
      <c r="C450" s="28" t="s">
        <v>1038</v>
      </c>
      <c r="D450" s="29">
        <v>65940.41</v>
      </c>
      <c r="E450" s="29">
        <v>1390945.1</v>
      </c>
      <c r="F450" s="29">
        <v>1392620.33</v>
      </c>
      <c r="G450" s="29">
        <v>64265.18</v>
      </c>
    </row>
    <row r="451" spans="1:7" x14ac:dyDescent="0.75">
      <c r="A451" s="50">
        <v>1362</v>
      </c>
      <c r="B451" t="s">
        <v>1042</v>
      </c>
      <c r="C451" t="s">
        <v>788</v>
      </c>
      <c r="D451" s="15">
        <v>65940.41</v>
      </c>
      <c r="E451" s="15">
        <v>1390945.1</v>
      </c>
      <c r="F451" s="15">
        <v>1392620.33</v>
      </c>
      <c r="G451" s="15">
        <v>64265.18</v>
      </c>
    </row>
  </sheetData>
  <autoFilter ref="A1:G451" xr:uid="{934E4AB9-4C29-4875-B9F9-F8FDF6CEEC4C}"/>
  <dataConsolidate>
    <dataRefs count="2">
      <dataRef ref="A18:G79" sheet="Balancete"/>
      <dataRef ref="A18:XFD79" sheet="Balancete"/>
    </dataRefs>
  </dataConsolid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9AB3-73CF-4CE6-ADE0-3CDA13CECDA3}">
  <dimension ref="A1:O508"/>
  <sheetViews>
    <sheetView showGridLines="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N6" sqref="N6"/>
    </sheetView>
  </sheetViews>
  <sheetFormatPr defaultRowHeight="14.75" x14ac:dyDescent="0.75"/>
  <cols>
    <col min="1" max="1" width="11.7265625" style="1" bestFit="1" customWidth="1"/>
    <col min="2" max="2" width="16.7265625" style="2" bestFit="1" customWidth="1"/>
    <col min="3" max="3" width="68.54296875" style="2" bestFit="1" customWidth="1"/>
    <col min="4" max="10" width="15.86328125" style="3" bestFit="1" customWidth="1"/>
    <col min="11" max="13" width="15.86328125" style="15" bestFit="1" customWidth="1"/>
    <col min="14" max="14" width="16.40625" style="15" bestFit="1" customWidth="1"/>
    <col min="15" max="15" width="16.1328125" style="15" bestFit="1" customWidth="1"/>
  </cols>
  <sheetData>
    <row r="1" spans="1:15" x14ac:dyDescent="0.75">
      <c r="A1" s="26" t="s">
        <v>0</v>
      </c>
      <c r="B1" s="26" t="s">
        <v>1</v>
      </c>
      <c r="C1" s="26" t="s">
        <v>789</v>
      </c>
      <c r="D1" s="27" t="s">
        <v>791</v>
      </c>
      <c r="E1" s="27" t="s">
        <v>792</v>
      </c>
      <c r="F1" s="27" t="s">
        <v>793</v>
      </c>
      <c r="G1" s="27" t="s">
        <v>794</v>
      </c>
      <c r="H1" s="27" t="s">
        <v>795</v>
      </c>
      <c r="I1" s="27" t="s">
        <v>950</v>
      </c>
      <c r="J1" s="27" t="s">
        <v>1009</v>
      </c>
      <c r="K1" s="27" t="s">
        <v>1043</v>
      </c>
      <c r="L1" s="27" t="s">
        <v>1297</v>
      </c>
      <c r="M1" s="27" t="s">
        <v>1298</v>
      </c>
      <c r="N1" s="27" t="s">
        <v>1299</v>
      </c>
      <c r="O1" s="27" t="s">
        <v>790</v>
      </c>
    </row>
    <row r="2" spans="1:15" x14ac:dyDescent="0.75">
      <c r="A2" s="28">
        <v>1</v>
      </c>
      <c r="B2" s="28" t="s">
        <v>7</v>
      </c>
      <c r="C2" s="28" t="s">
        <v>8</v>
      </c>
      <c r="D2" s="29">
        <v>2557859.0699999998</v>
      </c>
      <c r="E2" s="29">
        <v>2211813.46</v>
      </c>
      <c r="F2" s="29">
        <v>2298551.5499999998</v>
      </c>
      <c r="G2" s="29">
        <v>2246518.9500000002</v>
      </c>
      <c r="H2" s="29">
        <v>2110323.7400000002</v>
      </c>
      <c r="I2" s="29">
        <v>2450542.2999999998</v>
      </c>
      <c r="J2" s="29">
        <v>2364486.41</v>
      </c>
      <c r="K2" s="29">
        <v>2652201.9900000002</v>
      </c>
      <c r="L2" s="29">
        <v>2593892.41</v>
      </c>
      <c r="M2" s="29">
        <v>2371161.11</v>
      </c>
      <c r="N2" s="29">
        <v>2406354.7999999998</v>
      </c>
      <c r="O2" s="29">
        <v>2168409.16</v>
      </c>
    </row>
    <row r="3" spans="1:15" x14ac:dyDescent="0.75">
      <c r="A3" s="28">
        <v>2</v>
      </c>
      <c r="B3" s="28" t="s">
        <v>9</v>
      </c>
      <c r="C3" s="28" t="s">
        <v>10</v>
      </c>
      <c r="D3" s="29">
        <v>2234015.9700000002</v>
      </c>
      <c r="E3" s="29">
        <v>1887492.79</v>
      </c>
      <c r="F3" s="29">
        <v>1966601.98</v>
      </c>
      <c r="G3" s="29">
        <v>1904729.48</v>
      </c>
      <c r="H3" s="29">
        <v>1771653.37</v>
      </c>
      <c r="I3" s="29">
        <v>2114991.0299999998</v>
      </c>
      <c r="J3" s="29">
        <v>2031886.24</v>
      </c>
      <c r="K3" s="29">
        <v>2322720.92</v>
      </c>
      <c r="L3" s="29">
        <v>2260469.41</v>
      </c>
      <c r="M3" s="29">
        <v>2035647.68</v>
      </c>
      <c r="N3" s="29">
        <v>2073850.94</v>
      </c>
      <c r="O3" s="29">
        <v>1838914.87</v>
      </c>
    </row>
    <row r="4" spans="1:15" x14ac:dyDescent="0.75">
      <c r="A4" s="28">
        <v>3</v>
      </c>
      <c r="B4" s="28" t="s">
        <v>11</v>
      </c>
      <c r="C4" s="28" t="s">
        <v>12</v>
      </c>
      <c r="D4" s="29">
        <v>403082.96</v>
      </c>
      <c r="E4" s="29">
        <v>407075.47</v>
      </c>
      <c r="F4" s="29">
        <v>458599</v>
      </c>
      <c r="G4" s="29">
        <v>543462.06999999995</v>
      </c>
      <c r="H4" s="29">
        <v>363180.51</v>
      </c>
      <c r="I4" s="29">
        <v>204942.96</v>
      </c>
      <c r="J4" s="29">
        <v>232144.67</v>
      </c>
      <c r="K4" s="29">
        <v>158139.13</v>
      </c>
      <c r="L4" s="29">
        <v>299825.40000000002</v>
      </c>
      <c r="M4" s="29">
        <v>327157.96999999997</v>
      </c>
      <c r="N4" s="29">
        <v>400601.18</v>
      </c>
      <c r="O4" s="29">
        <v>283333</v>
      </c>
    </row>
    <row r="5" spans="1:15" x14ac:dyDescent="0.75">
      <c r="A5" s="28">
        <v>4</v>
      </c>
      <c r="B5" s="28" t="s">
        <v>13</v>
      </c>
      <c r="C5" s="28" t="s">
        <v>14</v>
      </c>
      <c r="D5" s="29">
        <v>3125.44</v>
      </c>
      <c r="E5" s="29">
        <v>2846.81</v>
      </c>
      <c r="F5" s="29">
        <v>1460.91</v>
      </c>
      <c r="G5" s="29">
        <v>423.12</v>
      </c>
      <c r="H5" s="29">
        <v>1897.5</v>
      </c>
      <c r="I5" s="29">
        <v>6911.61</v>
      </c>
      <c r="J5" s="29">
        <v>6313.35</v>
      </c>
      <c r="K5" s="29">
        <v>2822.42</v>
      </c>
      <c r="L5" s="29">
        <v>4711.82</v>
      </c>
      <c r="M5" s="29">
        <v>4561.93</v>
      </c>
      <c r="N5" s="29">
        <v>5524.68</v>
      </c>
      <c r="O5" s="29">
        <v>8835.18</v>
      </c>
    </row>
    <row r="6" spans="1:15" x14ac:dyDescent="0.75">
      <c r="A6">
        <v>5</v>
      </c>
      <c r="B6" t="s">
        <v>15</v>
      </c>
      <c r="C6" t="s">
        <v>16</v>
      </c>
      <c r="D6" s="15">
        <v>3125.44</v>
      </c>
      <c r="E6" s="15">
        <v>2846.81</v>
      </c>
      <c r="F6" s="15">
        <v>1460.91</v>
      </c>
      <c r="G6" s="15">
        <v>423.12</v>
      </c>
      <c r="H6" s="15">
        <v>1897.5</v>
      </c>
      <c r="I6" s="15">
        <v>6911.61</v>
      </c>
      <c r="J6" s="15">
        <v>6313.35</v>
      </c>
      <c r="K6" s="15">
        <v>2822.42</v>
      </c>
      <c r="L6" s="15">
        <v>4711.82</v>
      </c>
      <c r="M6" s="15">
        <v>4561.93</v>
      </c>
      <c r="N6" s="15">
        <v>5524.68</v>
      </c>
      <c r="O6" s="15">
        <v>8835.18</v>
      </c>
    </row>
    <row r="7" spans="1:15" x14ac:dyDescent="0.75">
      <c r="A7" s="28">
        <v>7</v>
      </c>
      <c r="B7" s="28" t="s">
        <v>17</v>
      </c>
      <c r="C7" s="28" t="s">
        <v>18</v>
      </c>
      <c r="D7" s="29">
        <v>356901.35</v>
      </c>
      <c r="E7" s="29">
        <v>359912.87</v>
      </c>
      <c r="F7" s="29">
        <v>412484.73</v>
      </c>
      <c r="G7" s="29">
        <v>498161.7</v>
      </c>
      <c r="H7" s="29">
        <v>315622.39</v>
      </c>
      <c r="I7" s="29">
        <v>151570.14000000001</v>
      </c>
      <c r="J7" s="29">
        <v>178609.74</v>
      </c>
      <c r="K7" s="29">
        <v>107153.71</v>
      </c>
      <c r="L7" s="29">
        <v>246312.63</v>
      </c>
      <c r="M7" s="29">
        <v>273441.73</v>
      </c>
      <c r="N7" s="29">
        <v>345094.18</v>
      </c>
      <c r="O7" s="29">
        <v>224061.19</v>
      </c>
    </row>
    <row r="8" spans="1:15" x14ac:dyDescent="0.75">
      <c r="A8">
        <v>8</v>
      </c>
      <c r="B8" t="s">
        <v>19</v>
      </c>
      <c r="C8" t="s">
        <v>20</v>
      </c>
      <c r="D8" s="15">
        <v>353988.05</v>
      </c>
      <c r="E8" s="15">
        <v>356354.78</v>
      </c>
      <c r="F8" s="15">
        <v>408656.07</v>
      </c>
      <c r="G8" s="15">
        <v>494390.19</v>
      </c>
      <c r="H8" s="15">
        <v>311553.95</v>
      </c>
      <c r="I8" s="15">
        <v>147248.01999999999</v>
      </c>
      <c r="J8" s="15">
        <v>174156.4</v>
      </c>
      <c r="K8" s="15">
        <v>105459.46</v>
      </c>
      <c r="L8" s="15">
        <v>244448.68</v>
      </c>
      <c r="M8" s="15">
        <v>207081.72</v>
      </c>
      <c r="N8" s="15">
        <v>142772.39000000001</v>
      </c>
      <c r="O8" s="15">
        <v>68616.73</v>
      </c>
    </row>
    <row r="9" spans="1:15" x14ac:dyDescent="0.75">
      <c r="A9">
        <v>1598</v>
      </c>
      <c r="B9" t="s">
        <v>22</v>
      </c>
      <c r="C9" t="s">
        <v>23</v>
      </c>
      <c r="D9" s="15">
        <v>2830.34</v>
      </c>
      <c r="E9" s="15">
        <v>3475.13</v>
      </c>
      <c r="F9" s="15">
        <v>3745.7</v>
      </c>
      <c r="G9" s="15">
        <v>3688.55</v>
      </c>
      <c r="H9" s="15">
        <v>3985.48</v>
      </c>
      <c r="I9" s="15">
        <v>4239.16</v>
      </c>
      <c r="J9" s="15">
        <v>4370.38</v>
      </c>
      <c r="K9" s="15">
        <v>1611.29</v>
      </c>
      <c r="L9" s="15">
        <v>1780.99</v>
      </c>
      <c r="M9" s="15">
        <v>1956.46</v>
      </c>
      <c r="N9" s="15">
        <v>2432.35</v>
      </c>
      <c r="O9" s="15">
        <v>2616.0300000000002</v>
      </c>
    </row>
    <row r="10" spans="1:15" x14ac:dyDescent="0.75">
      <c r="A10">
        <v>1600</v>
      </c>
      <c r="B10" t="s">
        <v>24</v>
      </c>
      <c r="C10" t="s">
        <v>25</v>
      </c>
      <c r="D10" s="15">
        <v>82.96</v>
      </c>
      <c r="E10" s="15">
        <v>82.96</v>
      </c>
      <c r="F10" s="15">
        <v>82.96</v>
      </c>
      <c r="G10" s="15">
        <v>82.96</v>
      </c>
      <c r="H10" s="15">
        <v>82.96</v>
      </c>
      <c r="I10" s="15">
        <v>82.96</v>
      </c>
      <c r="J10" s="15">
        <v>82.96</v>
      </c>
      <c r="K10" s="15">
        <v>82.96</v>
      </c>
      <c r="L10" s="15">
        <v>82.96</v>
      </c>
      <c r="M10" s="15">
        <v>82.96</v>
      </c>
      <c r="N10" s="15">
        <v>82.96</v>
      </c>
      <c r="O10" s="15">
        <v>82.96</v>
      </c>
    </row>
    <row r="11" spans="1:15" x14ac:dyDescent="0.75">
      <c r="A11">
        <v>1949</v>
      </c>
      <c r="B11" t="s">
        <v>1254</v>
      </c>
      <c r="C11" t="s">
        <v>1220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64320.59</v>
      </c>
      <c r="N11" s="15">
        <v>199806.48</v>
      </c>
      <c r="O11" s="15">
        <v>152745.47</v>
      </c>
    </row>
    <row r="12" spans="1:15" x14ac:dyDescent="0.75">
      <c r="A12" s="28">
        <v>10</v>
      </c>
      <c r="B12" s="28" t="s">
        <v>26</v>
      </c>
      <c r="C12" s="28" t="s">
        <v>27</v>
      </c>
      <c r="D12" s="29">
        <v>43056.17</v>
      </c>
      <c r="E12" s="29">
        <v>44315.79</v>
      </c>
      <c r="F12" s="29">
        <v>44653.36</v>
      </c>
      <c r="G12" s="29">
        <v>44877.25</v>
      </c>
      <c r="H12" s="29">
        <v>45660.62</v>
      </c>
      <c r="I12" s="29">
        <v>46461.21</v>
      </c>
      <c r="J12" s="29">
        <v>47221.58</v>
      </c>
      <c r="K12" s="29">
        <v>48163</v>
      </c>
      <c r="L12" s="29">
        <v>48800.95</v>
      </c>
      <c r="M12" s="29">
        <v>49154.31</v>
      </c>
      <c r="N12" s="29">
        <v>49982.32</v>
      </c>
      <c r="O12" s="29">
        <v>50436.63</v>
      </c>
    </row>
    <row r="13" spans="1:15" x14ac:dyDescent="0.75">
      <c r="A13">
        <v>1462</v>
      </c>
      <c r="B13" t="s">
        <v>28</v>
      </c>
      <c r="C13" t="s">
        <v>29</v>
      </c>
      <c r="D13" s="15">
        <v>4920.18</v>
      </c>
      <c r="E13" s="15">
        <v>5844.62</v>
      </c>
      <c r="F13" s="15">
        <v>5940.09</v>
      </c>
      <c r="G13" s="15">
        <v>5969.44</v>
      </c>
      <c r="H13" s="15">
        <v>6447.91</v>
      </c>
      <c r="I13" s="15">
        <v>6930.34</v>
      </c>
      <c r="J13" s="15">
        <v>7306.85</v>
      </c>
      <c r="K13" s="15">
        <v>7737</v>
      </c>
      <c r="L13" s="15">
        <v>7980.92</v>
      </c>
      <c r="M13" s="15">
        <v>8309.48</v>
      </c>
      <c r="N13" s="15">
        <v>8717.9699999999993</v>
      </c>
      <c r="O13" s="15">
        <v>8739.01</v>
      </c>
    </row>
    <row r="14" spans="1:15" x14ac:dyDescent="0.75">
      <c r="A14">
        <v>1463</v>
      </c>
      <c r="B14" t="s">
        <v>30</v>
      </c>
      <c r="C14" t="s">
        <v>31</v>
      </c>
      <c r="D14" s="15">
        <v>31464.63</v>
      </c>
      <c r="E14" s="15">
        <v>31733.19</v>
      </c>
      <c r="F14" s="15">
        <v>31933.05</v>
      </c>
      <c r="G14" s="15">
        <v>32105.72</v>
      </c>
      <c r="H14" s="15">
        <v>32344.63</v>
      </c>
      <c r="I14" s="15">
        <v>32596.69</v>
      </c>
      <c r="J14" s="15">
        <v>32904.199999999997</v>
      </c>
      <c r="K14" s="15">
        <v>33344.31</v>
      </c>
      <c r="L14" s="15">
        <v>33668.81</v>
      </c>
      <c r="M14" s="15">
        <v>33689.300000000003</v>
      </c>
      <c r="N14" s="15">
        <v>34035.279999999999</v>
      </c>
      <c r="O14" s="15">
        <v>34392.379999999997</v>
      </c>
    </row>
    <row r="15" spans="1:15" x14ac:dyDescent="0.75">
      <c r="A15">
        <v>1599</v>
      </c>
      <c r="B15" t="s">
        <v>32</v>
      </c>
      <c r="C15" t="s">
        <v>33</v>
      </c>
      <c r="D15" s="15">
        <v>6671.36</v>
      </c>
      <c r="E15" s="15">
        <v>6737.98</v>
      </c>
      <c r="F15" s="15">
        <v>6780.22</v>
      </c>
      <c r="G15" s="15">
        <v>6802.09</v>
      </c>
      <c r="H15" s="15">
        <v>6868.08</v>
      </c>
      <c r="I15" s="15">
        <v>6934.18</v>
      </c>
      <c r="J15" s="15">
        <v>7010.53</v>
      </c>
      <c r="K15" s="15">
        <v>7081.69</v>
      </c>
      <c r="L15" s="15">
        <v>7151.22</v>
      </c>
      <c r="M15" s="15">
        <v>7155.53</v>
      </c>
      <c r="N15" s="15">
        <v>7229.07</v>
      </c>
      <c r="O15" s="15">
        <v>7305.24</v>
      </c>
    </row>
    <row r="16" spans="1:15" x14ac:dyDescent="0.75">
      <c r="A16" s="28">
        <v>12</v>
      </c>
      <c r="B16" s="28" t="s">
        <v>34</v>
      </c>
      <c r="C16" s="28" t="s">
        <v>35</v>
      </c>
      <c r="D16" s="29">
        <v>1570685.5</v>
      </c>
      <c r="E16" s="29">
        <v>1266126.8899999999</v>
      </c>
      <c r="F16" s="29">
        <v>1285223.99</v>
      </c>
      <c r="G16" s="29">
        <v>1105035.26</v>
      </c>
      <c r="H16" s="29">
        <v>1190458.4099999999</v>
      </c>
      <c r="I16" s="29">
        <v>1643473.36</v>
      </c>
      <c r="J16" s="29">
        <v>1500130.82</v>
      </c>
      <c r="K16" s="29">
        <v>1848014.51</v>
      </c>
      <c r="L16" s="29">
        <v>1608838.49</v>
      </c>
      <c r="M16" s="29">
        <v>1381168.28</v>
      </c>
      <c r="N16" s="29">
        <v>1399247.61</v>
      </c>
      <c r="O16" s="29">
        <v>1266814.49</v>
      </c>
    </row>
    <row r="17" spans="1:15" x14ac:dyDescent="0.75">
      <c r="A17" s="28">
        <v>13</v>
      </c>
      <c r="B17" s="28" t="s">
        <v>36</v>
      </c>
      <c r="C17" s="28" t="s">
        <v>37</v>
      </c>
      <c r="D17" s="29">
        <v>2307953.09</v>
      </c>
      <c r="E17" s="29">
        <v>1945032.05</v>
      </c>
      <c r="F17" s="29">
        <v>1877172.1</v>
      </c>
      <c r="G17" s="29">
        <v>1716141.09</v>
      </c>
      <c r="H17" s="29">
        <v>1699554.37</v>
      </c>
      <c r="I17" s="29">
        <v>2214970.12</v>
      </c>
      <c r="J17" s="29">
        <v>2036188.95</v>
      </c>
      <c r="K17" s="29">
        <v>2548228.69</v>
      </c>
      <c r="L17" s="29">
        <v>2274087.0299999998</v>
      </c>
      <c r="M17" s="29">
        <v>2002948.76</v>
      </c>
      <c r="N17" s="29">
        <v>2022787.14</v>
      </c>
      <c r="O17" s="29">
        <v>1860493.1</v>
      </c>
    </row>
    <row r="18" spans="1:15" x14ac:dyDescent="0.75">
      <c r="A18">
        <v>709</v>
      </c>
      <c r="B18" t="s">
        <v>38</v>
      </c>
      <c r="C18" t="s">
        <v>39</v>
      </c>
      <c r="D18" s="15">
        <v>190175.6</v>
      </c>
      <c r="E18" s="15">
        <v>-497.8</v>
      </c>
      <c r="F18" s="15">
        <v>-5611.85</v>
      </c>
      <c r="G18" s="15">
        <v>-508.29</v>
      </c>
      <c r="H18" s="15">
        <v>6316.26</v>
      </c>
      <c r="I18" s="15">
        <v>10175.92</v>
      </c>
      <c r="J18" s="15">
        <v>6858.67</v>
      </c>
      <c r="K18" s="15">
        <v>18010.37</v>
      </c>
      <c r="L18" s="15">
        <v>18010.37</v>
      </c>
      <c r="M18" s="15">
        <v>12869.27</v>
      </c>
      <c r="N18" s="15">
        <v>14442.37</v>
      </c>
      <c r="O18" s="15">
        <v>17622.07</v>
      </c>
    </row>
    <row r="19" spans="1:15" x14ac:dyDescent="0.75">
      <c r="A19">
        <v>1727</v>
      </c>
      <c r="B19" t="s">
        <v>38</v>
      </c>
      <c r="C19" t="s">
        <v>39</v>
      </c>
      <c r="D19" s="15">
        <v>4685.79</v>
      </c>
      <c r="E19" s="15">
        <v>3571.17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</row>
    <row r="20" spans="1:15" x14ac:dyDescent="0.75">
      <c r="A20">
        <v>1124</v>
      </c>
      <c r="B20" t="s">
        <v>38</v>
      </c>
      <c r="C20" t="s">
        <v>40</v>
      </c>
      <c r="D20" s="15">
        <v>0</v>
      </c>
      <c r="E20" s="15">
        <v>101788.25</v>
      </c>
      <c r="F20" s="15">
        <v>19128.62</v>
      </c>
      <c r="G20" s="15">
        <v>27814.01</v>
      </c>
      <c r="H20" s="15">
        <v>9135.91</v>
      </c>
      <c r="I20" s="15">
        <v>21886.65</v>
      </c>
      <c r="J20" s="15">
        <v>9016.64</v>
      </c>
      <c r="K20" s="15">
        <v>42161.62</v>
      </c>
      <c r="L20" s="15">
        <v>47876.28</v>
      </c>
      <c r="M20" s="15">
        <v>46817.52</v>
      </c>
      <c r="N20" s="15">
        <v>49275.4</v>
      </c>
      <c r="O20" s="15">
        <v>46986.83</v>
      </c>
    </row>
    <row r="21" spans="1:15" x14ac:dyDescent="0.75">
      <c r="A21">
        <v>724</v>
      </c>
      <c r="B21" t="s">
        <v>38</v>
      </c>
      <c r="C21" t="s">
        <v>41</v>
      </c>
      <c r="D21" s="15">
        <v>10855.64</v>
      </c>
      <c r="E21" s="15">
        <v>12059.95</v>
      </c>
      <c r="F21" s="15">
        <v>514.70000000000005</v>
      </c>
      <c r="G21" s="15">
        <v>654</v>
      </c>
      <c r="H21" s="15">
        <v>654</v>
      </c>
      <c r="I21" s="15">
        <v>4531.7</v>
      </c>
      <c r="J21" s="15">
        <v>1534.25</v>
      </c>
      <c r="K21" s="15">
        <v>3949.25</v>
      </c>
      <c r="L21" s="15">
        <v>4330.92</v>
      </c>
      <c r="M21" s="15">
        <v>2601.34</v>
      </c>
      <c r="N21" s="15">
        <v>3474.88</v>
      </c>
      <c r="O21" s="15">
        <v>6492.22</v>
      </c>
    </row>
    <row r="22" spans="1:15" x14ac:dyDescent="0.75">
      <c r="A22">
        <v>713</v>
      </c>
      <c r="B22" t="s">
        <v>38</v>
      </c>
      <c r="C22" t="s">
        <v>42</v>
      </c>
      <c r="D22" s="15">
        <v>27746.69</v>
      </c>
      <c r="E22" s="15">
        <v>29374.17</v>
      </c>
      <c r="F22" s="15">
        <v>5544.66</v>
      </c>
      <c r="G22" s="15">
        <v>15100.87</v>
      </c>
      <c r="H22" s="15">
        <v>4941.12</v>
      </c>
      <c r="I22" s="15">
        <v>9018.4699999999993</v>
      </c>
      <c r="J22" s="15">
        <v>5293.13</v>
      </c>
      <c r="K22" s="15">
        <v>23749.83</v>
      </c>
      <c r="L22" s="15">
        <v>26422.21</v>
      </c>
      <c r="M22" s="15">
        <v>19372.72</v>
      </c>
      <c r="N22" s="15">
        <v>20207.47</v>
      </c>
      <c r="O22" s="15">
        <v>22078.77</v>
      </c>
    </row>
    <row r="23" spans="1:15" x14ac:dyDescent="0.75">
      <c r="A23">
        <v>711</v>
      </c>
      <c r="B23" t="s">
        <v>38</v>
      </c>
      <c r="C23" t="s">
        <v>43</v>
      </c>
      <c r="D23" s="15">
        <v>62491.03</v>
      </c>
      <c r="E23" s="15">
        <v>73625.89</v>
      </c>
      <c r="F23" s="15">
        <v>11770.36</v>
      </c>
      <c r="G23" s="15">
        <v>26470.080000000002</v>
      </c>
      <c r="H23" s="15">
        <v>12739.41</v>
      </c>
      <c r="I23" s="15">
        <v>28508.06</v>
      </c>
      <c r="J23" s="15">
        <v>13832.1</v>
      </c>
      <c r="K23" s="15">
        <v>64419.7</v>
      </c>
      <c r="L23" s="15">
        <v>70964.36</v>
      </c>
      <c r="M23" s="15">
        <v>55243.77</v>
      </c>
      <c r="N23" s="15">
        <v>67429.69</v>
      </c>
      <c r="O23" s="15">
        <v>54002.96</v>
      </c>
    </row>
    <row r="24" spans="1:15" x14ac:dyDescent="0.75">
      <c r="A24">
        <v>1729</v>
      </c>
      <c r="B24" t="s">
        <v>38</v>
      </c>
      <c r="C24" t="s">
        <v>44</v>
      </c>
      <c r="D24" s="15">
        <v>0</v>
      </c>
      <c r="E24" s="15">
        <v>5518.59</v>
      </c>
      <c r="F24" s="15">
        <v>0</v>
      </c>
      <c r="G24" s="15">
        <v>1196</v>
      </c>
      <c r="H24" s="15">
        <v>0</v>
      </c>
      <c r="I24" s="15">
        <v>1196</v>
      </c>
      <c r="J24" s="15">
        <v>3097</v>
      </c>
      <c r="K24" s="15">
        <v>6309.3</v>
      </c>
      <c r="L24" s="15">
        <v>6309.3</v>
      </c>
      <c r="M24" s="15">
        <v>2360.52</v>
      </c>
      <c r="N24" s="15">
        <v>2207.37</v>
      </c>
      <c r="O24" s="15">
        <v>3692.11</v>
      </c>
    </row>
    <row r="25" spans="1:15" x14ac:dyDescent="0.75">
      <c r="A25">
        <v>715</v>
      </c>
      <c r="B25" t="s">
        <v>38</v>
      </c>
      <c r="C25" t="s">
        <v>45</v>
      </c>
      <c r="D25" s="15">
        <v>64921.07</v>
      </c>
      <c r="E25" s="15">
        <v>87877.79</v>
      </c>
      <c r="F25" s="15">
        <v>16802.77</v>
      </c>
      <c r="G25" s="15">
        <v>42779.16</v>
      </c>
      <c r="H25" s="15">
        <v>14538.76</v>
      </c>
      <c r="I25" s="15">
        <v>34097.839999999997</v>
      </c>
      <c r="J25" s="15">
        <v>15194.54</v>
      </c>
      <c r="K25" s="15">
        <v>82335.34</v>
      </c>
      <c r="L25" s="15">
        <v>89082.05</v>
      </c>
      <c r="M25" s="15">
        <v>31839.47</v>
      </c>
      <c r="N25" s="15">
        <v>8787.4599999999991</v>
      </c>
      <c r="O25" s="15">
        <v>8787.4599999999991</v>
      </c>
    </row>
    <row r="26" spans="1:15" x14ac:dyDescent="0.75">
      <c r="A26">
        <v>1730</v>
      </c>
      <c r="B26" t="s">
        <v>38</v>
      </c>
      <c r="C26" t="s">
        <v>46</v>
      </c>
      <c r="D26" s="15">
        <v>2264</v>
      </c>
      <c r="E26" s="15">
        <v>6942</v>
      </c>
      <c r="F26" s="15">
        <v>4603</v>
      </c>
      <c r="G26" s="15">
        <v>5858.8</v>
      </c>
      <c r="H26" s="15">
        <v>4662.8</v>
      </c>
      <c r="I26" s="15">
        <v>5260.8</v>
      </c>
      <c r="J26" s="15">
        <v>4662.8</v>
      </c>
      <c r="K26" s="15">
        <v>4662.8</v>
      </c>
      <c r="L26" s="15">
        <v>4662.8</v>
      </c>
      <c r="M26" s="15">
        <v>4662.8</v>
      </c>
      <c r="N26" s="15">
        <v>4662.8</v>
      </c>
      <c r="O26" s="15">
        <v>4662.8</v>
      </c>
    </row>
    <row r="27" spans="1:15" x14ac:dyDescent="0.75">
      <c r="A27">
        <v>1844</v>
      </c>
      <c r="B27" t="s">
        <v>38</v>
      </c>
      <c r="C27" t="s">
        <v>104</v>
      </c>
      <c r="D27" s="15">
        <v>0</v>
      </c>
      <c r="E27" s="15">
        <v>20854.689999999999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</row>
    <row r="28" spans="1:15" x14ac:dyDescent="0.75">
      <c r="A28">
        <v>1731</v>
      </c>
      <c r="B28" t="s">
        <v>38</v>
      </c>
      <c r="C28" t="s">
        <v>796</v>
      </c>
      <c r="D28" s="15">
        <v>506.6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</row>
    <row r="29" spans="1:15" x14ac:dyDescent="0.75">
      <c r="A29">
        <v>1732</v>
      </c>
      <c r="B29" t="s">
        <v>38</v>
      </c>
      <c r="C29" t="s">
        <v>797</v>
      </c>
      <c r="D29" s="15">
        <v>5370.64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</row>
    <row r="30" spans="1:15" x14ac:dyDescent="0.75">
      <c r="A30">
        <v>1845</v>
      </c>
      <c r="B30" t="s">
        <v>38</v>
      </c>
      <c r="C30" t="s">
        <v>106</v>
      </c>
      <c r="D30" s="15">
        <v>0</v>
      </c>
      <c r="E30" s="15">
        <v>16695.39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</row>
    <row r="31" spans="1:15" x14ac:dyDescent="0.75">
      <c r="A31">
        <v>710</v>
      </c>
      <c r="B31" t="s">
        <v>38</v>
      </c>
      <c r="C31" t="s">
        <v>47</v>
      </c>
      <c r="D31" s="15">
        <v>20349.8</v>
      </c>
      <c r="E31" s="15">
        <v>31703.58</v>
      </c>
      <c r="F31" s="15">
        <v>10614.92</v>
      </c>
      <c r="G31" s="15">
        <v>15363</v>
      </c>
      <c r="H31" s="15">
        <v>8976.75</v>
      </c>
      <c r="I31" s="15">
        <v>15643.14</v>
      </c>
      <c r="J31" s="15">
        <v>8779.94</v>
      </c>
      <c r="K31" s="15">
        <v>27203.19</v>
      </c>
      <c r="L31" s="15">
        <v>29214.43</v>
      </c>
      <c r="M31" s="15">
        <v>21746.37</v>
      </c>
      <c r="N31" s="15">
        <v>30644.68</v>
      </c>
      <c r="O31" s="15">
        <v>31820.39</v>
      </c>
    </row>
    <row r="32" spans="1:15" x14ac:dyDescent="0.75">
      <c r="A32">
        <v>720</v>
      </c>
      <c r="B32" t="s">
        <v>38</v>
      </c>
      <c r="C32" t="s">
        <v>48</v>
      </c>
      <c r="D32" s="15">
        <v>26147.22</v>
      </c>
      <c r="E32" s="15">
        <v>29633.47</v>
      </c>
      <c r="F32" s="15">
        <v>1290.6400000000001</v>
      </c>
      <c r="G32" s="15">
        <v>9693.39</v>
      </c>
      <c r="H32" s="15">
        <v>1472.44</v>
      </c>
      <c r="I32" s="15">
        <v>6200.39</v>
      </c>
      <c r="J32" s="15">
        <v>2307.14</v>
      </c>
      <c r="K32" s="15">
        <v>22415.84</v>
      </c>
      <c r="L32" s="15">
        <v>22415.83</v>
      </c>
      <c r="M32" s="15">
        <v>13019.98</v>
      </c>
      <c r="N32" s="15">
        <v>17741.43</v>
      </c>
      <c r="O32" s="15">
        <v>17579.22</v>
      </c>
    </row>
    <row r="33" spans="1:15" x14ac:dyDescent="0.75">
      <c r="A33">
        <v>712</v>
      </c>
      <c r="B33" t="s">
        <v>38</v>
      </c>
      <c r="C33" t="s">
        <v>49</v>
      </c>
      <c r="D33" s="15">
        <v>114879.67</v>
      </c>
      <c r="E33" s="15">
        <v>139684.42000000001</v>
      </c>
      <c r="F33" s="15">
        <v>22817.65</v>
      </c>
      <c r="G33" s="15">
        <v>61288.84</v>
      </c>
      <c r="H33" s="15">
        <v>17304.68</v>
      </c>
      <c r="I33" s="15">
        <v>48753.120000000003</v>
      </c>
      <c r="J33" s="15">
        <v>17774.509999999998</v>
      </c>
      <c r="K33" s="15">
        <v>92193.16</v>
      </c>
      <c r="L33" s="15">
        <v>101260.4</v>
      </c>
      <c r="M33" s="15">
        <v>82147.839999999997</v>
      </c>
      <c r="N33" s="15">
        <v>94419.07</v>
      </c>
      <c r="O33" s="15">
        <v>52323.24</v>
      </c>
    </row>
    <row r="34" spans="1:15" x14ac:dyDescent="0.75">
      <c r="A34">
        <v>716</v>
      </c>
      <c r="B34" t="s">
        <v>38</v>
      </c>
      <c r="C34" t="s">
        <v>50</v>
      </c>
      <c r="D34" s="15">
        <v>27349.55</v>
      </c>
      <c r="E34" s="15">
        <v>32195.4</v>
      </c>
      <c r="F34" s="15">
        <v>8461.34</v>
      </c>
      <c r="G34" s="15">
        <v>15354.77</v>
      </c>
      <c r="H34" s="15">
        <v>9252.34</v>
      </c>
      <c r="I34" s="15">
        <v>14693.39</v>
      </c>
      <c r="J34" s="15">
        <v>8809.02</v>
      </c>
      <c r="K34" s="15">
        <v>24497.119999999999</v>
      </c>
      <c r="L34" s="15">
        <v>26642.9</v>
      </c>
      <c r="M34" s="15">
        <v>23992.25</v>
      </c>
      <c r="N34" s="15">
        <v>27010.9</v>
      </c>
      <c r="O34" s="15">
        <v>27410.09</v>
      </c>
    </row>
    <row r="35" spans="1:15" x14ac:dyDescent="0.75">
      <c r="A35">
        <v>1734</v>
      </c>
      <c r="B35" t="s">
        <v>38</v>
      </c>
      <c r="C35" t="s">
        <v>51</v>
      </c>
      <c r="D35" s="15">
        <v>0</v>
      </c>
      <c r="E35" s="15">
        <v>4755.34</v>
      </c>
      <c r="F35" s="15">
        <v>627.5</v>
      </c>
      <c r="G35" s="15">
        <v>407.49</v>
      </c>
      <c r="H35" s="15">
        <v>407.49</v>
      </c>
      <c r="I35" s="15">
        <v>2229.9899999999998</v>
      </c>
      <c r="J35" s="15">
        <v>407.49</v>
      </c>
      <c r="K35" s="15">
        <v>1270.99</v>
      </c>
      <c r="L35" s="15">
        <v>1270.99</v>
      </c>
      <c r="M35" s="15">
        <v>5716.01</v>
      </c>
      <c r="N35" s="15">
        <v>4187.58</v>
      </c>
      <c r="O35" s="15">
        <v>3057.9</v>
      </c>
    </row>
    <row r="36" spans="1:15" x14ac:dyDescent="0.75">
      <c r="A36">
        <v>1846</v>
      </c>
      <c r="B36" t="s">
        <v>38</v>
      </c>
      <c r="C36" t="s">
        <v>108</v>
      </c>
      <c r="D36" s="15">
        <v>0</v>
      </c>
      <c r="E36" s="15">
        <v>17976.439999999999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</row>
    <row r="37" spans="1:15" x14ac:dyDescent="0.75">
      <c r="A37">
        <v>1735</v>
      </c>
      <c r="B37" t="s">
        <v>38</v>
      </c>
      <c r="C37" t="s">
        <v>798</v>
      </c>
      <c r="D37" s="15">
        <v>2820.54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</row>
    <row r="38" spans="1:15" x14ac:dyDescent="0.75">
      <c r="A38">
        <v>917</v>
      </c>
      <c r="B38" t="s">
        <v>38</v>
      </c>
      <c r="C38" t="s">
        <v>52</v>
      </c>
      <c r="D38" s="15">
        <v>92691.08</v>
      </c>
      <c r="E38" s="15">
        <v>56185.68</v>
      </c>
      <c r="F38" s="15">
        <v>1358.85</v>
      </c>
      <c r="G38" s="15">
        <v>81247.86</v>
      </c>
      <c r="H38" s="15">
        <v>634.48</v>
      </c>
      <c r="I38" s="15">
        <v>89380.13</v>
      </c>
      <c r="J38" s="15">
        <v>634.48</v>
      </c>
      <c r="K38" s="15">
        <v>176893.07</v>
      </c>
      <c r="L38" s="15">
        <v>176893.06</v>
      </c>
      <c r="M38" s="15">
        <v>171986.01</v>
      </c>
      <c r="N38" s="15">
        <v>64056.55</v>
      </c>
      <c r="O38" s="15">
        <v>48115.72</v>
      </c>
    </row>
    <row r="39" spans="1:15" x14ac:dyDescent="0.75">
      <c r="A39">
        <v>1736</v>
      </c>
      <c r="B39" t="s">
        <v>38</v>
      </c>
      <c r="C39" t="s">
        <v>54</v>
      </c>
      <c r="D39" s="15">
        <v>0</v>
      </c>
      <c r="E39" s="15">
        <v>3046</v>
      </c>
      <c r="F39" s="15">
        <v>0</v>
      </c>
      <c r="G39" s="15">
        <v>1196</v>
      </c>
      <c r="H39" s="15">
        <v>0</v>
      </c>
      <c r="I39" s="15">
        <v>1196</v>
      </c>
      <c r="J39" s="15">
        <v>0</v>
      </c>
      <c r="K39" s="15">
        <v>28121.279999999999</v>
      </c>
      <c r="L39" s="15">
        <v>31577.99</v>
      </c>
      <c r="M39" s="15">
        <v>34908.239999999998</v>
      </c>
      <c r="N39" s="15">
        <v>3411.67</v>
      </c>
      <c r="O39" s="15">
        <v>4552.67</v>
      </c>
    </row>
    <row r="40" spans="1:15" x14ac:dyDescent="0.75">
      <c r="A40">
        <v>1738</v>
      </c>
      <c r="B40" t="s">
        <v>38</v>
      </c>
      <c r="C40" t="s">
        <v>53</v>
      </c>
      <c r="D40" s="15">
        <v>0</v>
      </c>
      <c r="E40" s="15">
        <v>4280</v>
      </c>
      <c r="F40" s="15">
        <v>0</v>
      </c>
      <c r="G40" s="15">
        <v>1196</v>
      </c>
      <c r="H40" s="15">
        <v>0</v>
      </c>
      <c r="I40" s="15">
        <v>1196</v>
      </c>
      <c r="J40" s="15">
        <v>1056.07</v>
      </c>
      <c r="K40" s="15">
        <v>1056.07</v>
      </c>
      <c r="L40" s="15">
        <v>1056.07</v>
      </c>
      <c r="M40" s="15">
        <v>1056.07</v>
      </c>
      <c r="N40" s="15">
        <v>2247.39</v>
      </c>
      <c r="O40" s="15">
        <v>2247.39</v>
      </c>
    </row>
    <row r="41" spans="1:15" x14ac:dyDescent="0.75">
      <c r="A41">
        <v>1739</v>
      </c>
      <c r="B41" t="s">
        <v>38</v>
      </c>
      <c r="C41" t="s">
        <v>55</v>
      </c>
      <c r="D41" s="15">
        <v>2674.24</v>
      </c>
      <c r="E41" s="15">
        <v>6349.11</v>
      </c>
      <c r="F41" s="15">
        <v>0</v>
      </c>
      <c r="G41" s="15">
        <v>2031.3</v>
      </c>
      <c r="H41" s="15">
        <v>0</v>
      </c>
      <c r="I41" s="15">
        <v>1021.1</v>
      </c>
      <c r="J41" s="15">
        <v>112.23</v>
      </c>
      <c r="K41" s="15">
        <v>3008.73</v>
      </c>
      <c r="L41" s="15">
        <v>3008.73</v>
      </c>
      <c r="M41" s="15">
        <v>112.22</v>
      </c>
      <c r="N41" s="15">
        <v>1816.73</v>
      </c>
      <c r="O41" s="15">
        <v>1741.03</v>
      </c>
    </row>
    <row r="42" spans="1:15" x14ac:dyDescent="0.75">
      <c r="A42">
        <v>804</v>
      </c>
      <c r="B42" t="s">
        <v>38</v>
      </c>
      <c r="C42" t="s">
        <v>56</v>
      </c>
      <c r="D42" s="15">
        <v>27092.62</v>
      </c>
      <c r="E42" s="15">
        <v>34169.800000000003</v>
      </c>
      <c r="F42" s="15">
        <v>37805.699999999997</v>
      </c>
      <c r="G42" s="15">
        <v>40874.47</v>
      </c>
      <c r="H42" s="15">
        <v>35251.620000000003</v>
      </c>
      <c r="I42" s="15">
        <v>32221.83</v>
      </c>
      <c r="J42" s="15">
        <v>33111.78</v>
      </c>
      <c r="K42" s="15">
        <v>15380.08</v>
      </c>
      <c r="L42" s="15">
        <v>7903.9</v>
      </c>
      <c r="M42" s="15">
        <v>0</v>
      </c>
      <c r="N42" s="15">
        <v>13402.1</v>
      </c>
      <c r="O42" s="15">
        <v>1772.5</v>
      </c>
    </row>
    <row r="43" spans="1:15" x14ac:dyDescent="0.75">
      <c r="A43">
        <v>806</v>
      </c>
      <c r="B43" t="s">
        <v>38</v>
      </c>
      <c r="C43" t="s">
        <v>57</v>
      </c>
      <c r="D43" s="15">
        <v>44754.85</v>
      </c>
      <c r="E43" s="15">
        <v>56879.68</v>
      </c>
      <c r="F43" s="15">
        <v>64080.13</v>
      </c>
      <c r="G43" s="15">
        <v>72252.13</v>
      </c>
      <c r="H43" s="15">
        <v>72061.509999999995</v>
      </c>
      <c r="I43" s="15">
        <v>72388.509999999995</v>
      </c>
      <c r="J43" s="15">
        <v>72622.61</v>
      </c>
      <c r="K43" s="15">
        <v>63371.57</v>
      </c>
      <c r="L43" s="15">
        <v>47532.97</v>
      </c>
      <c r="M43" s="15">
        <v>34216.69</v>
      </c>
      <c r="N43" s="15">
        <v>41516.81</v>
      </c>
      <c r="O43" s="15">
        <v>1656.7</v>
      </c>
    </row>
    <row r="44" spans="1:15" x14ac:dyDescent="0.75">
      <c r="A44">
        <v>717</v>
      </c>
      <c r="B44" t="s">
        <v>38</v>
      </c>
      <c r="C44" t="s">
        <v>58</v>
      </c>
      <c r="D44" s="15">
        <v>15450.61</v>
      </c>
      <c r="E44" s="15">
        <v>86170.66</v>
      </c>
      <c r="F44" s="15">
        <v>77394.16</v>
      </c>
      <c r="G44" s="15">
        <v>70811.360000000001</v>
      </c>
      <c r="H44" s="15">
        <v>67203.929999999993</v>
      </c>
      <c r="I44" s="15">
        <v>67171.48</v>
      </c>
      <c r="J44" s="15">
        <v>77459.22</v>
      </c>
      <c r="K44" s="15">
        <v>75967.28</v>
      </c>
      <c r="L44" s="15">
        <v>61571.72</v>
      </c>
      <c r="M44" s="15">
        <v>62877.56</v>
      </c>
      <c r="N44" s="15">
        <v>70522.02</v>
      </c>
      <c r="O44" s="15">
        <v>67176.02</v>
      </c>
    </row>
    <row r="45" spans="1:15" x14ac:dyDescent="0.75">
      <c r="A45">
        <v>1817</v>
      </c>
      <c r="B45" t="s">
        <v>38</v>
      </c>
      <c r="C45" t="s">
        <v>799</v>
      </c>
      <c r="D45" s="15">
        <v>0</v>
      </c>
      <c r="E45" s="15">
        <v>482.2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</row>
    <row r="46" spans="1:15" x14ac:dyDescent="0.75">
      <c r="A46">
        <v>1818</v>
      </c>
      <c r="B46" t="s">
        <v>38</v>
      </c>
      <c r="C46" t="s">
        <v>59</v>
      </c>
      <c r="D46" s="15">
        <v>11.4</v>
      </c>
      <c r="E46" s="15">
        <v>99556.89</v>
      </c>
      <c r="F46" s="15">
        <v>96106.78</v>
      </c>
      <c r="G46" s="15">
        <v>56266.73</v>
      </c>
      <c r="H46" s="15">
        <v>7123.67</v>
      </c>
      <c r="I46" s="15">
        <v>6426.25</v>
      </c>
      <c r="J46" s="15">
        <v>21565.93</v>
      </c>
      <c r="K46" s="15">
        <v>28062.28</v>
      </c>
      <c r="L46" s="15">
        <v>18446.68</v>
      </c>
      <c r="M46" s="15">
        <v>17709.400000000001</v>
      </c>
      <c r="N46" s="15">
        <v>27286.84</v>
      </c>
      <c r="O46" s="15">
        <v>26428.92</v>
      </c>
    </row>
    <row r="47" spans="1:15" x14ac:dyDescent="0.75">
      <c r="A47">
        <v>718</v>
      </c>
      <c r="B47" t="s">
        <v>38</v>
      </c>
      <c r="C47" t="s">
        <v>60</v>
      </c>
      <c r="D47" s="15">
        <v>0</v>
      </c>
      <c r="E47" s="15">
        <v>145.30000000000001</v>
      </c>
      <c r="F47" s="15">
        <v>145.30000000000001</v>
      </c>
      <c r="G47" s="15">
        <v>145.30000000000001</v>
      </c>
      <c r="H47" s="15">
        <v>145.30000000000001</v>
      </c>
      <c r="I47" s="15">
        <v>145.30000000000001</v>
      </c>
      <c r="J47" s="15">
        <v>145.30000000000001</v>
      </c>
      <c r="K47" s="15">
        <v>145.30000000000001</v>
      </c>
      <c r="L47" s="15">
        <v>145.30000000000001</v>
      </c>
      <c r="M47" s="15">
        <v>145.30000000000001</v>
      </c>
      <c r="N47" s="15">
        <v>145.30000000000001</v>
      </c>
      <c r="O47" s="15">
        <v>145.30000000000001</v>
      </c>
    </row>
    <row r="48" spans="1:15" x14ac:dyDescent="0.75">
      <c r="A48">
        <v>1308</v>
      </c>
      <c r="B48" t="s">
        <v>38</v>
      </c>
      <c r="C48" t="s">
        <v>800</v>
      </c>
      <c r="D48" s="15">
        <v>17105.77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</row>
    <row r="49" spans="1:15" x14ac:dyDescent="0.75">
      <c r="A49">
        <v>1819</v>
      </c>
      <c r="B49" t="s">
        <v>38</v>
      </c>
      <c r="C49" t="s">
        <v>801</v>
      </c>
      <c r="D49" s="15">
        <v>0</v>
      </c>
      <c r="E49" s="15">
        <v>244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</row>
    <row r="50" spans="1:15" x14ac:dyDescent="0.75">
      <c r="A50">
        <v>719</v>
      </c>
      <c r="B50" t="s">
        <v>38</v>
      </c>
      <c r="C50" t="s">
        <v>61</v>
      </c>
      <c r="D50" s="15">
        <v>123712.92</v>
      </c>
      <c r="E50" s="15">
        <v>-4022.9</v>
      </c>
      <c r="F50" s="15">
        <v>-2148.5500000000002</v>
      </c>
      <c r="G50" s="15">
        <v>45831.13</v>
      </c>
      <c r="H50" s="15">
        <v>96689.75</v>
      </c>
      <c r="I50" s="15">
        <v>100960.59</v>
      </c>
      <c r="J50" s="15">
        <v>105119.46</v>
      </c>
      <c r="K50" s="15">
        <v>105115.74</v>
      </c>
      <c r="L50" s="15">
        <v>102915.2</v>
      </c>
      <c r="M50" s="15">
        <v>105256.87</v>
      </c>
      <c r="N50" s="15">
        <v>106495.13</v>
      </c>
      <c r="O50" s="15">
        <v>105414.36</v>
      </c>
    </row>
    <row r="51" spans="1:15" x14ac:dyDescent="0.75">
      <c r="A51">
        <v>1820</v>
      </c>
      <c r="B51" t="s">
        <v>38</v>
      </c>
      <c r="C51" t="s">
        <v>802</v>
      </c>
      <c r="D51" s="15">
        <v>0</v>
      </c>
      <c r="E51" s="15">
        <v>244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</row>
    <row r="52" spans="1:15" x14ac:dyDescent="0.75">
      <c r="A52">
        <v>1821</v>
      </c>
      <c r="B52" t="s">
        <v>38</v>
      </c>
      <c r="C52" t="s">
        <v>62</v>
      </c>
      <c r="D52" s="15">
        <v>1500.2</v>
      </c>
      <c r="E52" s="15">
        <v>8045.8</v>
      </c>
      <c r="F52" s="15">
        <v>9471.89</v>
      </c>
      <c r="G52" s="15">
        <v>10162.89</v>
      </c>
      <c r="H52" s="15">
        <v>10668.3</v>
      </c>
      <c r="I52" s="15">
        <v>12582.3</v>
      </c>
      <c r="J52" s="15">
        <v>14276.6</v>
      </c>
      <c r="K52" s="15">
        <v>11801.2</v>
      </c>
      <c r="L52" s="15">
        <v>8991.2999999999993</v>
      </c>
      <c r="M52" s="15">
        <v>9933</v>
      </c>
      <c r="N52" s="15">
        <v>12294.6</v>
      </c>
      <c r="O52" s="15">
        <v>12284.8</v>
      </c>
    </row>
    <row r="53" spans="1:15" x14ac:dyDescent="0.75">
      <c r="A53">
        <v>1822</v>
      </c>
      <c r="B53" t="s">
        <v>38</v>
      </c>
      <c r="C53" t="s">
        <v>803</v>
      </c>
      <c r="D53" s="15">
        <v>0</v>
      </c>
      <c r="E53" s="15">
        <v>772.89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</row>
    <row r="54" spans="1:15" x14ac:dyDescent="0.75">
      <c r="A54">
        <v>1823</v>
      </c>
      <c r="B54" t="s">
        <v>38</v>
      </c>
      <c r="C54" t="s">
        <v>804</v>
      </c>
      <c r="D54" s="15">
        <v>0</v>
      </c>
      <c r="E54" s="15">
        <v>597.37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</row>
    <row r="55" spans="1:15" x14ac:dyDescent="0.75">
      <c r="A55">
        <v>714</v>
      </c>
      <c r="B55" t="s">
        <v>38</v>
      </c>
      <c r="C55" t="s">
        <v>63</v>
      </c>
      <c r="D55" s="15">
        <v>106476.34</v>
      </c>
      <c r="E55" s="15">
        <v>50818.69</v>
      </c>
      <c r="F55" s="15">
        <v>48706.09</v>
      </c>
      <c r="G55" s="15">
        <v>50357.36</v>
      </c>
      <c r="H55" s="15">
        <v>46681.34</v>
      </c>
      <c r="I55" s="15">
        <v>41542.33</v>
      </c>
      <c r="J55" s="15">
        <v>47386.080000000002</v>
      </c>
      <c r="K55" s="15">
        <v>49089.39</v>
      </c>
      <c r="L55" s="15">
        <v>44344.33</v>
      </c>
      <c r="M55" s="15">
        <v>45236.57</v>
      </c>
      <c r="N55" s="15">
        <v>49553.31</v>
      </c>
      <c r="O55" s="15">
        <v>51519.24</v>
      </c>
    </row>
    <row r="56" spans="1:15" x14ac:dyDescent="0.75">
      <c r="A56">
        <v>1024</v>
      </c>
      <c r="B56" t="s">
        <v>38</v>
      </c>
      <c r="C56" t="s">
        <v>64</v>
      </c>
      <c r="D56" s="15">
        <v>75604.39</v>
      </c>
      <c r="E56" s="15">
        <v>287178.15999999997</v>
      </c>
      <c r="F56" s="15">
        <v>454732.22</v>
      </c>
      <c r="G56" s="15">
        <v>405878.32</v>
      </c>
      <c r="H56" s="15">
        <v>403640.82</v>
      </c>
      <c r="I56" s="15">
        <v>387830.07</v>
      </c>
      <c r="J56" s="15">
        <v>297363.07</v>
      </c>
      <c r="K56" s="15">
        <v>478363.07</v>
      </c>
      <c r="L56" s="15">
        <v>545249.81999999995</v>
      </c>
      <c r="M56" s="15">
        <v>520553.53</v>
      </c>
      <c r="N56" s="15">
        <v>562959.54</v>
      </c>
      <c r="O56" s="15">
        <v>494434.48</v>
      </c>
    </row>
    <row r="57" spans="1:15" x14ac:dyDescent="0.75">
      <c r="A57">
        <v>1824</v>
      </c>
      <c r="B57" t="s">
        <v>38</v>
      </c>
      <c r="C57" t="s">
        <v>805</v>
      </c>
      <c r="D57" s="15">
        <v>0</v>
      </c>
      <c r="E57" s="15">
        <v>366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</row>
    <row r="58" spans="1:15" x14ac:dyDescent="0.75">
      <c r="A58">
        <v>1825</v>
      </c>
      <c r="B58" t="s">
        <v>38</v>
      </c>
      <c r="C58" t="s">
        <v>806</v>
      </c>
      <c r="D58" s="15">
        <v>0</v>
      </c>
      <c r="E58" s="15">
        <v>104.64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</row>
    <row r="59" spans="1:15" x14ac:dyDescent="0.75">
      <c r="A59">
        <v>1199</v>
      </c>
      <c r="B59" t="s">
        <v>38</v>
      </c>
      <c r="C59" t="s">
        <v>269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11200</v>
      </c>
      <c r="M59" s="15">
        <v>11200</v>
      </c>
      <c r="N59" s="15">
        <v>11400</v>
      </c>
      <c r="O59" s="15">
        <v>11400</v>
      </c>
    </row>
    <row r="60" spans="1:15" x14ac:dyDescent="0.75">
      <c r="A60">
        <v>886</v>
      </c>
      <c r="B60" t="s">
        <v>38</v>
      </c>
      <c r="C60" t="s">
        <v>65</v>
      </c>
      <c r="D60" s="15">
        <v>0</v>
      </c>
      <c r="E60" s="15">
        <v>57.41</v>
      </c>
      <c r="F60" s="15">
        <v>57.41</v>
      </c>
      <c r="G60" s="15">
        <v>57.41</v>
      </c>
      <c r="H60" s="15">
        <v>57.41</v>
      </c>
      <c r="I60" s="15">
        <v>57.41</v>
      </c>
      <c r="J60" s="15">
        <v>57.41</v>
      </c>
      <c r="K60" s="15">
        <v>57.41</v>
      </c>
      <c r="L60" s="15">
        <v>57.41</v>
      </c>
      <c r="M60" s="15">
        <v>57.41</v>
      </c>
      <c r="N60" s="15">
        <v>57.41</v>
      </c>
      <c r="O60" s="15">
        <v>57.41</v>
      </c>
    </row>
    <row r="61" spans="1:15" x14ac:dyDescent="0.75">
      <c r="A61">
        <v>883</v>
      </c>
      <c r="B61" t="s">
        <v>38</v>
      </c>
      <c r="C61" t="s">
        <v>66</v>
      </c>
      <c r="D61" s="15">
        <v>113765.42</v>
      </c>
      <c r="E61" s="15">
        <v>94821.19</v>
      </c>
      <c r="F61" s="15">
        <v>109187.02</v>
      </c>
      <c r="G61" s="15">
        <v>121708.56</v>
      </c>
      <c r="H61" s="15">
        <v>120112.1</v>
      </c>
      <c r="I61" s="15">
        <v>122841.35</v>
      </c>
      <c r="J61" s="15">
        <v>128669.55</v>
      </c>
      <c r="K61" s="15">
        <v>123565.99</v>
      </c>
      <c r="L61" s="15">
        <v>107552.86</v>
      </c>
      <c r="M61" s="15">
        <v>114007.49</v>
      </c>
      <c r="N61" s="15">
        <v>119896</v>
      </c>
      <c r="O61" s="15">
        <v>127570.96</v>
      </c>
    </row>
    <row r="62" spans="1:15" x14ac:dyDescent="0.75">
      <c r="A62">
        <v>885</v>
      </c>
      <c r="B62" t="s">
        <v>38</v>
      </c>
      <c r="C62" t="s">
        <v>67</v>
      </c>
      <c r="D62" s="15">
        <v>18231.990000000002</v>
      </c>
      <c r="E62" s="15">
        <v>20338.419999999998</v>
      </c>
      <c r="F62" s="15">
        <v>15159.25</v>
      </c>
      <c r="G62" s="15">
        <v>10597.32</v>
      </c>
      <c r="H62" s="15">
        <v>6716.94</v>
      </c>
      <c r="I62" s="15">
        <v>7344.85</v>
      </c>
      <c r="J62" s="15">
        <v>14652.49</v>
      </c>
      <c r="K62" s="15">
        <v>23267.68</v>
      </c>
      <c r="L62" s="15">
        <v>26728</v>
      </c>
      <c r="M62" s="15">
        <v>23874.560000000001</v>
      </c>
      <c r="N62" s="15">
        <v>24636.79</v>
      </c>
      <c r="O62" s="15">
        <v>27825.86</v>
      </c>
    </row>
    <row r="63" spans="1:15" x14ac:dyDescent="0.75">
      <c r="A63">
        <v>882</v>
      </c>
      <c r="B63" t="s">
        <v>38</v>
      </c>
      <c r="C63" t="s">
        <v>68</v>
      </c>
      <c r="D63" s="15">
        <v>15476.71</v>
      </c>
      <c r="E63" s="15">
        <v>12013.26</v>
      </c>
      <c r="F63" s="15">
        <v>11107.9</v>
      </c>
      <c r="G63" s="15">
        <v>9116.14</v>
      </c>
      <c r="H63" s="15">
        <v>6794.57</v>
      </c>
      <c r="I63" s="15">
        <v>5595.36</v>
      </c>
      <c r="J63" s="15">
        <v>6200.1</v>
      </c>
      <c r="K63" s="15">
        <v>5721.23</v>
      </c>
      <c r="L63" s="15">
        <v>3582.04</v>
      </c>
      <c r="M63" s="15">
        <v>3985.7</v>
      </c>
      <c r="N63" s="15">
        <v>4951.51</v>
      </c>
      <c r="O63" s="15">
        <v>5744.94</v>
      </c>
    </row>
    <row r="64" spans="1:15" x14ac:dyDescent="0.75">
      <c r="A64">
        <v>884</v>
      </c>
      <c r="B64" t="s">
        <v>38</v>
      </c>
      <c r="C64" t="s">
        <v>69</v>
      </c>
      <c r="D64" s="15">
        <v>102365.12</v>
      </c>
      <c r="E64" s="15">
        <v>74293.3</v>
      </c>
      <c r="F64" s="15">
        <v>76280.039999999994</v>
      </c>
      <c r="G64" s="15">
        <v>64634.27</v>
      </c>
      <c r="H64" s="15">
        <v>54441.53</v>
      </c>
      <c r="I64" s="15">
        <v>84885.19</v>
      </c>
      <c r="J64" s="15">
        <v>90993.600000000006</v>
      </c>
      <c r="K64" s="15">
        <v>90754</v>
      </c>
      <c r="L64" s="15">
        <v>74051.27</v>
      </c>
      <c r="M64" s="15">
        <v>73545.67</v>
      </c>
      <c r="N64" s="15">
        <v>93011.8</v>
      </c>
      <c r="O64" s="15">
        <v>99339.59</v>
      </c>
    </row>
    <row r="65" spans="1:15" x14ac:dyDescent="0.75">
      <c r="A65">
        <v>881</v>
      </c>
      <c r="B65" t="s">
        <v>38</v>
      </c>
      <c r="C65" t="s">
        <v>951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356</v>
      </c>
      <c r="J65" s="15">
        <v>4136</v>
      </c>
      <c r="K65" s="15">
        <v>5566.5</v>
      </c>
      <c r="L65" s="15">
        <v>7875.39</v>
      </c>
      <c r="M65" s="15">
        <v>7778.89</v>
      </c>
      <c r="N65" s="15">
        <v>4451.75</v>
      </c>
      <c r="O65" s="15">
        <v>7425.12</v>
      </c>
    </row>
    <row r="66" spans="1:15" x14ac:dyDescent="0.75">
      <c r="A66">
        <v>1025</v>
      </c>
      <c r="B66" t="s">
        <v>38</v>
      </c>
      <c r="C66" t="s">
        <v>70</v>
      </c>
      <c r="D66" s="15">
        <v>90629.79</v>
      </c>
      <c r="E66" s="15">
        <v>67131.570000000007</v>
      </c>
      <c r="F66" s="15">
        <v>65790.34</v>
      </c>
      <c r="G66" s="15">
        <v>55016.77</v>
      </c>
      <c r="H66" s="15">
        <v>43416.78</v>
      </c>
      <c r="I66" s="15">
        <v>42647.839999999997</v>
      </c>
      <c r="J66" s="15">
        <v>55141.75</v>
      </c>
      <c r="K66" s="15">
        <v>59096.81</v>
      </c>
      <c r="L66" s="15">
        <v>54105.09</v>
      </c>
      <c r="M66" s="15">
        <v>50617.279999999999</v>
      </c>
      <c r="N66" s="15">
        <v>60841</v>
      </c>
      <c r="O66" s="15">
        <v>57618.879999999997</v>
      </c>
    </row>
    <row r="67" spans="1:15" x14ac:dyDescent="0.75">
      <c r="A67">
        <v>707</v>
      </c>
      <c r="B67" t="s">
        <v>38</v>
      </c>
      <c r="C67" t="s">
        <v>71</v>
      </c>
      <c r="D67" s="15">
        <v>99932.47</v>
      </c>
      <c r="E67" s="15">
        <v>26340.14</v>
      </c>
      <c r="F67" s="15">
        <v>89830.49</v>
      </c>
      <c r="G67" s="15">
        <v>65227.72</v>
      </c>
      <c r="H67" s="15">
        <v>121490.47</v>
      </c>
      <c r="I67" s="15">
        <v>70889.429999999993</v>
      </c>
      <c r="J67" s="15">
        <v>67763.5</v>
      </c>
      <c r="K67" s="15">
        <v>3779.12</v>
      </c>
      <c r="L67" s="15">
        <v>86835.77</v>
      </c>
      <c r="M67" s="15">
        <v>54018.12</v>
      </c>
      <c r="N67" s="15">
        <v>94066.97</v>
      </c>
      <c r="O67" s="15">
        <v>31934.400000000001</v>
      </c>
    </row>
    <row r="68" spans="1:15" x14ac:dyDescent="0.75">
      <c r="A68">
        <v>721</v>
      </c>
      <c r="B68" t="s">
        <v>38</v>
      </c>
      <c r="C68" t="s">
        <v>807</v>
      </c>
      <c r="D68" s="15">
        <v>48751.68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</row>
    <row r="69" spans="1:15" x14ac:dyDescent="0.75">
      <c r="A69">
        <v>975</v>
      </c>
      <c r="B69" t="s">
        <v>38</v>
      </c>
      <c r="C69" t="s">
        <v>72</v>
      </c>
      <c r="D69" s="15">
        <v>35422.120000000003</v>
      </c>
      <c r="E69" s="15">
        <v>28401.88</v>
      </c>
      <c r="F69" s="15">
        <v>41076.879999999997</v>
      </c>
      <c r="G69" s="15">
        <v>32184.880000000001</v>
      </c>
      <c r="H69" s="15">
        <v>32184.880000000001</v>
      </c>
      <c r="I69" s="15">
        <v>32006.880000000001</v>
      </c>
      <c r="J69" s="15">
        <v>32006.880000000001</v>
      </c>
      <c r="K69" s="15">
        <v>32006.880000000001</v>
      </c>
      <c r="L69" s="15">
        <v>32006.880000000001</v>
      </c>
      <c r="M69" s="15">
        <v>32006.880000000001</v>
      </c>
      <c r="N69" s="15">
        <v>0</v>
      </c>
      <c r="O69" s="15">
        <v>0</v>
      </c>
    </row>
    <row r="70" spans="1:15" x14ac:dyDescent="0.75">
      <c r="A70">
        <v>1005</v>
      </c>
      <c r="B70" t="s">
        <v>38</v>
      </c>
      <c r="C70" t="s">
        <v>808</v>
      </c>
      <c r="D70" s="15">
        <v>139925.18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</row>
    <row r="71" spans="1:15" x14ac:dyDescent="0.75">
      <c r="A71">
        <v>1743</v>
      </c>
      <c r="B71" t="s">
        <v>38</v>
      </c>
      <c r="C71" t="s">
        <v>73</v>
      </c>
      <c r="D71" s="15">
        <v>28774.15</v>
      </c>
      <c r="E71" s="15">
        <v>19492.810000000001</v>
      </c>
      <c r="F71" s="15">
        <v>61029.91</v>
      </c>
      <c r="G71" s="15">
        <v>11446.34</v>
      </c>
      <c r="H71" s="15">
        <v>37740.730000000003</v>
      </c>
      <c r="I71" s="15">
        <v>62257</v>
      </c>
      <c r="J71" s="15">
        <v>127406.68</v>
      </c>
      <c r="K71" s="15">
        <v>107211.28</v>
      </c>
      <c r="L71" s="15">
        <v>49967.38</v>
      </c>
      <c r="M71" s="15">
        <v>0</v>
      </c>
      <c r="N71" s="15">
        <v>0</v>
      </c>
      <c r="O71" s="15">
        <v>0</v>
      </c>
    </row>
    <row r="72" spans="1:15" x14ac:dyDescent="0.75">
      <c r="A72">
        <v>1745</v>
      </c>
      <c r="B72" t="s">
        <v>38</v>
      </c>
      <c r="C72" t="s">
        <v>809</v>
      </c>
      <c r="D72" s="15">
        <v>22060.720000000001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</row>
    <row r="73" spans="1:15" x14ac:dyDescent="0.75">
      <c r="A73">
        <v>1742</v>
      </c>
      <c r="B73" t="s">
        <v>38</v>
      </c>
      <c r="C73" t="s">
        <v>77</v>
      </c>
      <c r="D73" s="15">
        <v>88359.03</v>
      </c>
      <c r="E73" s="15">
        <v>96085.91</v>
      </c>
      <c r="F73" s="15">
        <v>217649.42</v>
      </c>
      <c r="G73" s="15">
        <v>69229.259999999995</v>
      </c>
      <c r="H73" s="15">
        <v>150867.51</v>
      </c>
      <c r="I73" s="15">
        <v>337133.75</v>
      </c>
      <c r="J73" s="15">
        <v>293111.01</v>
      </c>
      <c r="K73" s="15">
        <v>222757.75</v>
      </c>
      <c r="L73" s="15">
        <v>13734.9</v>
      </c>
      <c r="M73" s="15">
        <v>913.82</v>
      </c>
      <c r="N73" s="15">
        <v>913.82</v>
      </c>
      <c r="O73" s="15">
        <v>913.82</v>
      </c>
    </row>
    <row r="74" spans="1:15" x14ac:dyDescent="0.75">
      <c r="A74">
        <v>1741</v>
      </c>
      <c r="B74" t="s">
        <v>38</v>
      </c>
      <c r="C74" t="s">
        <v>74</v>
      </c>
      <c r="D74" s="15">
        <v>43346.239999999998</v>
      </c>
      <c r="E74" s="15">
        <v>17359.21</v>
      </c>
      <c r="F74" s="15">
        <v>38974.980000000003</v>
      </c>
      <c r="G74" s="15">
        <v>7278.37</v>
      </c>
      <c r="H74" s="15">
        <v>28107.39</v>
      </c>
      <c r="I74" s="15">
        <v>50241.760000000002</v>
      </c>
      <c r="J74" s="15">
        <v>49533.72</v>
      </c>
      <c r="K74" s="15">
        <v>42182.76</v>
      </c>
      <c r="L74" s="15">
        <v>683.54</v>
      </c>
      <c r="M74" s="15">
        <v>683.54</v>
      </c>
      <c r="N74" s="15">
        <v>683.54</v>
      </c>
      <c r="O74" s="15">
        <v>683.54</v>
      </c>
    </row>
    <row r="75" spans="1:15" x14ac:dyDescent="0.75">
      <c r="A75">
        <v>1026</v>
      </c>
      <c r="B75" t="s">
        <v>38</v>
      </c>
      <c r="C75" t="s">
        <v>75</v>
      </c>
      <c r="D75" s="15">
        <v>118927.87</v>
      </c>
      <c r="E75" s="15">
        <v>42261.54</v>
      </c>
      <c r="F75" s="15">
        <v>114145.25</v>
      </c>
      <c r="G75" s="15">
        <v>7108</v>
      </c>
      <c r="H75" s="15">
        <v>106044.44</v>
      </c>
      <c r="I75" s="15">
        <v>188837.36</v>
      </c>
      <c r="J75" s="15">
        <v>215628.26</v>
      </c>
      <c r="K75" s="15">
        <v>216974.39</v>
      </c>
      <c r="L75" s="15">
        <v>102709.33</v>
      </c>
      <c r="M75" s="15">
        <v>0</v>
      </c>
      <c r="N75" s="15">
        <v>0</v>
      </c>
      <c r="O75" s="15">
        <v>0</v>
      </c>
    </row>
    <row r="76" spans="1:15" x14ac:dyDescent="0.75">
      <c r="A76">
        <v>1744</v>
      </c>
      <c r="B76" t="s">
        <v>38</v>
      </c>
      <c r="C76" t="s">
        <v>76</v>
      </c>
      <c r="D76" s="15">
        <v>15980.18</v>
      </c>
      <c r="E76" s="15">
        <v>805.45</v>
      </c>
      <c r="F76" s="15">
        <v>805.45</v>
      </c>
      <c r="G76" s="15">
        <v>805.45</v>
      </c>
      <c r="H76" s="15">
        <v>805.45</v>
      </c>
      <c r="I76" s="15">
        <v>805.45</v>
      </c>
      <c r="J76" s="15">
        <v>805.45</v>
      </c>
      <c r="K76" s="15">
        <v>805.45</v>
      </c>
      <c r="L76" s="15">
        <v>805.45</v>
      </c>
      <c r="M76" s="15">
        <v>805.45</v>
      </c>
      <c r="N76" s="15">
        <v>805.45</v>
      </c>
      <c r="O76" s="15">
        <v>805.45</v>
      </c>
    </row>
    <row r="77" spans="1:15" x14ac:dyDescent="0.75">
      <c r="A77">
        <v>1848</v>
      </c>
      <c r="B77" t="s">
        <v>78</v>
      </c>
      <c r="C77" t="s">
        <v>79</v>
      </c>
      <c r="D77" s="15">
        <v>0</v>
      </c>
      <c r="E77" s="15">
        <v>330.9</v>
      </c>
      <c r="F77" s="15">
        <v>330.9</v>
      </c>
      <c r="G77" s="15">
        <v>3198.25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</row>
    <row r="78" spans="1:15" x14ac:dyDescent="0.75">
      <c r="A78">
        <v>1798</v>
      </c>
      <c r="B78" t="s">
        <v>78</v>
      </c>
      <c r="C78" t="s">
        <v>80</v>
      </c>
      <c r="D78" s="15">
        <v>0</v>
      </c>
      <c r="E78" s="15">
        <v>1594.29</v>
      </c>
      <c r="F78" s="15">
        <v>5666.08</v>
      </c>
      <c r="G78" s="15">
        <v>1929.23</v>
      </c>
      <c r="H78" s="15">
        <v>420.63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</row>
    <row r="79" spans="1:15" x14ac:dyDescent="0.75">
      <c r="A79">
        <v>1665</v>
      </c>
      <c r="B79" t="s">
        <v>78</v>
      </c>
      <c r="C79" t="s">
        <v>810</v>
      </c>
      <c r="D79" s="15">
        <v>192</v>
      </c>
      <c r="E79" s="15">
        <v>0</v>
      </c>
      <c r="F79" s="15">
        <v>0</v>
      </c>
      <c r="G79" s="15">
        <v>0</v>
      </c>
      <c r="H79" s="15">
        <v>0</v>
      </c>
      <c r="I79" s="15">
        <v>118</v>
      </c>
      <c r="J79" s="15">
        <v>0</v>
      </c>
      <c r="K79" s="15">
        <v>1426.5</v>
      </c>
      <c r="L79" s="15">
        <v>0</v>
      </c>
      <c r="M79" s="15">
        <v>0</v>
      </c>
      <c r="N79" s="15">
        <v>0</v>
      </c>
      <c r="O79" s="15">
        <v>0</v>
      </c>
    </row>
    <row r="80" spans="1:15" x14ac:dyDescent="0.75">
      <c r="A80">
        <v>1788</v>
      </c>
      <c r="B80" t="s">
        <v>78</v>
      </c>
      <c r="C80" t="s">
        <v>81</v>
      </c>
      <c r="D80" s="15">
        <v>3636.3</v>
      </c>
      <c r="E80" s="15">
        <v>1025.5</v>
      </c>
      <c r="F80" s="15">
        <v>1789</v>
      </c>
      <c r="G80" s="15">
        <v>1486</v>
      </c>
      <c r="H80" s="15">
        <v>3497</v>
      </c>
      <c r="I80" s="15">
        <v>1638</v>
      </c>
      <c r="J80" s="15">
        <v>3479</v>
      </c>
      <c r="K80" s="15">
        <v>0</v>
      </c>
      <c r="L80" s="15">
        <v>1389.5</v>
      </c>
      <c r="M80" s="15">
        <v>2588</v>
      </c>
      <c r="N80" s="15">
        <v>1277</v>
      </c>
      <c r="O80" s="15">
        <v>0</v>
      </c>
    </row>
    <row r="81" spans="1:15" x14ac:dyDescent="0.75">
      <c r="A81">
        <v>1543</v>
      </c>
      <c r="B81" t="s">
        <v>78</v>
      </c>
      <c r="C81" t="s">
        <v>82</v>
      </c>
      <c r="D81" s="15">
        <v>3865.67</v>
      </c>
      <c r="E81" s="15">
        <v>0</v>
      </c>
      <c r="F81" s="15">
        <v>1608.71</v>
      </c>
      <c r="G81" s="15">
        <v>686.64</v>
      </c>
      <c r="H81" s="15">
        <v>989.35</v>
      </c>
      <c r="I81" s="15">
        <v>876.59</v>
      </c>
      <c r="J81" s="15">
        <v>577.61</v>
      </c>
      <c r="K81" s="15">
        <v>731.03</v>
      </c>
      <c r="L81" s="15">
        <v>658.5</v>
      </c>
      <c r="M81" s="15">
        <v>504.65</v>
      </c>
      <c r="N81" s="15">
        <v>698.95</v>
      </c>
      <c r="O81" s="15">
        <v>24.29</v>
      </c>
    </row>
    <row r="82" spans="1:15" x14ac:dyDescent="0.75">
      <c r="A82">
        <v>1508</v>
      </c>
      <c r="B82" t="s">
        <v>78</v>
      </c>
      <c r="C82" t="s">
        <v>83</v>
      </c>
      <c r="D82" s="15">
        <v>0</v>
      </c>
      <c r="E82" s="15">
        <v>1920.19</v>
      </c>
      <c r="F82" s="15">
        <v>1920.19</v>
      </c>
      <c r="G82" s="15">
        <v>1920.19</v>
      </c>
      <c r="H82" s="15">
        <v>1920.19</v>
      </c>
      <c r="I82" s="15">
        <v>1920.19</v>
      </c>
      <c r="J82" s="15">
        <v>1920.19</v>
      </c>
      <c r="K82" s="15">
        <v>1920.19</v>
      </c>
      <c r="L82" s="15">
        <v>22062.29</v>
      </c>
      <c r="M82" s="15">
        <v>95165.89</v>
      </c>
      <c r="N82" s="15">
        <v>121607.6</v>
      </c>
      <c r="O82" s="15">
        <v>124033.74</v>
      </c>
    </row>
    <row r="83" spans="1:15" x14ac:dyDescent="0.75">
      <c r="A83">
        <v>1527</v>
      </c>
      <c r="B83" t="s">
        <v>78</v>
      </c>
      <c r="C83" t="s">
        <v>84</v>
      </c>
      <c r="D83" s="15">
        <v>0</v>
      </c>
      <c r="E83" s="15">
        <v>29.5</v>
      </c>
      <c r="F83" s="15">
        <v>29.5</v>
      </c>
      <c r="G83" s="15">
        <v>29.5</v>
      </c>
      <c r="H83" s="15">
        <v>29.5</v>
      </c>
      <c r="I83" s="15">
        <v>29.5</v>
      </c>
      <c r="J83" s="15">
        <v>29.5</v>
      </c>
      <c r="K83" s="15">
        <v>29.5</v>
      </c>
      <c r="L83" s="15">
        <v>29.5</v>
      </c>
      <c r="M83" s="15">
        <v>29.5</v>
      </c>
      <c r="N83" s="15">
        <v>29.5</v>
      </c>
      <c r="O83" s="15">
        <v>29.5</v>
      </c>
    </row>
    <row r="84" spans="1:15" x14ac:dyDescent="0.75">
      <c r="A84">
        <v>1901</v>
      </c>
      <c r="B84" t="s">
        <v>78</v>
      </c>
      <c r="C84" t="s">
        <v>952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484.5</v>
      </c>
      <c r="J84" s="15">
        <v>484.5</v>
      </c>
      <c r="K84" s="15">
        <v>484.5</v>
      </c>
      <c r="L84" s="15">
        <v>484.5</v>
      </c>
      <c r="M84" s="15">
        <v>484.5</v>
      </c>
      <c r="N84" s="15">
        <v>484.5</v>
      </c>
      <c r="O84" s="15">
        <v>484.5</v>
      </c>
    </row>
    <row r="85" spans="1:15" x14ac:dyDescent="0.75">
      <c r="A85">
        <v>1765</v>
      </c>
      <c r="B85" t="s">
        <v>78</v>
      </c>
      <c r="C85" t="s">
        <v>85</v>
      </c>
      <c r="D85" s="15">
        <v>85240.6</v>
      </c>
      <c r="E85" s="15">
        <v>63029.8</v>
      </c>
      <c r="F85" s="15">
        <v>65134.49</v>
      </c>
      <c r="G85" s="15">
        <v>80686.600000000006</v>
      </c>
      <c r="H85" s="15">
        <v>78654.289999999994</v>
      </c>
      <c r="I85" s="15">
        <v>83888.07</v>
      </c>
      <c r="J85" s="15">
        <v>71764.87</v>
      </c>
      <c r="K85" s="15">
        <v>63394.97</v>
      </c>
      <c r="L85" s="15">
        <v>73435.09</v>
      </c>
      <c r="M85" s="15">
        <v>66630.23</v>
      </c>
      <c r="N85" s="15">
        <v>57739.68</v>
      </c>
      <c r="O85" s="15">
        <v>72373.02</v>
      </c>
    </row>
    <row r="86" spans="1:15" x14ac:dyDescent="0.75">
      <c r="A86">
        <v>1849</v>
      </c>
      <c r="B86" t="s">
        <v>86</v>
      </c>
      <c r="C86" t="s">
        <v>87</v>
      </c>
      <c r="D86" s="15">
        <v>0</v>
      </c>
      <c r="E86" s="15">
        <v>3284.49</v>
      </c>
      <c r="F86" s="15">
        <v>3284.49</v>
      </c>
      <c r="G86" s="15">
        <v>9912.07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</row>
    <row r="87" spans="1:15" x14ac:dyDescent="0.75">
      <c r="A87">
        <v>1751</v>
      </c>
      <c r="B87" t="s">
        <v>86</v>
      </c>
      <c r="C87" t="s">
        <v>88</v>
      </c>
      <c r="D87" s="15">
        <v>4767</v>
      </c>
      <c r="E87" s="15">
        <v>7646.1</v>
      </c>
      <c r="F87" s="15">
        <v>8972.24</v>
      </c>
      <c r="G87" s="15">
        <v>7573.84</v>
      </c>
      <c r="H87" s="15">
        <v>9334.82</v>
      </c>
      <c r="I87" s="15">
        <v>10026.57</v>
      </c>
      <c r="J87" s="15">
        <v>13467.22</v>
      </c>
      <c r="K87" s="15">
        <v>13912.49</v>
      </c>
      <c r="L87" s="15">
        <v>12646.99</v>
      </c>
      <c r="M87" s="15">
        <v>16000.92</v>
      </c>
      <c r="N87" s="15">
        <v>11159.08</v>
      </c>
      <c r="O87" s="15">
        <v>27883.39</v>
      </c>
    </row>
    <row r="88" spans="1:15" x14ac:dyDescent="0.75">
      <c r="A88">
        <v>1753</v>
      </c>
      <c r="B88" t="s">
        <v>86</v>
      </c>
      <c r="C88" t="s">
        <v>811</v>
      </c>
      <c r="D88" s="15">
        <v>3940.3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</row>
    <row r="89" spans="1:15" x14ac:dyDescent="0.75">
      <c r="A89">
        <v>1748</v>
      </c>
      <c r="B89" t="s">
        <v>86</v>
      </c>
      <c r="C89" t="s">
        <v>89</v>
      </c>
      <c r="D89" s="15">
        <v>4153.84</v>
      </c>
      <c r="E89" s="15">
        <v>5869.65</v>
      </c>
      <c r="F89" s="15">
        <v>6575.87</v>
      </c>
      <c r="G89" s="15">
        <v>4494.97</v>
      </c>
      <c r="H89" s="15">
        <v>4937.7299999999996</v>
      </c>
      <c r="I89" s="15">
        <v>9144.33</v>
      </c>
      <c r="J89" s="15">
        <v>9195.93</v>
      </c>
      <c r="K89" s="15">
        <v>7792.87</v>
      </c>
      <c r="L89" s="15">
        <v>6898.27</v>
      </c>
      <c r="M89" s="15">
        <v>9855.33</v>
      </c>
      <c r="N89" s="15">
        <v>10078.23</v>
      </c>
      <c r="O89" s="15">
        <v>14704.45</v>
      </c>
    </row>
    <row r="90" spans="1:15" x14ac:dyDescent="0.75">
      <c r="A90">
        <v>1752</v>
      </c>
      <c r="B90" t="s">
        <v>86</v>
      </c>
      <c r="C90" t="s">
        <v>90</v>
      </c>
      <c r="D90" s="15">
        <v>4997.8100000000004</v>
      </c>
      <c r="E90" s="15">
        <v>4026.55</v>
      </c>
      <c r="F90" s="15">
        <v>5203.49</v>
      </c>
      <c r="G90" s="15">
        <v>4378.6400000000003</v>
      </c>
      <c r="H90" s="15">
        <v>4959.99</v>
      </c>
      <c r="I90" s="15">
        <v>6599.52</v>
      </c>
      <c r="J90" s="15">
        <v>7656.27</v>
      </c>
      <c r="K90" s="15">
        <v>8868.94</v>
      </c>
      <c r="L90" s="15">
        <v>7803.64</v>
      </c>
      <c r="M90" s="15">
        <v>10139.34</v>
      </c>
      <c r="N90" s="15">
        <v>9140.2199999999993</v>
      </c>
      <c r="O90" s="15">
        <v>15921.52</v>
      </c>
    </row>
    <row r="91" spans="1:15" x14ac:dyDescent="0.75">
      <c r="A91">
        <v>1749</v>
      </c>
      <c r="B91" t="s">
        <v>86</v>
      </c>
      <c r="C91" t="s">
        <v>91</v>
      </c>
      <c r="D91" s="15">
        <v>5756.45</v>
      </c>
      <c r="E91" s="15">
        <v>2962.4</v>
      </c>
      <c r="F91" s="15">
        <v>3425.77</v>
      </c>
      <c r="G91" s="15">
        <v>1909.23</v>
      </c>
      <c r="H91" s="15">
        <v>108.63</v>
      </c>
      <c r="I91" s="15">
        <v>108.63</v>
      </c>
      <c r="J91" s="15">
        <v>108.63</v>
      </c>
      <c r="K91" s="15">
        <v>108.63</v>
      </c>
      <c r="L91" s="15">
        <v>108.63</v>
      </c>
      <c r="M91" s="15">
        <v>108.63</v>
      </c>
      <c r="N91" s="15">
        <v>108.63</v>
      </c>
      <c r="O91" s="15">
        <v>108.63</v>
      </c>
    </row>
    <row r="92" spans="1:15" x14ac:dyDescent="0.75">
      <c r="A92">
        <v>1696</v>
      </c>
      <c r="B92" t="s">
        <v>86</v>
      </c>
      <c r="C92" t="s">
        <v>92</v>
      </c>
      <c r="D92" s="15">
        <v>21544.85</v>
      </c>
      <c r="E92" s="15">
        <v>4348.3500000000004</v>
      </c>
      <c r="F92" s="15">
        <v>4015.37</v>
      </c>
      <c r="G92" s="15">
        <v>3585.48</v>
      </c>
      <c r="H92" s="15">
        <v>4008.01</v>
      </c>
      <c r="I92" s="15">
        <v>5815.31</v>
      </c>
      <c r="J92" s="15">
        <v>5982.26</v>
      </c>
      <c r="K92" s="15">
        <v>6625.62</v>
      </c>
      <c r="L92" s="15">
        <v>7540.37</v>
      </c>
      <c r="M92" s="15">
        <v>9137.4699999999993</v>
      </c>
      <c r="N92" s="15">
        <v>8569.0499999999993</v>
      </c>
      <c r="O92" s="15">
        <v>20755.25</v>
      </c>
    </row>
    <row r="93" spans="1:15" x14ac:dyDescent="0.75">
      <c r="A93">
        <v>1747</v>
      </c>
      <c r="B93" t="s">
        <v>86</v>
      </c>
      <c r="C93" t="s">
        <v>93</v>
      </c>
      <c r="D93" s="15">
        <v>5732.41</v>
      </c>
      <c r="E93" s="15">
        <v>8286.9</v>
      </c>
      <c r="F93" s="15">
        <v>7975.78</v>
      </c>
      <c r="G93" s="15">
        <v>5761.55</v>
      </c>
      <c r="H93" s="15">
        <v>7753.6</v>
      </c>
      <c r="I93" s="15">
        <v>11698.4</v>
      </c>
      <c r="J93" s="15">
        <v>16629.599999999999</v>
      </c>
      <c r="K93" s="15">
        <v>18218.47</v>
      </c>
      <c r="L93" s="15">
        <v>16819.919999999998</v>
      </c>
      <c r="M93" s="15">
        <v>23960.17</v>
      </c>
      <c r="N93" s="15">
        <v>26315.599999999999</v>
      </c>
      <c r="O93" s="15">
        <v>43170.42</v>
      </c>
    </row>
    <row r="94" spans="1:15" x14ac:dyDescent="0.75">
      <c r="A94">
        <v>1750</v>
      </c>
      <c r="B94" t="s">
        <v>86</v>
      </c>
      <c r="C94" t="s">
        <v>94</v>
      </c>
      <c r="D94" s="15">
        <v>4517.45</v>
      </c>
      <c r="E94" s="15">
        <v>5863.55</v>
      </c>
      <c r="F94" s="15">
        <v>5126.42</v>
      </c>
      <c r="G94" s="15">
        <v>4678.6000000000004</v>
      </c>
      <c r="H94" s="15">
        <v>5984</v>
      </c>
      <c r="I94" s="15">
        <v>7751.1</v>
      </c>
      <c r="J94" s="15">
        <v>123.1</v>
      </c>
      <c r="K94" s="15">
        <v>123.1</v>
      </c>
      <c r="L94" s="15">
        <v>123.1</v>
      </c>
      <c r="M94" s="15">
        <v>123.1</v>
      </c>
      <c r="N94" s="15">
        <v>123.1</v>
      </c>
      <c r="O94" s="15">
        <v>123.1</v>
      </c>
    </row>
    <row r="95" spans="1:15" x14ac:dyDescent="0.75">
      <c r="A95">
        <v>1789</v>
      </c>
      <c r="B95" t="s">
        <v>86</v>
      </c>
      <c r="C95" t="s">
        <v>95</v>
      </c>
      <c r="D95" s="15">
        <v>1462.4</v>
      </c>
      <c r="E95" s="15">
        <v>1025.5</v>
      </c>
      <c r="F95" s="15">
        <v>1789</v>
      </c>
      <c r="G95" s="15">
        <v>1486</v>
      </c>
      <c r="H95" s="15">
        <v>3497</v>
      </c>
      <c r="I95" s="15">
        <v>1553</v>
      </c>
      <c r="J95" s="15">
        <v>4233</v>
      </c>
      <c r="K95" s="15">
        <v>11898</v>
      </c>
      <c r="L95" s="15">
        <v>16128</v>
      </c>
      <c r="M95" s="15">
        <v>13610.5</v>
      </c>
      <c r="N95" s="15">
        <v>12316</v>
      </c>
      <c r="O95" s="15">
        <v>10412</v>
      </c>
    </row>
    <row r="96" spans="1:15" x14ac:dyDescent="0.75">
      <c r="A96">
        <v>1441</v>
      </c>
      <c r="B96" t="s">
        <v>86</v>
      </c>
      <c r="C96" t="s">
        <v>953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6600</v>
      </c>
      <c r="J96" s="15">
        <v>13625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</row>
    <row r="97" spans="1:15" x14ac:dyDescent="0.75">
      <c r="A97">
        <v>1666</v>
      </c>
      <c r="B97" t="s">
        <v>86</v>
      </c>
      <c r="C97" t="s">
        <v>96</v>
      </c>
      <c r="D97" s="15">
        <v>1457.5</v>
      </c>
      <c r="E97" s="15">
        <v>0</v>
      </c>
      <c r="F97" s="15">
        <v>0</v>
      </c>
      <c r="G97" s="15">
        <v>186.5</v>
      </c>
      <c r="H97" s="15">
        <v>0</v>
      </c>
      <c r="I97" s="15">
        <v>0</v>
      </c>
      <c r="J97" s="15">
        <v>0</v>
      </c>
      <c r="K97" s="15">
        <v>0</v>
      </c>
      <c r="L97" s="15">
        <v>82.5</v>
      </c>
      <c r="M97" s="15">
        <v>0</v>
      </c>
      <c r="N97" s="15">
        <v>0</v>
      </c>
      <c r="O97" s="15">
        <v>0</v>
      </c>
    </row>
    <row r="98" spans="1:15" x14ac:dyDescent="0.75">
      <c r="A98">
        <v>1850</v>
      </c>
      <c r="B98" t="s">
        <v>97</v>
      </c>
      <c r="C98" t="s">
        <v>98</v>
      </c>
      <c r="D98" s="15">
        <v>0</v>
      </c>
      <c r="E98" s="15">
        <v>0</v>
      </c>
      <c r="F98" s="15">
        <v>0</v>
      </c>
      <c r="G98" s="15">
        <v>3083.5</v>
      </c>
      <c r="H98" s="15">
        <v>1054.5999999999999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</row>
    <row r="99" spans="1:15" x14ac:dyDescent="0.75">
      <c r="A99">
        <v>1697</v>
      </c>
      <c r="B99" t="s">
        <v>97</v>
      </c>
      <c r="C99" t="s">
        <v>454</v>
      </c>
      <c r="D99" s="15">
        <v>106454.2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</row>
    <row r="100" spans="1:15" x14ac:dyDescent="0.75">
      <c r="A100">
        <v>1790</v>
      </c>
      <c r="B100" t="s">
        <v>97</v>
      </c>
      <c r="C100" t="s">
        <v>812</v>
      </c>
      <c r="D100" s="15">
        <v>212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</row>
    <row r="101" spans="1:15" x14ac:dyDescent="0.75">
      <c r="A101">
        <v>1851</v>
      </c>
      <c r="B101" t="s">
        <v>99</v>
      </c>
      <c r="C101" t="s">
        <v>100</v>
      </c>
      <c r="D101" s="15">
        <v>0</v>
      </c>
      <c r="E101" s="15">
        <v>556.21</v>
      </c>
      <c r="F101" s="15">
        <v>556.21</v>
      </c>
      <c r="G101" s="15">
        <v>15974.46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</row>
    <row r="102" spans="1:15" x14ac:dyDescent="0.75">
      <c r="A102">
        <v>1852</v>
      </c>
      <c r="B102" t="s">
        <v>101</v>
      </c>
      <c r="C102" t="s">
        <v>102</v>
      </c>
      <c r="D102" s="15">
        <v>0</v>
      </c>
      <c r="E102" s="15">
        <v>0</v>
      </c>
      <c r="F102" s="15">
        <v>0</v>
      </c>
      <c r="G102" s="15">
        <v>2312.2600000000002</v>
      </c>
      <c r="H102" s="15">
        <v>7237.49</v>
      </c>
      <c r="I102" s="15">
        <v>12379.75</v>
      </c>
      <c r="J102" s="15">
        <v>10380.799999999999</v>
      </c>
      <c r="K102" s="15">
        <v>7388.05</v>
      </c>
      <c r="L102" s="15">
        <v>15876</v>
      </c>
      <c r="M102" s="15">
        <v>32729.39</v>
      </c>
      <c r="N102" s="15">
        <v>25219.86</v>
      </c>
      <c r="O102" s="15">
        <v>20065.77</v>
      </c>
    </row>
    <row r="103" spans="1:15" x14ac:dyDescent="0.75">
      <c r="A103">
        <v>1977</v>
      </c>
      <c r="B103" t="s">
        <v>101</v>
      </c>
      <c r="C103" t="s">
        <v>1339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1079</v>
      </c>
    </row>
    <row r="104" spans="1:15" x14ac:dyDescent="0.75">
      <c r="A104">
        <v>1782</v>
      </c>
      <c r="B104" t="s">
        <v>103</v>
      </c>
      <c r="C104" t="s">
        <v>104</v>
      </c>
      <c r="D104" s="15">
        <v>0</v>
      </c>
      <c r="E104" s="15">
        <v>10301.9</v>
      </c>
      <c r="F104" s="15">
        <v>10301.9</v>
      </c>
      <c r="G104" s="15">
        <v>17900.650000000001</v>
      </c>
      <c r="H104" s="15">
        <v>9541.4</v>
      </c>
      <c r="I104" s="15">
        <v>9120.75</v>
      </c>
      <c r="J104" s="15">
        <v>5661.75</v>
      </c>
      <c r="K104" s="15">
        <v>5661.75</v>
      </c>
      <c r="L104" s="15">
        <v>5661.75</v>
      </c>
      <c r="M104" s="15">
        <v>5661.75</v>
      </c>
      <c r="N104" s="15">
        <v>5661.75</v>
      </c>
      <c r="O104" s="15">
        <v>5661.75</v>
      </c>
    </row>
    <row r="105" spans="1:15" x14ac:dyDescent="0.75">
      <c r="A105">
        <v>1784</v>
      </c>
      <c r="B105" t="s">
        <v>105</v>
      </c>
      <c r="C105" t="s">
        <v>106</v>
      </c>
      <c r="D105" s="15">
        <v>0</v>
      </c>
      <c r="E105" s="15">
        <v>8849.26</v>
      </c>
      <c r="F105" s="15">
        <v>8849.26</v>
      </c>
      <c r="G105" s="15">
        <v>13950.51</v>
      </c>
      <c r="H105" s="15">
        <v>8103.56</v>
      </c>
      <c r="I105" s="15">
        <v>11446.86</v>
      </c>
      <c r="J105" s="15">
        <v>8103.56</v>
      </c>
      <c r="K105" s="15">
        <v>8103.56</v>
      </c>
      <c r="L105" s="15">
        <v>8103.56</v>
      </c>
      <c r="M105" s="15">
        <v>8103.56</v>
      </c>
      <c r="N105" s="15">
        <v>8103.56</v>
      </c>
      <c r="O105" s="15">
        <v>8103.56</v>
      </c>
    </row>
    <row r="106" spans="1:15" x14ac:dyDescent="0.75">
      <c r="A106">
        <v>1785</v>
      </c>
      <c r="B106" t="s">
        <v>107</v>
      </c>
      <c r="C106" t="s">
        <v>108</v>
      </c>
      <c r="D106" s="15">
        <v>0</v>
      </c>
      <c r="E106" s="15">
        <v>9306.2099999999991</v>
      </c>
      <c r="F106" s="15">
        <v>9306.2099999999991</v>
      </c>
      <c r="G106" s="15">
        <v>14882.96</v>
      </c>
      <c r="H106" s="15">
        <v>8239.7000000000007</v>
      </c>
      <c r="I106" s="15">
        <v>11614.06</v>
      </c>
      <c r="J106" s="15">
        <v>8239.7000000000007</v>
      </c>
      <c r="K106" s="15">
        <v>8239.7000000000007</v>
      </c>
      <c r="L106" s="15">
        <v>8239.7000000000007</v>
      </c>
      <c r="M106" s="15">
        <v>8239.7000000000007</v>
      </c>
      <c r="N106" s="15">
        <v>8239.7000000000007</v>
      </c>
      <c r="O106" s="15">
        <v>8239.7000000000007</v>
      </c>
    </row>
    <row r="107" spans="1:15" x14ac:dyDescent="0.75">
      <c r="A107">
        <v>1363</v>
      </c>
      <c r="B107" t="s">
        <v>813</v>
      </c>
      <c r="C107" t="s">
        <v>814</v>
      </c>
      <c r="D107" s="15">
        <v>435.38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1994.35</v>
      </c>
    </row>
    <row r="108" spans="1:15" x14ac:dyDescent="0.75">
      <c r="A108" s="28">
        <v>16</v>
      </c>
      <c r="B108" s="28" t="s">
        <v>109</v>
      </c>
      <c r="C108" s="28" t="s">
        <v>110</v>
      </c>
      <c r="D108" s="29">
        <v>-579191.11</v>
      </c>
      <c r="E108" s="29">
        <v>-567244.69999999995</v>
      </c>
      <c r="F108" s="29">
        <v>-451316.81</v>
      </c>
      <c r="G108" s="29">
        <v>-478057.95</v>
      </c>
      <c r="H108" s="29">
        <v>-412866.38</v>
      </c>
      <c r="I108" s="29">
        <v>-462919.62</v>
      </c>
      <c r="J108" s="29">
        <v>-414750.25</v>
      </c>
      <c r="K108" s="29">
        <v>-489938.03</v>
      </c>
      <c r="L108" s="29">
        <v>-490423.36</v>
      </c>
      <c r="M108" s="29">
        <v>-443444.44</v>
      </c>
      <c r="N108" s="29">
        <v>-465174.85</v>
      </c>
      <c r="O108" s="29">
        <v>-432511.99</v>
      </c>
    </row>
    <row r="109" spans="1:15" x14ac:dyDescent="0.75">
      <c r="A109">
        <v>1428</v>
      </c>
      <c r="B109" t="s">
        <v>111</v>
      </c>
      <c r="C109" t="s">
        <v>112</v>
      </c>
      <c r="D109" s="15">
        <v>-146620.5</v>
      </c>
      <c r="E109" s="15">
        <v>-135763.6</v>
      </c>
      <c r="F109" s="15">
        <v>-7921.51</v>
      </c>
      <c r="G109" s="15">
        <v>-62514.01</v>
      </c>
      <c r="H109" s="15">
        <v>-206816.18</v>
      </c>
      <c r="I109" s="15">
        <v>-257793.26</v>
      </c>
      <c r="J109" s="15">
        <v>-205341.03</v>
      </c>
      <c r="K109" s="15">
        <v>-301529.05</v>
      </c>
      <c r="L109" s="15">
        <v>-298807.28999999998</v>
      </c>
      <c r="M109" s="15">
        <v>-254334.06</v>
      </c>
      <c r="N109" s="15">
        <v>-356719.26</v>
      </c>
      <c r="O109" s="15">
        <v>-348517.29</v>
      </c>
    </row>
    <row r="110" spans="1:15" x14ac:dyDescent="0.75">
      <c r="A110">
        <v>1424</v>
      </c>
      <c r="B110" t="s">
        <v>113</v>
      </c>
      <c r="C110" t="s">
        <v>114</v>
      </c>
      <c r="D110" s="15">
        <v>-5680.1</v>
      </c>
      <c r="E110" s="15">
        <v>-7234.55</v>
      </c>
      <c r="F110" s="15">
        <v>-6530.62</v>
      </c>
      <c r="G110" s="15">
        <v>-6509.8</v>
      </c>
      <c r="H110" s="15">
        <v>-28048.880000000001</v>
      </c>
      <c r="I110" s="15">
        <v>-26662.91</v>
      </c>
      <c r="J110" s="15">
        <v>-24490.12</v>
      </c>
      <c r="K110" s="15">
        <v>-16950.3</v>
      </c>
      <c r="L110" s="15">
        <v>-11844.82</v>
      </c>
      <c r="M110" s="15">
        <v>-8164.89</v>
      </c>
      <c r="N110" s="15">
        <v>-22596.34</v>
      </c>
      <c r="O110" s="15">
        <v>-7567.12</v>
      </c>
    </row>
    <row r="111" spans="1:15" x14ac:dyDescent="0.75">
      <c r="A111">
        <v>1427</v>
      </c>
      <c r="B111" t="s">
        <v>115</v>
      </c>
      <c r="C111" t="s">
        <v>116</v>
      </c>
      <c r="D111" s="15">
        <v>-71142.179999999993</v>
      </c>
      <c r="E111" s="15">
        <v>-73595.11</v>
      </c>
      <c r="F111" s="15">
        <v>-77109.48</v>
      </c>
      <c r="G111" s="15">
        <v>-79798.25</v>
      </c>
      <c r="H111" s="15">
        <v>-83074.710000000006</v>
      </c>
      <c r="I111" s="15">
        <v>-75657.919999999998</v>
      </c>
      <c r="J111" s="15">
        <v>-77148.509999999995</v>
      </c>
      <c r="K111" s="15">
        <v>-80038.33</v>
      </c>
      <c r="L111" s="15">
        <v>-83101.5</v>
      </c>
      <c r="M111" s="15">
        <v>-83327.34</v>
      </c>
      <c r="N111" s="15">
        <v>-87377.56</v>
      </c>
      <c r="O111" s="15">
        <v>-73550.86</v>
      </c>
    </row>
    <row r="112" spans="1:15" x14ac:dyDescent="0.75">
      <c r="A112">
        <v>1398</v>
      </c>
      <c r="B112" t="s">
        <v>117</v>
      </c>
      <c r="C112" t="s">
        <v>118</v>
      </c>
      <c r="D112" s="15">
        <v>-69274.759999999995</v>
      </c>
      <c r="E112" s="15">
        <v>-73583.8</v>
      </c>
      <c r="F112" s="15">
        <v>-73690.070000000007</v>
      </c>
      <c r="G112" s="15">
        <v>-70788.570000000007</v>
      </c>
      <c r="H112" s="15">
        <v>-94269.53</v>
      </c>
      <c r="I112" s="15">
        <v>-99040.22</v>
      </c>
      <c r="J112" s="15">
        <v>-106361.23</v>
      </c>
      <c r="K112" s="15">
        <v>-101127.32</v>
      </c>
      <c r="L112" s="15">
        <v>-96015.48</v>
      </c>
      <c r="M112" s="15">
        <v>-94412.18</v>
      </c>
      <c r="N112" s="15">
        <v>4292.4799999999996</v>
      </c>
      <c r="O112" s="15">
        <v>-3498.99</v>
      </c>
    </row>
    <row r="113" spans="1:15" x14ac:dyDescent="0.75">
      <c r="A113">
        <v>1426</v>
      </c>
      <c r="B113" t="s">
        <v>119</v>
      </c>
      <c r="C113" t="s">
        <v>120</v>
      </c>
      <c r="D113" s="15">
        <v>-11191.61</v>
      </c>
      <c r="E113" s="15">
        <v>-2809.47</v>
      </c>
      <c r="F113" s="15">
        <v>-7003.66</v>
      </c>
      <c r="G113" s="15">
        <v>3161.25</v>
      </c>
      <c r="H113" s="15">
        <v>-313.49</v>
      </c>
      <c r="I113" s="15">
        <v>2767.27</v>
      </c>
      <c r="J113" s="15">
        <v>3125.7</v>
      </c>
      <c r="K113" s="15">
        <v>7664.79</v>
      </c>
      <c r="L113" s="15">
        <v>2617.69</v>
      </c>
      <c r="M113" s="15">
        <v>8726.24</v>
      </c>
      <c r="N113" s="15">
        <v>6475.47</v>
      </c>
      <c r="O113" s="15">
        <v>8862.7900000000009</v>
      </c>
    </row>
    <row r="114" spans="1:15" x14ac:dyDescent="0.75">
      <c r="A114">
        <v>1423</v>
      </c>
      <c r="B114" t="s">
        <v>121</v>
      </c>
      <c r="C114" t="s">
        <v>122</v>
      </c>
      <c r="D114" s="15">
        <v>-275121.96000000002</v>
      </c>
      <c r="E114" s="15">
        <v>-271447.8</v>
      </c>
      <c r="F114" s="15">
        <v>-273654.14</v>
      </c>
      <c r="G114" s="15">
        <v>-253283.22</v>
      </c>
      <c r="H114" s="15">
        <v>10675.31</v>
      </c>
      <c r="I114" s="15">
        <v>4749.17</v>
      </c>
      <c r="J114" s="15">
        <v>6533.93</v>
      </c>
      <c r="K114" s="15">
        <v>16789.759999999998</v>
      </c>
      <c r="L114" s="15">
        <v>21127.47</v>
      </c>
      <c r="M114" s="15">
        <v>22975.34</v>
      </c>
      <c r="N114" s="15">
        <v>22975.34</v>
      </c>
      <c r="O114" s="15">
        <v>22975.34</v>
      </c>
    </row>
    <row r="115" spans="1:15" x14ac:dyDescent="0.75">
      <c r="A115">
        <v>1810</v>
      </c>
      <c r="B115" t="s">
        <v>123</v>
      </c>
      <c r="C115" t="s">
        <v>124</v>
      </c>
      <c r="D115" s="15">
        <v>-160</v>
      </c>
      <c r="E115" s="15">
        <v>-2810.37</v>
      </c>
      <c r="F115" s="15">
        <v>-5407.33</v>
      </c>
      <c r="G115" s="15">
        <v>-8325.35</v>
      </c>
      <c r="H115" s="15">
        <v>-11018.9</v>
      </c>
      <c r="I115" s="15">
        <v>-11281.75</v>
      </c>
      <c r="J115" s="15">
        <v>-11068.99</v>
      </c>
      <c r="K115" s="15">
        <v>-10529.39</v>
      </c>
      <c r="L115" s="15">
        <v>-11190.42</v>
      </c>
      <c r="M115" s="15">
        <v>-10829.3</v>
      </c>
      <c r="N115" s="15">
        <v>-12755.71</v>
      </c>
      <c r="O115" s="15">
        <v>-14144.98</v>
      </c>
    </row>
    <row r="116" spans="1:15" x14ac:dyDescent="0.75">
      <c r="A116">
        <v>1921</v>
      </c>
      <c r="B116" t="s">
        <v>1069</v>
      </c>
      <c r="C116" t="s">
        <v>1044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-4218.1899999999996</v>
      </c>
      <c r="L116" s="15">
        <v>-12200.53</v>
      </c>
      <c r="M116" s="15">
        <v>-19227.439999999999</v>
      </c>
      <c r="N116" s="15">
        <v>-15555.71</v>
      </c>
      <c r="O116" s="15">
        <v>-12672.91</v>
      </c>
    </row>
    <row r="117" spans="1:15" x14ac:dyDescent="0.75">
      <c r="A117">
        <v>1946</v>
      </c>
      <c r="B117" t="s">
        <v>1255</v>
      </c>
      <c r="C117" t="s">
        <v>1227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-1008.48</v>
      </c>
      <c r="M117" s="15">
        <v>-4850.8100000000004</v>
      </c>
      <c r="N117" s="15">
        <v>-3913.56</v>
      </c>
      <c r="O117" s="15">
        <v>-4397.97</v>
      </c>
    </row>
    <row r="118" spans="1:15" x14ac:dyDescent="0.75">
      <c r="A118" s="28">
        <v>17</v>
      </c>
      <c r="B118" s="28" t="s">
        <v>125</v>
      </c>
      <c r="C118" s="28" t="s">
        <v>126</v>
      </c>
      <c r="D118" s="29">
        <v>-158076.48000000001</v>
      </c>
      <c r="E118" s="29">
        <v>-111660.46</v>
      </c>
      <c r="F118" s="29">
        <v>-140631.29999999999</v>
      </c>
      <c r="G118" s="29">
        <v>-133047.88</v>
      </c>
      <c r="H118" s="29">
        <v>-96229.58</v>
      </c>
      <c r="I118" s="29">
        <v>-108577.14</v>
      </c>
      <c r="J118" s="29">
        <v>-121307.88</v>
      </c>
      <c r="K118" s="29">
        <v>-210276.15</v>
      </c>
      <c r="L118" s="29">
        <v>-174825.18</v>
      </c>
      <c r="M118" s="29">
        <v>-178336.04</v>
      </c>
      <c r="N118" s="29">
        <v>-158364.68</v>
      </c>
      <c r="O118" s="29">
        <v>-161166.62</v>
      </c>
    </row>
    <row r="119" spans="1:15" x14ac:dyDescent="0.75">
      <c r="A119">
        <v>1436</v>
      </c>
      <c r="B119" t="s">
        <v>127</v>
      </c>
      <c r="C119" t="s">
        <v>128</v>
      </c>
      <c r="D119" s="15">
        <v>-55281.63</v>
      </c>
      <c r="E119" s="15">
        <v>-59235.68</v>
      </c>
      <c r="F119" s="15">
        <v>-12609.14</v>
      </c>
      <c r="G119" s="15">
        <v>-14461.42</v>
      </c>
      <c r="H119" s="15">
        <v>-5686.56</v>
      </c>
      <c r="I119" s="15">
        <v>-8335.48</v>
      </c>
      <c r="J119" s="15">
        <v>-13214.1</v>
      </c>
      <c r="K119" s="15">
        <v>-97839.5</v>
      </c>
      <c r="L119" s="15">
        <v>-97591.52</v>
      </c>
      <c r="M119" s="15">
        <v>-97973.9</v>
      </c>
      <c r="N119" s="15">
        <v>-94723.56</v>
      </c>
      <c r="O119" s="15">
        <v>-95764.2</v>
      </c>
    </row>
    <row r="120" spans="1:15" x14ac:dyDescent="0.75">
      <c r="A120">
        <v>1435</v>
      </c>
      <c r="B120" t="s">
        <v>129</v>
      </c>
      <c r="C120" t="s">
        <v>130</v>
      </c>
      <c r="D120" s="15">
        <v>-1209.3699999999999</v>
      </c>
      <c r="E120" s="15">
        <v>-2227.42</v>
      </c>
      <c r="F120" s="15">
        <v>-3292.92</v>
      </c>
      <c r="G120" s="15">
        <v>-5368.32</v>
      </c>
      <c r="H120" s="15">
        <v>-5368.32</v>
      </c>
      <c r="I120" s="15">
        <v>-5909.82</v>
      </c>
      <c r="J120" s="15">
        <v>-6384.17</v>
      </c>
      <c r="K120" s="15">
        <v>-7492.67</v>
      </c>
      <c r="L120" s="15">
        <v>-7492.67</v>
      </c>
      <c r="M120" s="15">
        <v>-7492.67</v>
      </c>
      <c r="N120" s="15">
        <v>-7492.67</v>
      </c>
      <c r="O120" s="15">
        <v>-7304.62</v>
      </c>
    </row>
    <row r="121" spans="1:15" x14ac:dyDescent="0.75">
      <c r="A121">
        <v>1434</v>
      </c>
      <c r="B121" t="s">
        <v>131</v>
      </c>
      <c r="C121" t="s">
        <v>132</v>
      </c>
      <c r="D121" s="15">
        <v>-2150.0700000000002</v>
      </c>
      <c r="E121" s="15">
        <v>-243.22</v>
      </c>
      <c r="F121" s="15">
        <v>-10246.459999999999</v>
      </c>
      <c r="G121" s="15">
        <v>-17681.27</v>
      </c>
      <c r="H121" s="15">
        <v>-6616.71</v>
      </c>
      <c r="I121" s="15">
        <v>-8799.33</v>
      </c>
      <c r="J121" s="15">
        <v>-8919.57</v>
      </c>
      <c r="K121" s="15">
        <v>-14668.95</v>
      </c>
      <c r="L121" s="15">
        <v>-111.4</v>
      </c>
      <c r="M121" s="15">
        <v>-1486.16</v>
      </c>
      <c r="N121" s="15">
        <v>10293.64</v>
      </c>
      <c r="O121" s="15">
        <v>19181.77</v>
      </c>
    </row>
    <row r="122" spans="1:15" x14ac:dyDescent="0.75">
      <c r="A122">
        <v>1523</v>
      </c>
      <c r="B122" t="s">
        <v>1256</v>
      </c>
      <c r="C122" t="s">
        <v>1228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1463.7</v>
      </c>
      <c r="O122" s="15">
        <v>-4236.8900000000003</v>
      </c>
    </row>
    <row r="123" spans="1:15" x14ac:dyDescent="0.75">
      <c r="A123">
        <v>1429</v>
      </c>
      <c r="B123" t="s">
        <v>133</v>
      </c>
      <c r="C123" t="s">
        <v>134</v>
      </c>
      <c r="D123" s="15">
        <v>-57362.82</v>
      </c>
      <c r="E123" s="15">
        <v>-55771.199999999997</v>
      </c>
      <c r="F123" s="15">
        <v>-63908.800000000003</v>
      </c>
      <c r="G123" s="15">
        <v>-60799.59</v>
      </c>
      <c r="H123" s="15">
        <v>-60799.59</v>
      </c>
      <c r="I123" s="15">
        <v>-60897.04</v>
      </c>
      <c r="J123" s="15">
        <v>-62721.37</v>
      </c>
      <c r="K123" s="15">
        <v>-72321.16</v>
      </c>
      <c r="L123" s="15">
        <v>-70147.59</v>
      </c>
      <c r="M123" s="15">
        <v>-78185.3</v>
      </c>
      <c r="N123" s="15">
        <v>-75052.86</v>
      </c>
      <c r="O123" s="15">
        <v>-77670</v>
      </c>
    </row>
    <row r="124" spans="1:15" x14ac:dyDescent="0.75">
      <c r="A124">
        <v>1433</v>
      </c>
      <c r="B124" t="s">
        <v>135</v>
      </c>
      <c r="C124" t="s">
        <v>136</v>
      </c>
      <c r="D124" s="15">
        <v>-4425.54</v>
      </c>
      <c r="E124" s="15">
        <v>1118.06</v>
      </c>
      <c r="F124" s="15">
        <v>-5004.9399999999996</v>
      </c>
      <c r="G124" s="15">
        <v>-6025.19</v>
      </c>
      <c r="H124" s="15">
        <v>-6025.19</v>
      </c>
      <c r="I124" s="15">
        <v>-272.33999999999997</v>
      </c>
      <c r="J124" s="15">
        <v>1160.76</v>
      </c>
      <c r="K124" s="15">
        <v>3217.76</v>
      </c>
      <c r="L124" s="15">
        <v>3217.76</v>
      </c>
      <c r="M124" s="15">
        <v>6311.2</v>
      </c>
      <c r="N124" s="15">
        <v>6580.7</v>
      </c>
      <c r="O124" s="15">
        <v>4060.95</v>
      </c>
    </row>
    <row r="125" spans="1:15" x14ac:dyDescent="0.75">
      <c r="A125">
        <v>1431</v>
      </c>
      <c r="B125" t="s">
        <v>137</v>
      </c>
      <c r="C125" t="s">
        <v>138</v>
      </c>
      <c r="D125" s="15">
        <v>-37647.050000000003</v>
      </c>
      <c r="E125" s="15">
        <v>4699</v>
      </c>
      <c r="F125" s="15">
        <v>-45569.04</v>
      </c>
      <c r="G125" s="15">
        <v>-28712.09</v>
      </c>
      <c r="H125" s="15">
        <v>-11733.21</v>
      </c>
      <c r="I125" s="15">
        <v>-24363.13</v>
      </c>
      <c r="J125" s="15">
        <v>-31229.43</v>
      </c>
      <c r="K125" s="15">
        <v>-21171.63</v>
      </c>
      <c r="L125" s="15">
        <v>-2699.76</v>
      </c>
      <c r="M125" s="15">
        <v>490.79</v>
      </c>
      <c r="N125" s="15">
        <v>490.79</v>
      </c>
      <c r="O125" s="15">
        <v>490.79</v>
      </c>
    </row>
    <row r="126" spans="1:15" x14ac:dyDescent="0.75">
      <c r="A126">
        <v>1964</v>
      </c>
      <c r="B126" t="s">
        <v>1257</v>
      </c>
      <c r="C126" t="s">
        <v>1229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75.58</v>
      </c>
      <c r="O126" s="15">
        <v>75.58</v>
      </c>
    </row>
    <row r="127" spans="1:15" x14ac:dyDescent="0.75">
      <c r="A127" s="28">
        <v>18</v>
      </c>
      <c r="B127" s="28" t="s">
        <v>139</v>
      </c>
      <c r="C127" s="28" t="s">
        <v>140</v>
      </c>
      <c r="D127" s="29">
        <v>191765.83</v>
      </c>
      <c r="E127" s="29">
        <v>149109.5</v>
      </c>
      <c r="F127" s="29">
        <v>158138.75</v>
      </c>
      <c r="G127" s="29">
        <v>178323.77</v>
      </c>
      <c r="H127" s="29">
        <v>166385.37</v>
      </c>
      <c r="I127" s="29">
        <v>206557.16</v>
      </c>
      <c r="J127" s="29">
        <v>237049.19</v>
      </c>
      <c r="K127" s="29">
        <v>251671.33</v>
      </c>
      <c r="L127" s="29">
        <v>287693.45</v>
      </c>
      <c r="M127" s="29">
        <v>254643.08</v>
      </c>
      <c r="N127" s="29">
        <v>223359.23</v>
      </c>
      <c r="O127" s="29">
        <v>226732.11</v>
      </c>
    </row>
    <row r="128" spans="1:15" x14ac:dyDescent="0.75">
      <c r="A128" s="28">
        <v>23</v>
      </c>
      <c r="B128" s="28" t="s">
        <v>141</v>
      </c>
      <c r="C128" s="28" t="s">
        <v>142</v>
      </c>
      <c r="D128" s="29">
        <v>12003.17</v>
      </c>
      <c r="E128" s="29">
        <v>13346.92</v>
      </c>
      <c r="F128" s="29">
        <v>12557.92</v>
      </c>
      <c r="G128" s="29">
        <v>15815.32</v>
      </c>
      <c r="H128" s="29">
        <v>9755.85</v>
      </c>
      <c r="I128" s="29">
        <v>34688.43</v>
      </c>
      <c r="J128" s="29">
        <v>54985.32</v>
      </c>
      <c r="K128" s="29">
        <v>72965.03</v>
      </c>
      <c r="L128" s="29">
        <v>109960.34</v>
      </c>
      <c r="M128" s="29">
        <v>20645.349999999999</v>
      </c>
      <c r="N128" s="29">
        <v>19728.2</v>
      </c>
      <c r="O128" s="29">
        <v>20330.45</v>
      </c>
    </row>
    <row r="129" spans="1:15" x14ac:dyDescent="0.75">
      <c r="A129">
        <v>560</v>
      </c>
      <c r="B129" t="s">
        <v>143</v>
      </c>
      <c r="C129" t="s">
        <v>144</v>
      </c>
      <c r="D129" s="15">
        <v>7204.2</v>
      </c>
      <c r="E129" s="15">
        <v>3800</v>
      </c>
      <c r="F129" s="15">
        <v>3800</v>
      </c>
      <c r="G129" s="15">
        <v>3800</v>
      </c>
      <c r="H129" s="15">
        <v>8130.08</v>
      </c>
      <c r="I129" s="15">
        <v>28062.66</v>
      </c>
      <c r="J129" s="15">
        <v>54985.32</v>
      </c>
      <c r="K129" s="15">
        <v>0</v>
      </c>
      <c r="L129" s="15">
        <v>23227.5</v>
      </c>
      <c r="M129" s="15">
        <v>3839.45</v>
      </c>
      <c r="N129" s="15">
        <v>3839.45</v>
      </c>
      <c r="O129" s="15">
        <v>7342.18</v>
      </c>
    </row>
    <row r="130" spans="1:15" x14ac:dyDescent="0.75">
      <c r="A130">
        <v>831</v>
      </c>
      <c r="B130" t="s">
        <v>1070</v>
      </c>
      <c r="C130" t="s">
        <v>265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501.84</v>
      </c>
      <c r="L130" s="15">
        <v>501.84</v>
      </c>
      <c r="M130" s="15">
        <v>0</v>
      </c>
      <c r="N130" s="15">
        <v>0</v>
      </c>
      <c r="O130" s="15">
        <v>0</v>
      </c>
    </row>
    <row r="131" spans="1:15" x14ac:dyDescent="0.75">
      <c r="A131">
        <v>846</v>
      </c>
      <c r="B131" t="s">
        <v>1071</v>
      </c>
      <c r="C131" t="s">
        <v>294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28.98</v>
      </c>
      <c r="L131" s="15">
        <v>28.98</v>
      </c>
      <c r="M131" s="15">
        <v>0</v>
      </c>
      <c r="N131" s="15">
        <v>0</v>
      </c>
      <c r="O131" s="15">
        <v>0</v>
      </c>
    </row>
    <row r="132" spans="1:15" x14ac:dyDescent="0.75">
      <c r="A132">
        <v>1430</v>
      </c>
      <c r="B132" t="s">
        <v>815</v>
      </c>
      <c r="C132" t="s">
        <v>280</v>
      </c>
      <c r="D132" s="15">
        <v>4798.97</v>
      </c>
      <c r="E132" s="15">
        <v>1798.97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</row>
    <row r="133" spans="1:15" x14ac:dyDescent="0.75">
      <c r="A133">
        <v>1472</v>
      </c>
      <c r="B133" t="s">
        <v>1072</v>
      </c>
      <c r="C133" t="s">
        <v>967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2440</v>
      </c>
      <c r="L133" s="15">
        <v>2440</v>
      </c>
      <c r="M133" s="15">
        <v>0</v>
      </c>
      <c r="N133" s="15">
        <v>0</v>
      </c>
      <c r="O133" s="15">
        <v>0</v>
      </c>
    </row>
    <row r="134" spans="1:15" x14ac:dyDescent="0.75">
      <c r="A134">
        <v>1645</v>
      </c>
      <c r="B134" t="s">
        <v>1073</v>
      </c>
      <c r="C134" t="s">
        <v>353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1994.5</v>
      </c>
      <c r="L134" s="15">
        <v>1994.5</v>
      </c>
      <c r="M134" s="15">
        <v>0</v>
      </c>
      <c r="N134" s="15">
        <v>0</v>
      </c>
      <c r="O134" s="15">
        <v>0</v>
      </c>
    </row>
    <row r="135" spans="1:15" x14ac:dyDescent="0.75">
      <c r="A135">
        <v>1805</v>
      </c>
      <c r="B135" t="s">
        <v>816</v>
      </c>
      <c r="C135" t="s">
        <v>817</v>
      </c>
      <c r="D135" s="15">
        <v>0</v>
      </c>
      <c r="E135" s="15">
        <v>1756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</row>
    <row r="136" spans="1:15" x14ac:dyDescent="0.75">
      <c r="A136">
        <v>1807</v>
      </c>
      <c r="B136" t="s">
        <v>818</v>
      </c>
      <c r="C136" t="s">
        <v>441</v>
      </c>
      <c r="D136" s="15">
        <v>0</v>
      </c>
      <c r="E136" s="15">
        <v>961.98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</row>
    <row r="137" spans="1:15" x14ac:dyDescent="0.75">
      <c r="A137">
        <v>1826</v>
      </c>
      <c r="B137" t="s">
        <v>145</v>
      </c>
      <c r="C137" t="s">
        <v>146</v>
      </c>
      <c r="D137" s="15">
        <v>0</v>
      </c>
      <c r="E137" s="15">
        <v>700</v>
      </c>
      <c r="F137" s="15">
        <v>700</v>
      </c>
      <c r="G137" s="15">
        <v>700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</row>
    <row r="138" spans="1:15" x14ac:dyDescent="0.75">
      <c r="A138">
        <v>1827</v>
      </c>
      <c r="B138" t="s">
        <v>819</v>
      </c>
      <c r="C138" t="s">
        <v>294</v>
      </c>
      <c r="D138" s="15">
        <v>0</v>
      </c>
      <c r="E138" s="15">
        <v>2194.3000000000002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</row>
    <row r="139" spans="1:15" x14ac:dyDescent="0.75">
      <c r="A139">
        <v>1828</v>
      </c>
      <c r="B139" t="s">
        <v>147</v>
      </c>
      <c r="C139" t="s">
        <v>148</v>
      </c>
      <c r="D139" s="15">
        <v>0</v>
      </c>
      <c r="E139" s="15">
        <v>148</v>
      </c>
      <c r="F139" s="15">
        <v>148</v>
      </c>
      <c r="G139" s="15">
        <v>148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</row>
    <row r="140" spans="1:15" x14ac:dyDescent="0.75">
      <c r="A140">
        <v>1829</v>
      </c>
      <c r="B140" t="s">
        <v>149</v>
      </c>
      <c r="C140" t="s">
        <v>150</v>
      </c>
      <c r="D140" s="15">
        <v>0</v>
      </c>
      <c r="E140" s="15">
        <v>257.39999999999998</v>
      </c>
      <c r="F140" s="15">
        <v>529.65</v>
      </c>
      <c r="G140" s="15">
        <v>787.05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</row>
    <row r="141" spans="1:15" x14ac:dyDescent="0.75">
      <c r="A141">
        <v>1830</v>
      </c>
      <c r="B141" t="s">
        <v>151</v>
      </c>
      <c r="C141" t="s">
        <v>152</v>
      </c>
      <c r="D141" s="15">
        <v>0</v>
      </c>
      <c r="E141" s="15">
        <v>104.5</v>
      </c>
      <c r="F141" s="15">
        <v>104.5</v>
      </c>
      <c r="G141" s="15">
        <v>104.5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</row>
    <row r="142" spans="1:15" x14ac:dyDescent="0.75">
      <c r="A142">
        <v>1831</v>
      </c>
      <c r="B142" t="s">
        <v>153</v>
      </c>
      <c r="C142" t="s">
        <v>154</v>
      </c>
      <c r="D142" s="15">
        <v>0</v>
      </c>
      <c r="E142" s="15">
        <v>1625.77</v>
      </c>
      <c r="F142" s="15">
        <v>1625.77</v>
      </c>
      <c r="G142" s="15">
        <v>1625.77</v>
      </c>
      <c r="H142" s="15">
        <v>1625.77</v>
      </c>
      <c r="I142" s="15">
        <v>1625.77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</row>
    <row r="143" spans="1:15" x14ac:dyDescent="0.75">
      <c r="A143">
        <v>1847</v>
      </c>
      <c r="B143" t="s">
        <v>155</v>
      </c>
      <c r="C143" t="s">
        <v>156</v>
      </c>
      <c r="D143" s="15">
        <v>0</v>
      </c>
      <c r="E143" s="15">
        <v>0</v>
      </c>
      <c r="F143" s="15">
        <v>5650</v>
      </c>
      <c r="G143" s="15">
        <v>5650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</row>
    <row r="144" spans="1:15" x14ac:dyDescent="0.75">
      <c r="A144">
        <v>1860</v>
      </c>
      <c r="B144" t="s">
        <v>157</v>
      </c>
      <c r="C144" t="s">
        <v>158</v>
      </c>
      <c r="D144" s="15">
        <v>0</v>
      </c>
      <c r="E144" s="15">
        <v>0</v>
      </c>
      <c r="F144" s="15">
        <v>0</v>
      </c>
      <c r="G144" s="15">
        <v>3000</v>
      </c>
      <c r="H144" s="15">
        <v>0</v>
      </c>
      <c r="I144" s="15">
        <v>0</v>
      </c>
      <c r="J144" s="15">
        <v>0</v>
      </c>
      <c r="K144" s="15">
        <v>3800</v>
      </c>
      <c r="L144" s="15">
        <v>3800</v>
      </c>
      <c r="M144" s="15">
        <v>6800</v>
      </c>
      <c r="N144" s="15">
        <v>6800</v>
      </c>
      <c r="O144" s="15">
        <v>6800</v>
      </c>
    </row>
    <row r="145" spans="1:15" x14ac:dyDescent="0.75">
      <c r="A145">
        <v>1904</v>
      </c>
      <c r="B145" t="s">
        <v>954</v>
      </c>
      <c r="C145" t="s">
        <v>955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5000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</row>
    <row r="146" spans="1:15" x14ac:dyDescent="0.75">
      <c r="A146">
        <v>1926</v>
      </c>
      <c r="B146" t="s">
        <v>1074</v>
      </c>
      <c r="C146" t="s">
        <v>1045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16000</v>
      </c>
      <c r="L146" s="15">
        <v>46850</v>
      </c>
      <c r="M146" s="15">
        <v>0</v>
      </c>
      <c r="N146" s="15">
        <v>0</v>
      </c>
      <c r="O146" s="15">
        <v>0</v>
      </c>
    </row>
    <row r="147" spans="1:15" x14ac:dyDescent="0.75">
      <c r="A147">
        <v>1927</v>
      </c>
      <c r="B147" t="s">
        <v>1075</v>
      </c>
      <c r="C147" t="s">
        <v>1046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23050</v>
      </c>
      <c r="L147" s="15">
        <v>11850</v>
      </c>
      <c r="M147" s="15">
        <v>0</v>
      </c>
      <c r="N147" s="15">
        <v>0</v>
      </c>
      <c r="O147" s="15">
        <v>0</v>
      </c>
    </row>
    <row r="148" spans="1:15" x14ac:dyDescent="0.75">
      <c r="A148">
        <v>1928</v>
      </c>
      <c r="B148" t="s">
        <v>1076</v>
      </c>
      <c r="C148" t="s">
        <v>1047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3129.4</v>
      </c>
      <c r="L148" s="15">
        <v>3129.4</v>
      </c>
      <c r="M148" s="15">
        <v>3129.4</v>
      </c>
      <c r="N148" s="15">
        <v>3129.4</v>
      </c>
      <c r="O148" s="15">
        <v>3129.4</v>
      </c>
    </row>
    <row r="149" spans="1:15" x14ac:dyDescent="0.75">
      <c r="A149">
        <v>1929</v>
      </c>
      <c r="B149" t="s">
        <v>1077</v>
      </c>
      <c r="C149" t="s">
        <v>1048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3128</v>
      </c>
      <c r="L149" s="15">
        <v>3128</v>
      </c>
      <c r="M149" s="15">
        <v>0</v>
      </c>
      <c r="N149" s="15">
        <v>0</v>
      </c>
      <c r="O149" s="15">
        <v>0</v>
      </c>
    </row>
    <row r="150" spans="1:15" x14ac:dyDescent="0.75">
      <c r="A150">
        <v>1930</v>
      </c>
      <c r="B150" t="s">
        <v>1078</v>
      </c>
      <c r="C150" t="s">
        <v>1049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3960</v>
      </c>
      <c r="L150" s="15">
        <v>3960</v>
      </c>
      <c r="M150" s="15">
        <v>3960</v>
      </c>
      <c r="N150" s="15">
        <v>0</v>
      </c>
      <c r="O150" s="15">
        <v>0</v>
      </c>
    </row>
    <row r="151" spans="1:15" x14ac:dyDescent="0.75">
      <c r="A151">
        <v>1931</v>
      </c>
      <c r="B151" t="s">
        <v>1079</v>
      </c>
      <c r="C151" t="s">
        <v>1050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170</v>
      </c>
      <c r="L151" s="15">
        <v>170</v>
      </c>
      <c r="M151" s="15">
        <v>0</v>
      </c>
      <c r="N151" s="15">
        <v>0</v>
      </c>
      <c r="O151" s="15">
        <v>0</v>
      </c>
    </row>
    <row r="152" spans="1:15" x14ac:dyDescent="0.75">
      <c r="A152">
        <v>1932</v>
      </c>
      <c r="B152" t="s">
        <v>1080</v>
      </c>
      <c r="C152" t="s">
        <v>1051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84.4</v>
      </c>
      <c r="L152" s="15">
        <v>84.4</v>
      </c>
      <c r="M152" s="15">
        <v>0</v>
      </c>
      <c r="N152" s="15">
        <v>0</v>
      </c>
      <c r="O152" s="15">
        <v>0</v>
      </c>
    </row>
    <row r="153" spans="1:15" x14ac:dyDescent="0.75">
      <c r="A153">
        <v>1933</v>
      </c>
      <c r="B153" t="s">
        <v>1081</v>
      </c>
      <c r="C153" t="s">
        <v>1052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2654.72</v>
      </c>
      <c r="L153" s="15">
        <v>2654.72</v>
      </c>
      <c r="M153" s="15">
        <v>2654.72</v>
      </c>
      <c r="N153" s="15">
        <v>1245.1600000000001</v>
      </c>
      <c r="O153" s="15">
        <v>1245.1600000000001</v>
      </c>
    </row>
    <row r="154" spans="1:15" x14ac:dyDescent="0.75">
      <c r="A154">
        <v>1934</v>
      </c>
      <c r="B154" t="s">
        <v>1082</v>
      </c>
      <c r="C154" t="s">
        <v>1053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3500</v>
      </c>
      <c r="L154" s="15">
        <v>3500</v>
      </c>
      <c r="M154" s="15">
        <v>0</v>
      </c>
      <c r="N154" s="15">
        <v>0</v>
      </c>
      <c r="O154" s="15">
        <v>0</v>
      </c>
    </row>
    <row r="155" spans="1:15" x14ac:dyDescent="0.75">
      <c r="A155">
        <v>1935</v>
      </c>
      <c r="B155" t="s">
        <v>1083</v>
      </c>
      <c r="C155" t="s">
        <v>1054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1307</v>
      </c>
      <c r="L155" s="15">
        <v>1307</v>
      </c>
      <c r="M155" s="15">
        <v>0</v>
      </c>
      <c r="N155" s="15">
        <v>0</v>
      </c>
      <c r="O155" s="15">
        <v>0</v>
      </c>
    </row>
    <row r="156" spans="1:15" x14ac:dyDescent="0.75">
      <c r="A156">
        <v>1936</v>
      </c>
      <c r="B156" t="s">
        <v>1084</v>
      </c>
      <c r="C156" t="s">
        <v>1055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5882.19</v>
      </c>
      <c r="L156" s="15">
        <v>0</v>
      </c>
      <c r="M156" s="15">
        <v>0</v>
      </c>
      <c r="N156" s="15">
        <v>0</v>
      </c>
      <c r="O156" s="15">
        <v>0</v>
      </c>
    </row>
    <row r="157" spans="1:15" x14ac:dyDescent="0.75">
      <c r="A157">
        <v>1937</v>
      </c>
      <c r="B157" t="s">
        <v>1085</v>
      </c>
      <c r="C157" t="s">
        <v>1056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1334</v>
      </c>
      <c r="L157" s="15">
        <v>1334</v>
      </c>
      <c r="M157" s="15">
        <v>0</v>
      </c>
      <c r="N157" s="15">
        <v>0</v>
      </c>
      <c r="O157" s="15">
        <v>0</v>
      </c>
    </row>
    <row r="158" spans="1:15" x14ac:dyDescent="0.75">
      <c r="A158">
        <v>1956</v>
      </c>
      <c r="B158" t="s">
        <v>1258</v>
      </c>
      <c r="C158" t="s">
        <v>1259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261.77999999999997</v>
      </c>
      <c r="N158" s="15">
        <v>261.77999999999997</v>
      </c>
      <c r="O158" s="15">
        <v>261.77999999999997</v>
      </c>
    </row>
    <row r="159" spans="1:15" x14ac:dyDescent="0.75">
      <c r="A159">
        <v>1965</v>
      </c>
      <c r="B159" t="s">
        <v>1260</v>
      </c>
      <c r="C159" t="s">
        <v>1230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880.48</v>
      </c>
      <c r="O159" s="15">
        <v>0</v>
      </c>
    </row>
    <row r="160" spans="1:15" x14ac:dyDescent="0.75">
      <c r="A160">
        <v>1966</v>
      </c>
      <c r="B160" t="s">
        <v>1261</v>
      </c>
      <c r="C160" t="s">
        <v>1231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320</v>
      </c>
      <c r="O160" s="15">
        <v>0</v>
      </c>
    </row>
    <row r="161" spans="1:15" x14ac:dyDescent="0.75">
      <c r="A161">
        <v>1967</v>
      </c>
      <c r="B161" t="s">
        <v>1262</v>
      </c>
      <c r="C161" t="s">
        <v>1232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1700</v>
      </c>
      <c r="O161" s="15">
        <v>0</v>
      </c>
    </row>
    <row r="162" spans="1:15" x14ac:dyDescent="0.75">
      <c r="A162">
        <v>1968</v>
      </c>
      <c r="B162" t="s">
        <v>1263</v>
      </c>
      <c r="C162" t="s">
        <v>1233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1530</v>
      </c>
      <c r="O162" s="15">
        <v>1530</v>
      </c>
    </row>
    <row r="163" spans="1:15" x14ac:dyDescent="0.75">
      <c r="A163">
        <v>1970</v>
      </c>
      <c r="B163" t="s">
        <v>1264</v>
      </c>
      <c r="C163" t="s">
        <v>1234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21.93</v>
      </c>
      <c r="O163" s="15">
        <v>21.93</v>
      </c>
    </row>
    <row r="164" spans="1:15" x14ac:dyDescent="0.75">
      <c r="A164" s="28">
        <v>24</v>
      </c>
      <c r="B164" s="28" t="s">
        <v>159</v>
      </c>
      <c r="C164" s="28" t="s">
        <v>160</v>
      </c>
      <c r="D164" s="29">
        <v>17891.13</v>
      </c>
      <c r="E164" s="29">
        <v>10298.469999999999</v>
      </c>
      <c r="F164" s="29">
        <v>10448.200000000001</v>
      </c>
      <c r="G164" s="29">
        <v>9203.14</v>
      </c>
      <c r="H164" s="29">
        <v>5647</v>
      </c>
      <c r="I164" s="29">
        <v>12585.17</v>
      </c>
      <c r="J164" s="29">
        <v>18961.39</v>
      </c>
      <c r="K164" s="29">
        <v>15047.59</v>
      </c>
      <c r="L164" s="29">
        <v>6055.77</v>
      </c>
      <c r="M164" s="29">
        <v>55197.27</v>
      </c>
      <c r="N164" s="29">
        <v>11355.93</v>
      </c>
      <c r="O164" s="29">
        <v>18251.150000000001</v>
      </c>
    </row>
    <row r="165" spans="1:15" x14ac:dyDescent="0.75">
      <c r="A165">
        <v>26</v>
      </c>
      <c r="B165" t="s">
        <v>1265</v>
      </c>
      <c r="C165" t="s">
        <v>1235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39347.5</v>
      </c>
      <c r="N165" s="15">
        <v>0</v>
      </c>
      <c r="O165" s="15">
        <v>0</v>
      </c>
    </row>
    <row r="166" spans="1:15" x14ac:dyDescent="0.75">
      <c r="A166">
        <v>550</v>
      </c>
      <c r="B166" t="s">
        <v>162</v>
      </c>
      <c r="C166" t="s">
        <v>163</v>
      </c>
      <c r="D166" s="15">
        <v>14691.13</v>
      </c>
      <c r="E166" s="15">
        <v>7098.47</v>
      </c>
      <c r="F166" s="15">
        <v>10448.200000000001</v>
      </c>
      <c r="G166" s="15">
        <v>9203.14</v>
      </c>
      <c r="H166" s="15">
        <v>5647</v>
      </c>
      <c r="I166" s="15">
        <v>12585.17</v>
      </c>
      <c r="J166" s="15">
        <v>18961.39</v>
      </c>
      <c r="K166" s="15">
        <v>15047.59</v>
      </c>
      <c r="L166" s="15">
        <v>6055.77</v>
      </c>
      <c r="M166" s="15">
        <v>9849.77</v>
      </c>
      <c r="N166" s="15">
        <v>5355.93</v>
      </c>
      <c r="O166" s="15">
        <v>12251.15</v>
      </c>
    </row>
    <row r="167" spans="1:15" x14ac:dyDescent="0.75">
      <c r="A167">
        <v>1397</v>
      </c>
      <c r="B167" t="s">
        <v>820</v>
      </c>
      <c r="C167" t="s">
        <v>821</v>
      </c>
      <c r="D167" s="15">
        <v>3200</v>
      </c>
      <c r="E167" s="15">
        <v>3200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6000</v>
      </c>
      <c r="N167" s="15">
        <v>6000</v>
      </c>
      <c r="O167" s="15">
        <v>6000</v>
      </c>
    </row>
    <row r="168" spans="1:15" x14ac:dyDescent="0.75">
      <c r="A168" s="28">
        <v>28</v>
      </c>
      <c r="B168" s="28" t="s">
        <v>164</v>
      </c>
      <c r="C168" s="28" t="s">
        <v>165</v>
      </c>
      <c r="D168" s="29">
        <v>161871.53</v>
      </c>
      <c r="E168" s="29">
        <v>125464.11</v>
      </c>
      <c r="F168" s="29">
        <v>135132.63</v>
      </c>
      <c r="G168" s="29">
        <v>153305.31</v>
      </c>
      <c r="H168" s="29">
        <v>150982.51999999999</v>
      </c>
      <c r="I168" s="29">
        <v>159283.56</v>
      </c>
      <c r="J168" s="29">
        <v>163102.48000000001</v>
      </c>
      <c r="K168" s="29">
        <v>163658.71</v>
      </c>
      <c r="L168" s="29">
        <v>171677.34</v>
      </c>
      <c r="M168" s="29">
        <v>178800.46</v>
      </c>
      <c r="N168" s="29">
        <v>192275.1</v>
      </c>
      <c r="O168" s="29">
        <v>188150.51</v>
      </c>
    </row>
    <row r="169" spans="1:15" x14ac:dyDescent="0.75">
      <c r="A169">
        <v>30</v>
      </c>
      <c r="B169" t="s">
        <v>166</v>
      </c>
      <c r="C169" t="s">
        <v>167</v>
      </c>
      <c r="D169" s="15">
        <v>0</v>
      </c>
      <c r="E169" s="15">
        <v>0</v>
      </c>
      <c r="F169" s="15">
        <v>0</v>
      </c>
      <c r="G169" s="15">
        <v>7963.93</v>
      </c>
      <c r="H169" s="15">
        <v>1485.66</v>
      </c>
      <c r="I169" s="15">
        <v>5690.13</v>
      </c>
      <c r="J169" s="15">
        <v>7690.87</v>
      </c>
      <c r="K169" s="15">
        <v>4163.76</v>
      </c>
      <c r="L169" s="15">
        <v>5619.77</v>
      </c>
      <c r="M169" s="15">
        <v>7298.15</v>
      </c>
      <c r="N169" s="15">
        <v>15173.04</v>
      </c>
      <c r="O169" s="15">
        <v>21162.16</v>
      </c>
    </row>
    <row r="170" spans="1:15" x14ac:dyDescent="0.75">
      <c r="A170">
        <v>31</v>
      </c>
      <c r="B170" t="s">
        <v>822</v>
      </c>
      <c r="C170" t="s">
        <v>823</v>
      </c>
      <c r="D170" s="15">
        <v>29.14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</row>
    <row r="171" spans="1:15" x14ac:dyDescent="0.75">
      <c r="A171">
        <v>40</v>
      </c>
      <c r="B171" t="s">
        <v>168</v>
      </c>
      <c r="C171" t="s">
        <v>169</v>
      </c>
      <c r="D171" s="15">
        <v>95269.02</v>
      </c>
      <c r="E171" s="15">
        <v>103169.19</v>
      </c>
      <c r="F171" s="15">
        <v>111027.91</v>
      </c>
      <c r="G171" s="15">
        <v>119415.63</v>
      </c>
      <c r="H171" s="15">
        <v>122829.86</v>
      </c>
      <c r="I171" s="15">
        <v>126195.69</v>
      </c>
      <c r="J171" s="15">
        <v>127689.55</v>
      </c>
      <c r="K171" s="15">
        <v>131044.51</v>
      </c>
      <c r="L171" s="15">
        <v>136436.51999999999</v>
      </c>
      <c r="M171" s="15">
        <v>140910.04</v>
      </c>
      <c r="N171" s="15">
        <v>144187.5</v>
      </c>
      <c r="O171" s="15">
        <v>130246.93</v>
      </c>
    </row>
    <row r="172" spans="1:15" x14ac:dyDescent="0.75">
      <c r="A172">
        <v>41</v>
      </c>
      <c r="B172" t="s">
        <v>170</v>
      </c>
      <c r="C172" t="s">
        <v>171</v>
      </c>
      <c r="D172" s="15">
        <v>20579.75</v>
      </c>
      <c r="E172" s="15">
        <v>22294.92</v>
      </c>
      <c r="F172" s="15">
        <v>24104.720000000001</v>
      </c>
      <c r="G172" s="15">
        <v>25925.75</v>
      </c>
      <c r="H172" s="15">
        <v>26667</v>
      </c>
      <c r="I172" s="15">
        <v>27397.74</v>
      </c>
      <c r="J172" s="15">
        <v>27722.06</v>
      </c>
      <c r="K172" s="15">
        <v>28450.44</v>
      </c>
      <c r="L172" s="15">
        <v>29621.05</v>
      </c>
      <c r="M172" s="15">
        <v>30592.27</v>
      </c>
      <c r="N172" s="15">
        <v>31303.82</v>
      </c>
      <c r="O172" s="15">
        <v>28277.26</v>
      </c>
    </row>
    <row r="173" spans="1:15" x14ac:dyDescent="0.75">
      <c r="A173">
        <v>682</v>
      </c>
      <c r="B173" t="s">
        <v>824</v>
      </c>
      <c r="C173" t="s">
        <v>825</v>
      </c>
      <c r="D173" s="15">
        <v>2098.21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</row>
    <row r="174" spans="1:15" x14ac:dyDescent="0.75">
      <c r="A174">
        <v>941</v>
      </c>
      <c r="B174" t="s">
        <v>826</v>
      </c>
      <c r="C174" t="s">
        <v>827</v>
      </c>
      <c r="D174" s="15">
        <v>7679.12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1184.3699999999999</v>
      </c>
      <c r="O174" s="15">
        <v>6167.35</v>
      </c>
    </row>
    <row r="175" spans="1:15" x14ac:dyDescent="0.75">
      <c r="A175">
        <v>942</v>
      </c>
      <c r="B175" t="s">
        <v>828</v>
      </c>
      <c r="C175" t="s">
        <v>829</v>
      </c>
      <c r="D175" s="15">
        <v>36216.29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426.37</v>
      </c>
      <c r="O175" s="15">
        <v>2296.81</v>
      </c>
    </row>
    <row r="176" spans="1:15" x14ac:dyDescent="0.75">
      <c r="A176" s="28">
        <v>53</v>
      </c>
      <c r="B176" s="28" t="s">
        <v>172</v>
      </c>
      <c r="C176" s="28" t="s">
        <v>173</v>
      </c>
      <c r="D176" s="29">
        <v>35938.85</v>
      </c>
      <c r="E176" s="29">
        <v>33731.050000000003</v>
      </c>
      <c r="F176" s="29">
        <v>35694.769999999997</v>
      </c>
      <c r="G176" s="29">
        <v>45955.4</v>
      </c>
      <c r="H176" s="29">
        <v>23853.71</v>
      </c>
      <c r="I176" s="29">
        <v>33729.919999999998</v>
      </c>
      <c r="J176" s="29">
        <v>37006.47</v>
      </c>
      <c r="K176" s="29">
        <v>39389.370000000003</v>
      </c>
      <c r="L176" s="29">
        <v>40497.72</v>
      </c>
      <c r="M176" s="29">
        <v>50486.79</v>
      </c>
      <c r="N176" s="29">
        <v>28708.63</v>
      </c>
      <c r="O176" s="29">
        <v>39279.279999999999</v>
      </c>
    </row>
    <row r="177" spans="1:15" x14ac:dyDescent="0.75">
      <c r="A177" s="28">
        <v>54</v>
      </c>
      <c r="B177" s="28" t="s">
        <v>174</v>
      </c>
      <c r="C177" s="28" t="s">
        <v>175</v>
      </c>
      <c r="D177" s="29">
        <v>35938.85</v>
      </c>
      <c r="E177" s="29">
        <v>33731.050000000003</v>
      </c>
      <c r="F177" s="29">
        <v>35694.769999999997</v>
      </c>
      <c r="G177" s="29">
        <v>45955.4</v>
      </c>
      <c r="H177" s="29">
        <v>23853.71</v>
      </c>
      <c r="I177" s="29">
        <v>33729.919999999998</v>
      </c>
      <c r="J177" s="29">
        <v>37006.47</v>
      </c>
      <c r="K177" s="29">
        <v>39389.370000000003</v>
      </c>
      <c r="L177" s="29">
        <v>40497.72</v>
      </c>
      <c r="M177" s="29">
        <v>50486.79</v>
      </c>
      <c r="N177" s="29">
        <v>28708.63</v>
      </c>
      <c r="O177" s="29">
        <v>39279.279999999999</v>
      </c>
    </row>
    <row r="178" spans="1:15" x14ac:dyDescent="0.75">
      <c r="A178">
        <v>55</v>
      </c>
      <c r="B178" t="s">
        <v>176</v>
      </c>
      <c r="C178" t="s">
        <v>177</v>
      </c>
      <c r="D178" s="15">
        <v>9512.77</v>
      </c>
      <c r="E178" s="15">
        <v>5700</v>
      </c>
      <c r="F178" s="15">
        <v>8365</v>
      </c>
      <c r="G178" s="15">
        <v>18722.95</v>
      </c>
      <c r="H178" s="15">
        <v>3480.35</v>
      </c>
      <c r="I178" s="15">
        <v>9914.27</v>
      </c>
      <c r="J178" s="15">
        <v>3960.11</v>
      </c>
      <c r="K178" s="15">
        <v>4831.83</v>
      </c>
      <c r="L178" s="15">
        <v>5606.02</v>
      </c>
      <c r="M178" s="15">
        <v>10404.9</v>
      </c>
      <c r="N178" s="15">
        <v>7375.17</v>
      </c>
      <c r="O178" s="15">
        <v>12163.3</v>
      </c>
    </row>
    <row r="179" spans="1:15" x14ac:dyDescent="0.75">
      <c r="A179">
        <v>58</v>
      </c>
      <c r="B179" t="s">
        <v>178</v>
      </c>
      <c r="C179" t="s">
        <v>179</v>
      </c>
      <c r="D179" s="15">
        <v>21794.84</v>
      </c>
      <c r="E179" s="15">
        <v>21377.35</v>
      </c>
      <c r="F179" s="15">
        <v>22597.39</v>
      </c>
      <c r="G179" s="15">
        <v>22197.35</v>
      </c>
      <c r="H179" s="15">
        <v>17501.72</v>
      </c>
      <c r="I179" s="15">
        <v>21537.05</v>
      </c>
      <c r="J179" s="15">
        <v>30734.84</v>
      </c>
      <c r="K179" s="15">
        <v>31204.58</v>
      </c>
      <c r="L179" s="15">
        <v>29903.94</v>
      </c>
      <c r="M179" s="15">
        <v>29655.25</v>
      </c>
      <c r="N179" s="15">
        <v>21333.46</v>
      </c>
      <c r="O179" s="15">
        <v>27115.98</v>
      </c>
    </row>
    <row r="180" spans="1:15" x14ac:dyDescent="0.75">
      <c r="A180">
        <v>1432</v>
      </c>
      <c r="B180" t="s">
        <v>180</v>
      </c>
      <c r="C180" t="s">
        <v>181</v>
      </c>
      <c r="D180" s="15">
        <v>4631.24</v>
      </c>
      <c r="E180" s="15">
        <v>6653.7</v>
      </c>
      <c r="F180" s="15">
        <v>4732.38</v>
      </c>
      <c r="G180" s="15">
        <v>5035.1000000000004</v>
      </c>
      <c r="H180" s="15">
        <v>2871.64</v>
      </c>
      <c r="I180" s="15">
        <v>2278.6</v>
      </c>
      <c r="J180" s="15">
        <v>2311.52</v>
      </c>
      <c r="K180" s="15">
        <v>3352.96</v>
      </c>
      <c r="L180" s="15">
        <v>4987.76</v>
      </c>
      <c r="M180" s="15">
        <v>10426.64</v>
      </c>
      <c r="N180" s="15">
        <v>0</v>
      </c>
      <c r="O180" s="15">
        <v>0</v>
      </c>
    </row>
    <row r="181" spans="1:15" x14ac:dyDescent="0.75">
      <c r="A181" s="28">
        <v>65</v>
      </c>
      <c r="B181" s="28" t="s">
        <v>182</v>
      </c>
      <c r="C181" s="28" t="s">
        <v>183</v>
      </c>
      <c r="D181" s="29">
        <v>32542.83</v>
      </c>
      <c r="E181" s="29">
        <v>31449.88</v>
      </c>
      <c r="F181" s="29">
        <v>28945.47</v>
      </c>
      <c r="G181" s="29">
        <v>31952.98</v>
      </c>
      <c r="H181" s="29">
        <v>27775.37</v>
      </c>
      <c r="I181" s="29">
        <v>26287.63</v>
      </c>
      <c r="J181" s="29">
        <v>25555.09</v>
      </c>
      <c r="K181" s="29">
        <v>25506.58</v>
      </c>
      <c r="L181" s="29">
        <v>23614.35</v>
      </c>
      <c r="M181" s="29">
        <v>22191.56</v>
      </c>
      <c r="N181" s="29">
        <v>21934.29</v>
      </c>
      <c r="O181" s="29">
        <v>22755.99</v>
      </c>
    </row>
    <row r="182" spans="1:15" x14ac:dyDescent="0.75">
      <c r="A182" s="28">
        <v>66</v>
      </c>
      <c r="B182" s="28" t="s">
        <v>184</v>
      </c>
      <c r="C182" s="28" t="s">
        <v>185</v>
      </c>
      <c r="D182" s="29">
        <v>32542.83</v>
      </c>
      <c r="E182" s="29">
        <v>31449.88</v>
      </c>
      <c r="F182" s="29">
        <v>28945.47</v>
      </c>
      <c r="G182" s="29">
        <v>31952.98</v>
      </c>
      <c r="H182" s="29">
        <v>27775.37</v>
      </c>
      <c r="I182" s="29">
        <v>26287.63</v>
      </c>
      <c r="J182" s="29">
        <v>25555.09</v>
      </c>
      <c r="K182" s="29">
        <v>25506.58</v>
      </c>
      <c r="L182" s="29">
        <v>23614.35</v>
      </c>
      <c r="M182" s="29">
        <v>22191.56</v>
      </c>
      <c r="N182" s="29">
        <v>21934.29</v>
      </c>
      <c r="O182" s="29">
        <v>22755.99</v>
      </c>
    </row>
    <row r="183" spans="1:15" x14ac:dyDescent="0.75">
      <c r="A183">
        <v>67</v>
      </c>
      <c r="B183" t="s">
        <v>186</v>
      </c>
      <c r="C183" t="s">
        <v>187</v>
      </c>
      <c r="D183" s="15">
        <v>5268.39</v>
      </c>
      <c r="E183" s="15">
        <v>4849.32</v>
      </c>
      <c r="F183" s="15">
        <v>4430.25</v>
      </c>
      <c r="G183" s="15">
        <v>4011.18</v>
      </c>
      <c r="H183" s="15">
        <v>3592.11</v>
      </c>
      <c r="I183" s="15">
        <v>3173.04</v>
      </c>
      <c r="J183" s="15">
        <v>2753.97</v>
      </c>
      <c r="K183" s="15">
        <v>2508.06</v>
      </c>
      <c r="L183" s="15">
        <v>2088.9899999999998</v>
      </c>
      <c r="M183" s="15">
        <v>2016.34</v>
      </c>
      <c r="N183" s="15">
        <v>1770.42</v>
      </c>
      <c r="O183" s="15">
        <v>1524.5</v>
      </c>
    </row>
    <row r="184" spans="1:15" x14ac:dyDescent="0.75">
      <c r="A184">
        <v>679</v>
      </c>
      <c r="B184" t="s">
        <v>188</v>
      </c>
      <c r="C184" t="s">
        <v>189</v>
      </c>
      <c r="D184" s="15">
        <v>583.48</v>
      </c>
      <c r="E184" s="15">
        <v>437.62</v>
      </c>
      <c r="F184" s="15">
        <v>291.76</v>
      </c>
      <c r="G184" s="15">
        <v>145.9</v>
      </c>
      <c r="H184" s="15">
        <v>0</v>
      </c>
      <c r="I184" s="15">
        <v>729.3</v>
      </c>
      <c r="J184" s="15">
        <v>583.4</v>
      </c>
      <c r="K184" s="15">
        <v>437.5</v>
      </c>
      <c r="L184" s="15">
        <v>291.60000000000002</v>
      </c>
      <c r="M184" s="15">
        <v>145.69999999999999</v>
      </c>
      <c r="N184" s="15">
        <v>0</v>
      </c>
      <c r="O184" s="15">
        <v>729.34</v>
      </c>
    </row>
    <row r="185" spans="1:15" x14ac:dyDescent="0.75">
      <c r="A185">
        <v>680</v>
      </c>
      <c r="B185" t="s">
        <v>190</v>
      </c>
      <c r="C185" t="s">
        <v>191</v>
      </c>
      <c r="D185" s="15">
        <v>1564.5</v>
      </c>
      <c r="E185" s="15">
        <v>1408.05</v>
      </c>
      <c r="F185" s="15">
        <v>1251.5999999999999</v>
      </c>
      <c r="G185" s="15">
        <v>1095.1500000000001</v>
      </c>
      <c r="H185" s="15">
        <v>938.7</v>
      </c>
      <c r="I185" s="15">
        <v>782.25</v>
      </c>
      <c r="J185" s="15">
        <v>625.79999999999995</v>
      </c>
      <c r="K185" s="15">
        <v>469.35</v>
      </c>
      <c r="L185" s="15">
        <v>312.89999999999998</v>
      </c>
      <c r="M185" s="15">
        <v>156.44999999999999</v>
      </c>
      <c r="N185" s="15">
        <v>0</v>
      </c>
      <c r="O185" s="15">
        <v>1720.95</v>
      </c>
    </row>
    <row r="186" spans="1:15" x14ac:dyDescent="0.75">
      <c r="A186">
        <v>681</v>
      </c>
      <c r="B186" t="s">
        <v>192</v>
      </c>
      <c r="C186" t="s">
        <v>193</v>
      </c>
      <c r="D186" s="15">
        <v>9625.4599999999991</v>
      </c>
      <c r="E186" s="15">
        <v>8753.11</v>
      </c>
      <c r="F186" s="15">
        <v>8376.86</v>
      </c>
      <c r="G186" s="15">
        <v>9195.75</v>
      </c>
      <c r="H186" s="15">
        <v>9909.56</v>
      </c>
      <c r="I186" s="15">
        <v>8099.72</v>
      </c>
      <c r="J186" s="15">
        <v>7796.76</v>
      </c>
      <c r="K186" s="15">
        <v>8005.97</v>
      </c>
      <c r="L186" s="15">
        <v>7228.86</v>
      </c>
      <c r="M186" s="15">
        <v>6928.07</v>
      </c>
      <c r="N186" s="15">
        <v>6176.13</v>
      </c>
      <c r="O186" s="15">
        <v>5582.04</v>
      </c>
    </row>
    <row r="187" spans="1:15" x14ac:dyDescent="0.75">
      <c r="A187">
        <v>1648</v>
      </c>
      <c r="B187" t="s">
        <v>194</v>
      </c>
      <c r="C187" t="s">
        <v>195</v>
      </c>
      <c r="D187" s="15">
        <v>15501</v>
      </c>
      <c r="E187" s="15">
        <v>16001.78</v>
      </c>
      <c r="F187" s="15">
        <v>14595</v>
      </c>
      <c r="G187" s="15">
        <v>17505</v>
      </c>
      <c r="H187" s="15">
        <v>13335</v>
      </c>
      <c r="I187" s="15">
        <v>13503.32</v>
      </c>
      <c r="J187" s="15">
        <v>13795.16</v>
      </c>
      <c r="K187" s="15">
        <v>14085.7</v>
      </c>
      <c r="L187" s="15">
        <v>13692</v>
      </c>
      <c r="M187" s="15">
        <v>12945</v>
      </c>
      <c r="N187" s="15">
        <v>13987.74</v>
      </c>
      <c r="O187" s="15">
        <v>13199.16</v>
      </c>
    </row>
    <row r="188" spans="1:15" x14ac:dyDescent="0.75">
      <c r="A188" s="28">
        <v>501</v>
      </c>
      <c r="B188" s="28" t="s">
        <v>196</v>
      </c>
      <c r="C188" s="28" t="s">
        <v>197</v>
      </c>
      <c r="D188" s="29">
        <v>323843.09999999998</v>
      </c>
      <c r="E188" s="29">
        <v>324320.67</v>
      </c>
      <c r="F188" s="29">
        <v>331949.57</v>
      </c>
      <c r="G188" s="29">
        <v>341789.47</v>
      </c>
      <c r="H188" s="29">
        <v>338670.37</v>
      </c>
      <c r="I188" s="29">
        <v>335551.27</v>
      </c>
      <c r="J188" s="29">
        <v>332600.17</v>
      </c>
      <c r="K188" s="29">
        <v>329481.07</v>
      </c>
      <c r="L188" s="29">
        <v>333423</v>
      </c>
      <c r="M188" s="29">
        <v>335513.43</v>
      </c>
      <c r="N188" s="29">
        <v>332503.86</v>
      </c>
      <c r="O188" s="29">
        <v>329494.28999999998</v>
      </c>
    </row>
    <row r="189" spans="1:15" x14ac:dyDescent="0.75">
      <c r="A189" s="28">
        <v>76</v>
      </c>
      <c r="B189" s="28" t="s">
        <v>956</v>
      </c>
      <c r="C189" s="28" t="s">
        <v>140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168</v>
      </c>
      <c r="K189" s="29">
        <v>168</v>
      </c>
      <c r="L189" s="29">
        <v>168</v>
      </c>
      <c r="M189" s="29">
        <v>168</v>
      </c>
      <c r="N189" s="29">
        <v>168</v>
      </c>
      <c r="O189" s="29">
        <v>168</v>
      </c>
    </row>
    <row r="190" spans="1:15" x14ac:dyDescent="0.75">
      <c r="A190" s="28">
        <v>80</v>
      </c>
      <c r="B190" s="28" t="s">
        <v>1016</v>
      </c>
      <c r="C190" s="28" t="s">
        <v>1017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168</v>
      </c>
      <c r="K190" s="29">
        <v>168</v>
      </c>
      <c r="L190" s="29">
        <v>168</v>
      </c>
      <c r="M190" s="29">
        <v>168</v>
      </c>
      <c r="N190" s="29">
        <v>168</v>
      </c>
      <c r="O190" s="29">
        <v>168</v>
      </c>
    </row>
    <row r="191" spans="1:15" x14ac:dyDescent="0.75">
      <c r="A191">
        <v>1282</v>
      </c>
      <c r="B191" t="s">
        <v>1018</v>
      </c>
      <c r="C191" t="s">
        <v>581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168</v>
      </c>
      <c r="K191" s="15">
        <v>168</v>
      </c>
      <c r="L191" s="15">
        <v>168</v>
      </c>
      <c r="M191" s="15">
        <v>168</v>
      </c>
      <c r="N191" s="15">
        <v>168</v>
      </c>
      <c r="O191" s="15">
        <v>168</v>
      </c>
    </row>
    <row r="192" spans="1:15" x14ac:dyDescent="0.75">
      <c r="A192" s="28">
        <v>111</v>
      </c>
      <c r="B192" s="28" t="s">
        <v>198</v>
      </c>
      <c r="C192" s="28" t="s">
        <v>199</v>
      </c>
      <c r="D192" s="29">
        <v>323843.09999999998</v>
      </c>
      <c r="E192" s="29">
        <v>324320.67</v>
      </c>
      <c r="F192" s="29">
        <v>331949.57</v>
      </c>
      <c r="G192" s="29">
        <v>341789.47</v>
      </c>
      <c r="H192" s="29">
        <v>338670.37</v>
      </c>
      <c r="I192" s="29">
        <v>335551.27</v>
      </c>
      <c r="J192" s="29">
        <v>332432.17</v>
      </c>
      <c r="K192" s="29">
        <v>329313.07</v>
      </c>
      <c r="L192" s="29">
        <v>333255</v>
      </c>
      <c r="M192" s="29">
        <v>335345.43</v>
      </c>
      <c r="N192" s="29">
        <v>332335.86</v>
      </c>
      <c r="O192" s="29">
        <v>329326.28999999998</v>
      </c>
    </row>
    <row r="193" spans="1:15" x14ac:dyDescent="0.75">
      <c r="A193" s="28">
        <v>112</v>
      </c>
      <c r="B193" s="28" t="s">
        <v>200</v>
      </c>
      <c r="C193" s="28" t="s">
        <v>201</v>
      </c>
      <c r="D193" s="29">
        <v>54807.5</v>
      </c>
      <c r="E193" s="29">
        <v>54807.5</v>
      </c>
      <c r="F193" s="29">
        <v>54807.5</v>
      </c>
      <c r="G193" s="29">
        <v>54807.5</v>
      </c>
      <c r="H193" s="29">
        <v>54807.5</v>
      </c>
      <c r="I193" s="29">
        <v>54807.5</v>
      </c>
      <c r="J193" s="29">
        <v>54807.5</v>
      </c>
      <c r="K193" s="29">
        <v>54807.5</v>
      </c>
      <c r="L193" s="29">
        <v>54807.5</v>
      </c>
      <c r="M193" s="29">
        <v>54807.5</v>
      </c>
      <c r="N193" s="29">
        <v>54807.5</v>
      </c>
      <c r="O193" s="29">
        <v>54807.5</v>
      </c>
    </row>
    <row r="194" spans="1:15" x14ac:dyDescent="0.75">
      <c r="A194">
        <v>114</v>
      </c>
      <c r="B194" t="s">
        <v>202</v>
      </c>
      <c r="C194" t="s">
        <v>203</v>
      </c>
      <c r="D194" s="15">
        <v>54807.5</v>
      </c>
      <c r="E194" s="15">
        <v>54807.5</v>
      </c>
      <c r="F194" s="15">
        <v>54807.5</v>
      </c>
      <c r="G194" s="15">
        <v>54807.5</v>
      </c>
      <c r="H194" s="15">
        <v>54807.5</v>
      </c>
      <c r="I194" s="15">
        <v>54807.5</v>
      </c>
      <c r="J194" s="15">
        <v>54807.5</v>
      </c>
      <c r="K194" s="15">
        <v>54807.5</v>
      </c>
      <c r="L194" s="15">
        <v>54807.5</v>
      </c>
      <c r="M194" s="15">
        <v>54807.5</v>
      </c>
      <c r="N194" s="15">
        <v>54807.5</v>
      </c>
      <c r="O194" s="15">
        <v>54807.5</v>
      </c>
    </row>
    <row r="195" spans="1:15" x14ac:dyDescent="0.75">
      <c r="A195" s="28">
        <v>116</v>
      </c>
      <c r="B195" s="28" t="s">
        <v>204</v>
      </c>
      <c r="C195" s="28" t="s">
        <v>205</v>
      </c>
      <c r="D195" s="29">
        <v>92086.59</v>
      </c>
      <c r="E195" s="29">
        <v>92086.59</v>
      </c>
      <c r="F195" s="29">
        <v>102726.59</v>
      </c>
      <c r="G195" s="29">
        <v>115685.59</v>
      </c>
      <c r="H195" s="29">
        <v>115685.59</v>
      </c>
      <c r="I195" s="29">
        <v>115685.59</v>
      </c>
      <c r="J195" s="29">
        <v>115685.59</v>
      </c>
      <c r="K195" s="29">
        <v>115685.59</v>
      </c>
      <c r="L195" s="29">
        <v>118915.59</v>
      </c>
      <c r="M195" s="29">
        <v>118915.59</v>
      </c>
      <c r="N195" s="29">
        <v>118915.59</v>
      </c>
      <c r="O195" s="29">
        <v>118915.59</v>
      </c>
    </row>
    <row r="196" spans="1:15" x14ac:dyDescent="0.75">
      <c r="A196">
        <v>117</v>
      </c>
      <c r="B196" t="s">
        <v>206</v>
      </c>
      <c r="C196" t="s">
        <v>205</v>
      </c>
      <c r="D196" s="15">
        <v>92086.59</v>
      </c>
      <c r="E196" s="15">
        <v>92086.59</v>
      </c>
      <c r="F196" s="15">
        <v>102726.59</v>
      </c>
      <c r="G196" s="15">
        <v>115685.59</v>
      </c>
      <c r="H196" s="15">
        <v>115685.59</v>
      </c>
      <c r="I196" s="15">
        <v>115685.59</v>
      </c>
      <c r="J196" s="15">
        <v>115685.59</v>
      </c>
      <c r="K196" s="15">
        <v>115685.59</v>
      </c>
      <c r="L196" s="15">
        <v>118915.59</v>
      </c>
      <c r="M196" s="15">
        <v>118915.59</v>
      </c>
      <c r="N196" s="15">
        <v>118915.59</v>
      </c>
      <c r="O196" s="15">
        <v>118915.59</v>
      </c>
    </row>
    <row r="197" spans="1:15" x14ac:dyDescent="0.75">
      <c r="A197" s="28">
        <v>118</v>
      </c>
      <c r="B197" s="28" t="s">
        <v>207</v>
      </c>
      <c r="C197" s="28" t="s">
        <v>208</v>
      </c>
      <c r="D197" s="29">
        <v>242291.27</v>
      </c>
      <c r="E197" s="29">
        <v>245691.27</v>
      </c>
      <c r="F197" s="29">
        <v>245691.27</v>
      </c>
      <c r="G197" s="29">
        <v>245691.27</v>
      </c>
      <c r="H197" s="29">
        <v>245691.27</v>
      </c>
      <c r="I197" s="29">
        <v>245691.27</v>
      </c>
      <c r="J197" s="29">
        <v>245691.27</v>
      </c>
      <c r="K197" s="29">
        <v>245691.27</v>
      </c>
      <c r="L197" s="29">
        <v>249370.27</v>
      </c>
      <c r="M197" s="29">
        <v>254470.27</v>
      </c>
      <c r="N197" s="29">
        <v>254470.27</v>
      </c>
      <c r="O197" s="29">
        <v>254470.27</v>
      </c>
    </row>
    <row r="198" spans="1:15" x14ac:dyDescent="0.75">
      <c r="A198">
        <v>119</v>
      </c>
      <c r="B198" t="s">
        <v>209</v>
      </c>
      <c r="C198" t="s">
        <v>210</v>
      </c>
      <c r="D198" s="15">
        <v>235141.27</v>
      </c>
      <c r="E198" s="15">
        <v>238541.27</v>
      </c>
      <c r="F198" s="15">
        <v>238541.27</v>
      </c>
      <c r="G198" s="15">
        <v>238541.27</v>
      </c>
      <c r="H198" s="15">
        <v>238541.27</v>
      </c>
      <c r="I198" s="15">
        <v>238541.27</v>
      </c>
      <c r="J198" s="15">
        <v>238541.27</v>
      </c>
      <c r="K198" s="15">
        <v>238541.27</v>
      </c>
      <c r="L198" s="15">
        <v>242220.27</v>
      </c>
      <c r="M198" s="15">
        <v>242220.27</v>
      </c>
      <c r="N198" s="15">
        <v>242220.27</v>
      </c>
      <c r="O198" s="15">
        <v>242220.27</v>
      </c>
    </row>
    <row r="199" spans="1:15" x14ac:dyDescent="0.75">
      <c r="A199">
        <v>728</v>
      </c>
      <c r="B199" t="s">
        <v>211</v>
      </c>
      <c r="C199" t="s">
        <v>212</v>
      </c>
      <c r="D199" s="15">
        <v>7150</v>
      </c>
      <c r="E199" s="15">
        <v>7150</v>
      </c>
      <c r="F199" s="15">
        <v>7150</v>
      </c>
      <c r="G199" s="15">
        <v>7150</v>
      </c>
      <c r="H199" s="15">
        <v>7150</v>
      </c>
      <c r="I199" s="15">
        <v>7150</v>
      </c>
      <c r="J199" s="15">
        <v>7150</v>
      </c>
      <c r="K199" s="15">
        <v>7150</v>
      </c>
      <c r="L199" s="15">
        <v>7150</v>
      </c>
      <c r="M199" s="15">
        <v>12250</v>
      </c>
      <c r="N199" s="15">
        <v>12250</v>
      </c>
      <c r="O199" s="15">
        <v>12250</v>
      </c>
    </row>
    <row r="200" spans="1:15" x14ac:dyDescent="0.75">
      <c r="A200" s="28">
        <v>120</v>
      </c>
      <c r="B200" s="28" t="s">
        <v>213</v>
      </c>
      <c r="C200" s="28" t="s">
        <v>214</v>
      </c>
      <c r="D200" s="29">
        <v>264745</v>
      </c>
      <c r="E200" s="29">
        <v>264745</v>
      </c>
      <c r="F200" s="29">
        <v>264745</v>
      </c>
      <c r="G200" s="29">
        <v>264745</v>
      </c>
      <c r="H200" s="29">
        <v>264745</v>
      </c>
      <c r="I200" s="29">
        <v>264745</v>
      </c>
      <c r="J200" s="29">
        <v>264745</v>
      </c>
      <c r="K200" s="29">
        <v>264745</v>
      </c>
      <c r="L200" s="29">
        <v>264745</v>
      </c>
      <c r="M200" s="29">
        <v>264745</v>
      </c>
      <c r="N200" s="29">
        <v>264745</v>
      </c>
      <c r="O200" s="29">
        <v>264745</v>
      </c>
    </row>
    <row r="201" spans="1:15" x14ac:dyDescent="0.75">
      <c r="A201">
        <v>121</v>
      </c>
      <c r="B201" t="s">
        <v>215</v>
      </c>
      <c r="C201" t="s">
        <v>214</v>
      </c>
      <c r="D201" s="15">
        <v>264745</v>
      </c>
      <c r="E201" s="15">
        <v>264745</v>
      </c>
      <c r="F201" s="15">
        <v>264745</v>
      </c>
      <c r="G201" s="15">
        <v>264745</v>
      </c>
      <c r="H201" s="15">
        <v>264745</v>
      </c>
      <c r="I201" s="15">
        <v>264745</v>
      </c>
      <c r="J201" s="15">
        <v>264745</v>
      </c>
      <c r="K201" s="15">
        <v>264745</v>
      </c>
      <c r="L201" s="15">
        <v>264745</v>
      </c>
      <c r="M201" s="15">
        <v>264745</v>
      </c>
      <c r="N201" s="15">
        <v>264745</v>
      </c>
      <c r="O201" s="15">
        <v>264745</v>
      </c>
    </row>
    <row r="202" spans="1:15" x14ac:dyDescent="0.75">
      <c r="A202" s="28">
        <v>122</v>
      </c>
      <c r="B202" s="28" t="s">
        <v>216</v>
      </c>
      <c r="C202" s="28" t="s">
        <v>217</v>
      </c>
      <c r="D202" s="29">
        <v>11871.62</v>
      </c>
      <c r="E202" s="29">
        <v>11871.62</v>
      </c>
      <c r="F202" s="29">
        <v>11871.62</v>
      </c>
      <c r="G202" s="29">
        <v>11871.62</v>
      </c>
      <c r="H202" s="29">
        <v>11871.62</v>
      </c>
      <c r="I202" s="29">
        <v>11871.62</v>
      </c>
      <c r="J202" s="29">
        <v>11871.62</v>
      </c>
      <c r="K202" s="29">
        <v>11871.62</v>
      </c>
      <c r="L202" s="29">
        <v>11871.62</v>
      </c>
      <c r="M202" s="29">
        <v>11871.62</v>
      </c>
      <c r="N202" s="29">
        <v>11871.62</v>
      </c>
      <c r="O202" s="29">
        <v>11871.62</v>
      </c>
    </row>
    <row r="203" spans="1:15" x14ac:dyDescent="0.75">
      <c r="A203">
        <v>551</v>
      </c>
      <c r="B203" t="s">
        <v>218</v>
      </c>
      <c r="C203" t="s">
        <v>217</v>
      </c>
      <c r="D203" s="15">
        <v>11871.62</v>
      </c>
      <c r="E203" s="15">
        <v>11871.62</v>
      </c>
      <c r="F203" s="15">
        <v>11871.62</v>
      </c>
      <c r="G203" s="15">
        <v>11871.62</v>
      </c>
      <c r="H203" s="15">
        <v>11871.62</v>
      </c>
      <c r="I203" s="15">
        <v>11871.62</v>
      </c>
      <c r="J203" s="15">
        <v>11871.62</v>
      </c>
      <c r="K203" s="15">
        <v>11871.62</v>
      </c>
      <c r="L203" s="15">
        <v>11871.62</v>
      </c>
      <c r="M203" s="15">
        <v>11871.62</v>
      </c>
      <c r="N203" s="15">
        <v>11871.62</v>
      </c>
      <c r="O203" s="15">
        <v>11871.62</v>
      </c>
    </row>
    <row r="204" spans="1:15" x14ac:dyDescent="0.75">
      <c r="A204" s="28">
        <v>125</v>
      </c>
      <c r="B204" s="28" t="s">
        <v>219</v>
      </c>
      <c r="C204" s="28" t="s">
        <v>220</v>
      </c>
      <c r="D204" s="29">
        <v>-341958.88</v>
      </c>
      <c r="E204" s="29">
        <v>-344881.31</v>
      </c>
      <c r="F204" s="29">
        <v>-347892.41</v>
      </c>
      <c r="G204" s="29">
        <v>-351011.51</v>
      </c>
      <c r="H204" s="29">
        <v>-354130.61</v>
      </c>
      <c r="I204" s="29">
        <v>-357249.71</v>
      </c>
      <c r="J204" s="29">
        <v>-360368.81</v>
      </c>
      <c r="K204" s="29">
        <v>-363487.91</v>
      </c>
      <c r="L204" s="29">
        <v>-366454.98</v>
      </c>
      <c r="M204" s="29">
        <v>-369464.55</v>
      </c>
      <c r="N204" s="29">
        <v>-372474.12</v>
      </c>
      <c r="O204" s="29">
        <v>-375483.69</v>
      </c>
    </row>
    <row r="205" spans="1:15" x14ac:dyDescent="0.75">
      <c r="A205">
        <v>126</v>
      </c>
      <c r="B205" t="s">
        <v>221</v>
      </c>
      <c r="C205" t="s">
        <v>222</v>
      </c>
      <c r="D205" s="15">
        <v>-3086.99</v>
      </c>
      <c r="E205" s="15">
        <v>-3163.94</v>
      </c>
      <c r="F205" s="15">
        <v>-3240.89</v>
      </c>
      <c r="G205" s="15">
        <v>-3317.84</v>
      </c>
      <c r="H205" s="15">
        <v>-3394.79</v>
      </c>
      <c r="I205" s="15">
        <v>-3471.74</v>
      </c>
      <c r="J205" s="15">
        <v>-3548.69</v>
      </c>
      <c r="K205" s="15">
        <v>-3625.64</v>
      </c>
      <c r="L205" s="15">
        <v>-3702.59</v>
      </c>
      <c r="M205" s="15">
        <v>-3779.54</v>
      </c>
      <c r="N205" s="15">
        <v>-3856.49</v>
      </c>
      <c r="O205" s="15">
        <v>-3933.44</v>
      </c>
    </row>
    <row r="206" spans="1:15" x14ac:dyDescent="0.75">
      <c r="A206">
        <v>127</v>
      </c>
      <c r="B206" t="s">
        <v>223</v>
      </c>
      <c r="C206" t="s">
        <v>224</v>
      </c>
      <c r="D206" s="15">
        <v>-16069.12</v>
      </c>
      <c r="E206" s="15">
        <v>-16760.48</v>
      </c>
      <c r="F206" s="15">
        <v>-17540.509999999998</v>
      </c>
      <c r="G206" s="15">
        <v>-18428.54</v>
      </c>
      <c r="H206" s="15">
        <v>-19316.57</v>
      </c>
      <c r="I206" s="15">
        <v>-20204.599999999999</v>
      </c>
      <c r="J206" s="15">
        <v>-21092.63</v>
      </c>
      <c r="K206" s="15">
        <v>-21980.66</v>
      </c>
      <c r="L206" s="15">
        <v>-22868.69</v>
      </c>
      <c r="M206" s="15">
        <v>-23756.720000000001</v>
      </c>
      <c r="N206" s="15">
        <v>-24644.75</v>
      </c>
      <c r="O206" s="15">
        <v>-25532.78</v>
      </c>
    </row>
    <row r="207" spans="1:15" x14ac:dyDescent="0.75">
      <c r="A207">
        <v>128</v>
      </c>
      <c r="B207" t="s">
        <v>225</v>
      </c>
      <c r="C207" t="s">
        <v>226</v>
      </c>
      <c r="D207" s="15">
        <v>-48698.38</v>
      </c>
      <c r="E207" s="15">
        <v>-50669.81</v>
      </c>
      <c r="F207" s="15">
        <v>-52641.24</v>
      </c>
      <c r="G207" s="15">
        <v>-54612.67</v>
      </c>
      <c r="H207" s="15">
        <v>-56584.1</v>
      </c>
      <c r="I207" s="15">
        <v>-58555.53</v>
      </c>
      <c r="J207" s="15">
        <v>-60526.96</v>
      </c>
      <c r="K207" s="15">
        <v>-62498.39</v>
      </c>
      <c r="L207" s="15">
        <v>-64500.480000000003</v>
      </c>
      <c r="M207" s="15">
        <v>-66502.570000000007</v>
      </c>
      <c r="N207" s="15">
        <v>-68504.66</v>
      </c>
      <c r="O207" s="15">
        <v>-70506.75</v>
      </c>
    </row>
    <row r="208" spans="1:15" x14ac:dyDescent="0.75">
      <c r="A208">
        <v>129</v>
      </c>
      <c r="B208" t="s">
        <v>227</v>
      </c>
      <c r="C208" t="s">
        <v>228</v>
      </c>
      <c r="D208" s="15">
        <v>-264745</v>
      </c>
      <c r="E208" s="15">
        <v>-264745</v>
      </c>
      <c r="F208" s="15">
        <v>-264745</v>
      </c>
      <c r="G208" s="15">
        <v>-264745</v>
      </c>
      <c r="H208" s="15">
        <v>-264745</v>
      </c>
      <c r="I208" s="15">
        <v>-264745</v>
      </c>
      <c r="J208" s="15">
        <v>-264745</v>
      </c>
      <c r="K208" s="15">
        <v>-264745</v>
      </c>
      <c r="L208" s="15">
        <v>-264745</v>
      </c>
      <c r="M208" s="15">
        <v>-264745</v>
      </c>
      <c r="N208" s="15">
        <v>-264745</v>
      </c>
      <c r="O208" s="15">
        <v>-264745</v>
      </c>
    </row>
    <row r="209" spans="1:15" x14ac:dyDescent="0.75">
      <c r="A209">
        <v>729</v>
      </c>
      <c r="B209" t="s">
        <v>229</v>
      </c>
      <c r="C209" t="s">
        <v>1238</v>
      </c>
      <c r="D209" s="15">
        <v>-3851.23</v>
      </c>
      <c r="E209" s="15">
        <v>-3851.23</v>
      </c>
      <c r="F209" s="15">
        <v>-3851.23</v>
      </c>
      <c r="G209" s="15">
        <v>-3851.23</v>
      </c>
      <c r="H209" s="15">
        <v>-3851.23</v>
      </c>
      <c r="I209" s="15">
        <v>-3851.23</v>
      </c>
      <c r="J209" s="15">
        <v>-3851.23</v>
      </c>
      <c r="K209" s="15">
        <v>-3851.23</v>
      </c>
      <c r="L209" s="15">
        <v>-3851.23</v>
      </c>
      <c r="M209" s="15">
        <v>-3893.73</v>
      </c>
      <c r="N209" s="15">
        <v>-3936.23</v>
      </c>
      <c r="O209" s="15">
        <v>-3978.73</v>
      </c>
    </row>
    <row r="210" spans="1:15" x14ac:dyDescent="0.75">
      <c r="A210">
        <v>1382</v>
      </c>
      <c r="B210" t="s">
        <v>230</v>
      </c>
      <c r="C210" t="s">
        <v>231</v>
      </c>
      <c r="D210" s="15">
        <v>-5508.16</v>
      </c>
      <c r="E210" s="15">
        <v>-5690.85</v>
      </c>
      <c r="F210" s="15">
        <v>-5873.54</v>
      </c>
      <c r="G210" s="15">
        <v>-6056.23</v>
      </c>
      <c r="H210" s="15">
        <v>-6238.92</v>
      </c>
      <c r="I210" s="15">
        <v>-6421.61</v>
      </c>
      <c r="J210" s="15">
        <v>-6604.3</v>
      </c>
      <c r="K210" s="15">
        <v>-6786.99</v>
      </c>
      <c r="L210" s="15">
        <v>-6786.99</v>
      </c>
      <c r="M210" s="15">
        <v>-6786.99</v>
      </c>
      <c r="N210" s="15">
        <v>-6786.99</v>
      </c>
      <c r="O210" s="15">
        <v>-6786.99</v>
      </c>
    </row>
    <row r="211" spans="1:15" x14ac:dyDescent="0.75">
      <c r="A211" s="28">
        <v>149</v>
      </c>
      <c r="B211" s="28" t="s">
        <v>232</v>
      </c>
      <c r="C211" s="28" t="s">
        <v>233</v>
      </c>
      <c r="D211" s="29">
        <v>-2382469.2400000002</v>
      </c>
      <c r="E211" s="29">
        <v>-2211813.46</v>
      </c>
      <c r="F211" s="29">
        <v>-2263002.15</v>
      </c>
      <c r="G211" s="29">
        <v>-2063800.99</v>
      </c>
      <c r="H211" s="29">
        <v>-2110323.7400000002</v>
      </c>
      <c r="I211" s="29">
        <v>-2273489.4900000002</v>
      </c>
      <c r="J211" s="29">
        <v>-2076049.17</v>
      </c>
      <c r="K211" s="29">
        <v>-2652201.9900000002</v>
      </c>
      <c r="L211" s="29">
        <v>-2537331.2599999998</v>
      </c>
      <c r="M211" s="29">
        <v>-2249053.09</v>
      </c>
      <c r="N211" s="29">
        <v>-2472295.21</v>
      </c>
      <c r="O211" s="29">
        <v>-2344999.71</v>
      </c>
    </row>
    <row r="212" spans="1:15" x14ac:dyDescent="0.75">
      <c r="A212" s="28">
        <v>150</v>
      </c>
      <c r="B212" s="28" t="s">
        <v>234</v>
      </c>
      <c r="C212" s="28" t="s">
        <v>235</v>
      </c>
      <c r="D212" s="29">
        <v>-2414075.62</v>
      </c>
      <c r="E212" s="29">
        <v>-2063365.84</v>
      </c>
      <c r="F212" s="29">
        <v>-2167646.21</v>
      </c>
      <c r="G212" s="29">
        <v>-1973144.19</v>
      </c>
      <c r="H212" s="29">
        <v>-1700408.29</v>
      </c>
      <c r="I212" s="29">
        <v>-1870046.04</v>
      </c>
      <c r="J212" s="29">
        <v>-1672038</v>
      </c>
      <c r="K212" s="29">
        <v>-1910423.12</v>
      </c>
      <c r="L212" s="29">
        <v>-1808824.58</v>
      </c>
      <c r="M212" s="29">
        <v>-1549017.77</v>
      </c>
      <c r="N212" s="29">
        <v>-1820366.32</v>
      </c>
      <c r="O212" s="29">
        <v>-1671899.82</v>
      </c>
    </row>
    <row r="213" spans="1:15" x14ac:dyDescent="0.75">
      <c r="A213" s="28">
        <v>382</v>
      </c>
      <c r="B213" s="28" t="s">
        <v>236</v>
      </c>
      <c r="C213" s="28" t="s">
        <v>237</v>
      </c>
      <c r="D213" s="29">
        <v>-253589.75</v>
      </c>
      <c r="E213" s="29">
        <v>-223731.95</v>
      </c>
      <c r="F213" s="29">
        <v>-202921.79</v>
      </c>
      <c r="G213" s="29">
        <v>-173385.83</v>
      </c>
      <c r="H213" s="29">
        <v>-143936.45000000001</v>
      </c>
      <c r="I213" s="29">
        <v>-114601.14</v>
      </c>
      <c r="J213" s="29">
        <v>-85359.43</v>
      </c>
      <c r="K213" s="29">
        <v>-62103.25</v>
      </c>
      <c r="L213" s="29">
        <v>-41402.15</v>
      </c>
      <c r="M213" s="29">
        <v>-20701.05</v>
      </c>
      <c r="N213" s="29">
        <v>-365217.71</v>
      </c>
      <c r="O213" s="29">
        <v>-274820.82</v>
      </c>
    </row>
    <row r="214" spans="1:15" x14ac:dyDescent="0.75">
      <c r="A214" s="28">
        <v>151</v>
      </c>
      <c r="B214" s="28" t="s">
        <v>238</v>
      </c>
      <c r="C214" s="28" t="s">
        <v>239</v>
      </c>
      <c r="D214" s="29">
        <v>-253589.75</v>
      </c>
      <c r="E214" s="29">
        <v>-223731.95</v>
      </c>
      <c r="F214" s="29">
        <v>-202921.79</v>
      </c>
      <c r="G214" s="29">
        <v>-173385.83</v>
      </c>
      <c r="H214" s="29">
        <v>-143936.45000000001</v>
      </c>
      <c r="I214" s="29">
        <v>-114601.14</v>
      </c>
      <c r="J214" s="29">
        <v>-85359.43</v>
      </c>
      <c r="K214" s="29">
        <v>-62103.25</v>
      </c>
      <c r="L214" s="29">
        <v>-41402.15</v>
      </c>
      <c r="M214" s="29">
        <v>-20701.05</v>
      </c>
      <c r="N214" s="29">
        <v>-365217.71</v>
      </c>
      <c r="O214" s="29">
        <v>-274820.82</v>
      </c>
    </row>
    <row r="215" spans="1:15" x14ac:dyDescent="0.75">
      <c r="A215">
        <v>155</v>
      </c>
      <c r="B215" t="s">
        <v>1340</v>
      </c>
      <c r="C215" t="s">
        <v>1341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-300000</v>
      </c>
      <c r="O215" s="15">
        <v>-235714.29</v>
      </c>
    </row>
    <row r="216" spans="1:15" x14ac:dyDescent="0.75">
      <c r="A216">
        <v>1457</v>
      </c>
      <c r="B216" t="s">
        <v>240</v>
      </c>
      <c r="C216" t="s">
        <v>1342</v>
      </c>
      <c r="D216" s="15">
        <v>-45136.86</v>
      </c>
      <c r="E216" s="15">
        <v>-35858.43</v>
      </c>
      <c r="F216" s="15">
        <v>-41666.65</v>
      </c>
      <c r="G216" s="15">
        <v>-31961.07</v>
      </c>
      <c r="H216" s="15">
        <v>-22342.07</v>
      </c>
      <c r="I216" s="15">
        <v>-12837.14</v>
      </c>
      <c r="J216" s="15">
        <v>-3425.8</v>
      </c>
      <c r="K216" s="15">
        <v>0</v>
      </c>
      <c r="L216" s="15">
        <v>0</v>
      </c>
      <c r="M216" s="15">
        <v>0</v>
      </c>
      <c r="N216" s="15">
        <v>3863.57</v>
      </c>
      <c r="O216" s="15">
        <v>9273.7199999999993</v>
      </c>
    </row>
    <row r="217" spans="1:15" x14ac:dyDescent="0.75">
      <c r="A217">
        <v>1488</v>
      </c>
      <c r="B217" t="s">
        <v>241</v>
      </c>
      <c r="C217" t="s">
        <v>242</v>
      </c>
      <c r="D217" s="15">
        <v>-185339.2</v>
      </c>
      <c r="E217" s="15">
        <v>-166805.29</v>
      </c>
      <c r="F217" s="15">
        <v>-148271.38</v>
      </c>
      <c r="G217" s="15">
        <v>-129737.46</v>
      </c>
      <c r="H217" s="15">
        <v>-111203.54</v>
      </c>
      <c r="I217" s="15">
        <v>-92669.62</v>
      </c>
      <c r="J217" s="15">
        <v>-74135.710000000006</v>
      </c>
      <c r="K217" s="15">
        <v>-55601.79</v>
      </c>
      <c r="L217" s="15">
        <v>-37067.870000000003</v>
      </c>
      <c r="M217" s="15">
        <v>-18533.95</v>
      </c>
      <c r="N217" s="15">
        <v>-18533.91</v>
      </c>
      <c r="O217" s="15">
        <v>0</v>
      </c>
    </row>
    <row r="218" spans="1:15" x14ac:dyDescent="0.75">
      <c r="A218">
        <v>1606</v>
      </c>
      <c r="B218" t="s">
        <v>243</v>
      </c>
      <c r="C218" t="s">
        <v>244</v>
      </c>
      <c r="D218" s="15">
        <v>-23113.69</v>
      </c>
      <c r="E218" s="15">
        <v>-21068.23</v>
      </c>
      <c r="F218" s="15">
        <v>-21272.720000000001</v>
      </c>
      <c r="G218" s="15">
        <v>-18613.63</v>
      </c>
      <c r="H218" s="15">
        <v>-15954.54</v>
      </c>
      <c r="I218" s="15">
        <v>-13295.45</v>
      </c>
      <c r="J218" s="15">
        <v>-10636.36</v>
      </c>
      <c r="K218" s="15">
        <v>-7977.27</v>
      </c>
      <c r="L218" s="15">
        <v>-5318.18</v>
      </c>
      <c r="M218" s="15">
        <v>-2659.09</v>
      </c>
      <c r="N218" s="15">
        <v>-53181.83</v>
      </c>
      <c r="O218" s="15">
        <v>-50522.74</v>
      </c>
    </row>
    <row r="219" spans="1:15" x14ac:dyDescent="0.75">
      <c r="A219">
        <v>1838</v>
      </c>
      <c r="B219" t="s">
        <v>245</v>
      </c>
      <c r="C219" t="s">
        <v>246</v>
      </c>
      <c r="D219" s="15">
        <v>0</v>
      </c>
      <c r="E219" s="15">
        <v>0</v>
      </c>
      <c r="F219" s="15">
        <v>3033.23</v>
      </c>
      <c r="G219" s="15">
        <v>2654.08</v>
      </c>
      <c r="H219" s="15">
        <v>2274.9299999999998</v>
      </c>
      <c r="I219" s="15">
        <v>1895.78</v>
      </c>
      <c r="J219" s="15">
        <v>1516.63</v>
      </c>
      <c r="K219" s="15">
        <v>1137.48</v>
      </c>
      <c r="L219" s="15">
        <v>758.33</v>
      </c>
      <c r="M219" s="15">
        <v>379.18</v>
      </c>
      <c r="N219" s="15">
        <v>379.16</v>
      </c>
      <c r="O219" s="15">
        <v>0</v>
      </c>
    </row>
    <row r="220" spans="1:15" x14ac:dyDescent="0.75">
      <c r="A220">
        <v>1839</v>
      </c>
      <c r="B220" t="s">
        <v>247</v>
      </c>
      <c r="C220" t="s">
        <v>248</v>
      </c>
      <c r="D220" s="15">
        <v>0</v>
      </c>
      <c r="E220" s="15">
        <v>0</v>
      </c>
      <c r="F220" s="15">
        <v>902.13</v>
      </c>
      <c r="G220" s="15">
        <v>789.37</v>
      </c>
      <c r="H220" s="15">
        <v>676.61</v>
      </c>
      <c r="I220" s="15">
        <v>563.85</v>
      </c>
      <c r="J220" s="15">
        <v>451.09</v>
      </c>
      <c r="K220" s="15">
        <v>338.33</v>
      </c>
      <c r="L220" s="15">
        <v>225.57</v>
      </c>
      <c r="M220" s="15">
        <v>112.81</v>
      </c>
      <c r="N220" s="15">
        <v>2255.3000000000002</v>
      </c>
      <c r="O220" s="15">
        <v>2142.4899999999998</v>
      </c>
    </row>
    <row r="221" spans="1:15" x14ac:dyDescent="0.75">
      <c r="A221">
        <v>1842</v>
      </c>
      <c r="B221" t="s">
        <v>249</v>
      </c>
      <c r="C221" t="s">
        <v>250</v>
      </c>
      <c r="D221" s="15">
        <v>0</v>
      </c>
      <c r="E221" s="15">
        <v>0</v>
      </c>
      <c r="F221" s="15">
        <v>4353.6000000000004</v>
      </c>
      <c r="G221" s="15">
        <v>3482.88</v>
      </c>
      <c r="H221" s="15">
        <v>2612.16</v>
      </c>
      <c r="I221" s="15">
        <v>1741.44</v>
      </c>
      <c r="J221" s="15">
        <v>870.72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</row>
    <row r="222" spans="1:15" x14ac:dyDescent="0.75">
      <c r="A222" s="28">
        <v>164</v>
      </c>
      <c r="B222" s="28" t="s">
        <v>251</v>
      </c>
      <c r="C222" s="28" t="s">
        <v>252</v>
      </c>
      <c r="D222" s="29">
        <v>-1837112.8</v>
      </c>
      <c r="E222" s="29">
        <v>-1535722.8</v>
      </c>
      <c r="F222" s="29">
        <v>-1619389.35</v>
      </c>
      <c r="G222" s="29">
        <v>-1508757.37</v>
      </c>
      <c r="H222" s="29">
        <v>-1172413.43</v>
      </c>
      <c r="I222" s="29">
        <v>-1336643</v>
      </c>
      <c r="J222" s="29">
        <v>-1232731.67</v>
      </c>
      <c r="K222" s="29">
        <v>-1349875.29</v>
      </c>
      <c r="L222" s="29">
        <v>-1316520.26</v>
      </c>
      <c r="M222" s="29">
        <v>-1094014.1599999999</v>
      </c>
      <c r="N222" s="29">
        <v>-1159054.1499999999</v>
      </c>
      <c r="O222" s="29">
        <v>-1035956.4</v>
      </c>
    </row>
    <row r="223" spans="1:15" x14ac:dyDescent="0.75">
      <c r="A223" s="28">
        <v>165</v>
      </c>
      <c r="B223" s="28" t="s">
        <v>253</v>
      </c>
      <c r="C223" s="28" t="s">
        <v>252</v>
      </c>
      <c r="D223" s="29">
        <v>-1837112.8</v>
      </c>
      <c r="E223" s="29">
        <v>-1535722.8</v>
      </c>
      <c r="F223" s="29">
        <v>-1619389.35</v>
      </c>
      <c r="G223" s="29">
        <v>-1508757.37</v>
      </c>
      <c r="H223" s="29">
        <v>-1172413.43</v>
      </c>
      <c r="I223" s="29">
        <v>-1336643</v>
      </c>
      <c r="J223" s="29">
        <v>-1232731.67</v>
      </c>
      <c r="K223" s="29">
        <v>-1349875.29</v>
      </c>
      <c r="L223" s="29">
        <v>-1316520.26</v>
      </c>
      <c r="M223" s="29">
        <v>-1094014.1599999999</v>
      </c>
      <c r="N223" s="29">
        <v>-1159054.1499999999</v>
      </c>
      <c r="O223" s="29">
        <v>-1035956.4</v>
      </c>
    </row>
    <row r="224" spans="1:15" x14ac:dyDescent="0.75">
      <c r="A224">
        <v>779</v>
      </c>
      <c r="B224" t="s">
        <v>254</v>
      </c>
      <c r="C224" t="s">
        <v>830</v>
      </c>
      <c r="D224" s="15">
        <v>-7662</v>
      </c>
      <c r="E224" s="15">
        <v>-7662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</row>
    <row r="225" spans="1:15" x14ac:dyDescent="0.75">
      <c r="A225">
        <v>810</v>
      </c>
      <c r="B225" t="s">
        <v>254</v>
      </c>
      <c r="C225" t="s">
        <v>255</v>
      </c>
      <c r="D225" s="15">
        <v>-208</v>
      </c>
      <c r="E225" s="15">
        <v>-208</v>
      </c>
      <c r="F225" s="15">
        <v>-208</v>
      </c>
      <c r="G225" s="15">
        <v>-208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</row>
    <row r="226" spans="1:15" x14ac:dyDescent="0.75">
      <c r="A226">
        <v>1021</v>
      </c>
      <c r="B226" t="s">
        <v>254</v>
      </c>
      <c r="C226" t="s">
        <v>256</v>
      </c>
      <c r="D226" s="15">
        <v>-297.7</v>
      </c>
      <c r="E226" s="15">
        <v>-297.7</v>
      </c>
      <c r="F226" s="15">
        <v>-297.7</v>
      </c>
      <c r="G226" s="15">
        <v>-297.7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-188.6</v>
      </c>
      <c r="N226" s="15">
        <v>-188.6</v>
      </c>
      <c r="O226" s="15">
        <v>-188.6</v>
      </c>
    </row>
    <row r="227" spans="1:15" x14ac:dyDescent="0.75">
      <c r="A227">
        <v>923</v>
      </c>
      <c r="B227" t="s">
        <v>254</v>
      </c>
      <c r="C227" t="s">
        <v>831</v>
      </c>
      <c r="D227" s="15">
        <v>-7236.4</v>
      </c>
      <c r="E227" s="15">
        <v>-7236.4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</row>
    <row r="228" spans="1:15" x14ac:dyDescent="0.75">
      <c r="A228">
        <v>812</v>
      </c>
      <c r="B228" t="s">
        <v>254</v>
      </c>
      <c r="C228" t="s">
        <v>832</v>
      </c>
      <c r="D228" s="15">
        <v>-2541.42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</row>
    <row r="229" spans="1:15" x14ac:dyDescent="0.75">
      <c r="A229">
        <v>945</v>
      </c>
      <c r="B229" t="s">
        <v>254</v>
      </c>
      <c r="C229" t="s">
        <v>257</v>
      </c>
      <c r="D229" s="15">
        <v>-60</v>
      </c>
      <c r="E229" s="15">
        <v>-60</v>
      </c>
      <c r="F229" s="15">
        <v>-60</v>
      </c>
      <c r="G229" s="15">
        <v>-60</v>
      </c>
      <c r="H229" s="15">
        <v>-60</v>
      </c>
      <c r="I229" s="15">
        <v>-60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</row>
    <row r="230" spans="1:15" x14ac:dyDescent="0.75">
      <c r="A230">
        <v>685</v>
      </c>
      <c r="B230" t="s">
        <v>254</v>
      </c>
      <c r="C230" t="s">
        <v>833</v>
      </c>
      <c r="D230" s="15">
        <v>-27401.95</v>
      </c>
      <c r="E230" s="15">
        <v>-4985.8999999999996</v>
      </c>
      <c r="F230" s="15">
        <v>-3540.5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</row>
    <row r="231" spans="1:15" x14ac:dyDescent="0.75">
      <c r="A231">
        <v>968</v>
      </c>
      <c r="B231" t="s">
        <v>254</v>
      </c>
      <c r="C231" t="s">
        <v>258</v>
      </c>
      <c r="D231" s="15">
        <v>-297</v>
      </c>
      <c r="E231" s="15">
        <v>-347</v>
      </c>
      <c r="F231" s="15">
        <v>-347</v>
      </c>
      <c r="G231" s="15">
        <v>-347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</row>
    <row r="232" spans="1:15" x14ac:dyDescent="0.75">
      <c r="A232">
        <v>948</v>
      </c>
      <c r="B232" t="s">
        <v>254</v>
      </c>
      <c r="C232" t="s">
        <v>259</v>
      </c>
      <c r="D232" s="15">
        <v>-22169.69</v>
      </c>
      <c r="E232" s="15">
        <v>-27472.59</v>
      </c>
      <c r="F232" s="15">
        <v>-22169.69</v>
      </c>
      <c r="G232" s="15">
        <v>-22169.69</v>
      </c>
      <c r="H232" s="15">
        <v>-25862.99</v>
      </c>
      <c r="I232" s="15">
        <v>-28144.79</v>
      </c>
      <c r="J232" s="15">
        <v>-32258.84</v>
      </c>
      <c r="K232" s="15">
        <v>-11994.79</v>
      </c>
      <c r="L232" s="15">
        <v>-7675.1</v>
      </c>
      <c r="M232" s="15">
        <v>-11239.22</v>
      </c>
      <c r="N232" s="15">
        <v>-13026.93</v>
      </c>
      <c r="O232" s="15">
        <v>-11759.65</v>
      </c>
    </row>
    <row r="233" spans="1:15" x14ac:dyDescent="0.75">
      <c r="A233">
        <v>761</v>
      </c>
      <c r="B233" t="s">
        <v>254</v>
      </c>
      <c r="C233" t="s">
        <v>260</v>
      </c>
      <c r="D233" s="15">
        <v>-396.89</v>
      </c>
      <c r="E233" s="15">
        <v>-396.89</v>
      </c>
      <c r="F233" s="15">
        <v>-396.89</v>
      </c>
      <c r="G233" s="15">
        <v>-396.89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</row>
    <row r="234" spans="1:15" x14ac:dyDescent="0.75">
      <c r="A234">
        <v>863</v>
      </c>
      <c r="B234" t="s">
        <v>254</v>
      </c>
      <c r="C234" t="s">
        <v>967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-2440</v>
      </c>
      <c r="K234" s="15">
        <v>-2440</v>
      </c>
      <c r="L234" s="15">
        <v>-2440</v>
      </c>
      <c r="M234" s="15">
        <v>0</v>
      </c>
      <c r="N234" s="15">
        <v>0</v>
      </c>
      <c r="O234" s="15">
        <v>0</v>
      </c>
    </row>
    <row r="235" spans="1:15" x14ac:dyDescent="0.75">
      <c r="A235">
        <v>1029</v>
      </c>
      <c r="B235" t="s">
        <v>254</v>
      </c>
      <c r="C235" t="s">
        <v>834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-5518.38</v>
      </c>
      <c r="N235" s="15">
        <v>-3737.72</v>
      </c>
      <c r="O235" s="15">
        <v>-1868.86</v>
      </c>
    </row>
    <row r="236" spans="1:15" x14ac:dyDescent="0.75">
      <c r="A236">
        <v>694</v>
      </c>
      <c r="B236" t="s">
        <v>254</v>
      </c>
      <c r="C236" t="s">
        <v>261</v>
      </c>
      <c r="D236" s="15">
        <v>-20040.5</v>
      </c>
      <c r="E236" s="15">
        <v>-10529.3</v>
      </c>
      <c r="F236" s="15">
        <v>-13004.6</v>
      </c>
      <c r="G236" s="15">
        <v>-9759.2000000000007</v>
      </c>
      <c r="H236" s="15">
        <v>-15077.9</v>
      </c>
      <c r="I236" s="15">
        <v>-19230.099999999999</v>
      </c>
      <c r="J236" s="15">
        <v>-6240.2</v>
      </c>
      <c r="K236" s="15">
        <v>-5900.6</v>
      </c>
      <c r="L236" s="15">
        <v>-6549.8</v>
      </c>
      <c r="M236" s="15">
        <v>-8283.7999999999993</v>
      </c>
      <c r="N236" s="15">
        <v>-10784.4</v>
      </c>
      <c r="O236" s="15">
        <v>-10783</v>
      </c>
    </row>
    <row r="237" spans="1:15" x14ac:dyDescent="0.75">
      <c r="A237">
        <v>912</v>
      </c>
      <c r="B237" t="s">
        <v>254</v>
      </c>
      <c r="C237" t="s">
        <v>835</v>
      </c>
      <c r="D237" s="15">
        <v>-16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</row>
    <row r="238" spans="1:15" x14ac:dyDescent="0.75">
      <c r="A238">
        <v>753</v>
      </c>
      <c r="B238" t="s">
        <v>254</v>
      </c>
      <c r="C238" t="s">
        <v>262</v>
      </c>
      <c r="D238" s="15">
        <v>-6877.56</v>
      </c>
      <c r="E238" s="15">
        <v>-8661.43</v>
      </c>
      <c r="F238" s="15">
        <v>-3064.54</v>
      </c>
      <c r="G238" s="15">
        <v>-5523.38</v>
      </c>
      <c r="H238" s="15">
        <v>-6001.13</v>
      </c>
      <c r="I238" s="15">
        <v>-6255.57</v>
      </c>
      <c r="J238" s="15">
        <v>-6236.87</v>
      </c>
      <c r="K238" s="15">
        <v>-5445.02</v>
      </c>
      <c r="L238" s="15">
        <v>-6722.36</v>
      </c>
      <c r="M238" s="15">
        <v>-8523.89</v>
      </c>
      <c r="N238" s="15">
        <v>-5855.8</v>
      </c>
      <c r="O238" s="15">
        <v>-10153.219999999999</v>
      </c>
    </row>
    <row r="239" spans="1:15" x14ac:dyDescent="0.75">
      <c r="A239">
        <v>1285</v>
      </c>
      <c r="B239" t="s">
        <v>254</v>
      </c>
      <c r="C239" t="s">
        <v>263</v>
      </c>
      <c r="D239" s="15">
        <v>-800</v>
      </c>
      <c r="E239" s="15">
        <v>-800</v>
      </c>
      <c r="F239" s="15">
        <v>-800</v>
      </c>
      <c r="G239" s="15">
        <v>-800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</row>
    <row r="240" spans="1:15" x14ac:dyDescent="0.75">
      <c r="A240">
        <v>811</v>
      </c>
      <c r="B240" t="s">
        <v>254</v>
      </c>
      <c r="C240" t="s">
        <v>264</v>
      </c>
      <c r="D240" s="15">
        <v>-2641.8</v>
      </c>
      <c r="E240" s="15">
        <v>-2641.8</v>
      </c>
      <c r="F240" s="15">
        <v>-2641.8</v>
      </c>
      <c r="G240" s="15">
        <v>-2641.8</v>
      </c>
      <c r="H240" s="15">
        <v>-2641.8</v>
      </c>
      <c r="I240" s="15">
        <v>-2641.8</v>
      </c>
      <c r="J240" s="15">
        <v>-2641.8</v>
      </c>
      <c r="K240" s="15">
        <v>-2641.8</v>
      </c>
      <c r="L240" s="15">
        <v>-3748.7</v>
      </c>
      <c r="M240" s="15">
        <v>-3748.7</v>
      </c>
      <c r="N240" s="15">
        <v>-3379.72</v>
      </c>
      <c r="O240" s="15">
        <v>-3010.76</v>
      </c>
    </row>
    <row r="241" spans="1:15" x14ac:dyDescent="0.75">
      <c r="A241">
        <v>506</v>
      </c>
      <c r="B241" t="s">
        <v>254</v>
      </c>
      <c r="C241" t="s">
        <v>1241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-3679</v>
      </c>
      <c r="M241" s="15">
        <v>-3679</v>
      </c>
      <c r="N241" s="15">
        <v>0</v>
      </c>
      <c r="O241" s="15">
        <v>0</v>
      </c>
    </row>
    <row r="242" spans="1:15" x14ac:dyDescent="0.75">
      <c r="A242">
        <v>787</v>
      </c>
      <c r="B242" t="s">
        <v>254</v>
      </c>
      <c r="C242" t="s">
        <v>265</v>
      </c>
      <c r="D242" s="15">
        <v>-1491.03</v>
      </c>
      <c r="E242" s="15">
        <v>-1288.1199999999999</v>
      </c>
      <c r="F242" s="15">
        <v>-1166.47</v>
      </c>
      <c r="G242" s="15">
        <v>-360.34</v>
      </c>
      <c r="H242" s="15">
        <v>-360.34</v>
      </c>
      <c r="I242" s="15">
        <v>-1309.1099999999999</v>
      </c>
      <c r="J242" s="15">
        <v>-501.84</v>
      </c>
      <c r="K242" s="15">
        <v>0</v>
      </c>
      <c r="L242" s="15">
        <v>0</v>
      </c>
      <c r="M242" s="15">
        <v>0</v>
      </c>
      <c r="N242" s="15">
        <v>501.84</v>
      </c>
      <c r="O242" s="15">
        <v>-1054.94</v>
      </c>
    </row>
    <row r="243" spans="1:15" x14ac:dyDescent="0.75">
      <c r="A243">
        <v>744</v>
      </c>
      <c r="B243" t="s">
        <v>254</v>
      </c>
      <c r="C243" t="s">
        <v>836</v>
      </c>
      <c r="D243" s="15">
        <v>0</v>
      </c>
      <c r="E243" s="15">
        <v>0</v>
      </c>
      <c r="F243" s="15">
        <v>-2078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</row>
    <row r="244" spans="1:15" x14ac:dyDescent="0.75">
      <c r="A244">
        <v>697</v>
      </c>
      <c r="B244" t="s">
        <v>254</v>
      </c>
      <c r="C244" t="s">
        <v>266</v>
      </c>
      <c r="D244" s="15">
        <v>-18635</v>
      </c>
      <c r="E244" s="15">
        <v>-25967</v>
      </c>
      <c r="F244" s="15">
        <v>-20002</v>
      </c>
      <c r="G244" s="15">
        <v>-21110</v>
      </c>
      <c r="H244" s="15">
        <v>-15310</v>
      </c>
      <c r="I244" s="15">
        <v>-20544</v>
      </c>
      <c r="J244" s="15">
        <v>-22591</v>
      </c>
      <c r="K244" s="15">
        <v>-24752</v>
      </c>
      <c r="L244" s="15">
        <v>-20319</v>
      </c>
      <c r="M244" s="15">
        <v>-21370.5</v>
      </c>
      <c r="N244" s="15">
        <v>-24749</v>
      </c>
      <c r="O244" s="15">
        <v>-21170.5</v>
      </c>
    </row>
    <row r="245" spans="1:15" x14ac:dyDescent="0.75">
      <c r="A245">
        <v>908</v>
      </c>
      <c r="B245" t="s">
        <v>254</v>
      </c>
      <c r="C245" t="s">
        <v>267</v>
      </c>
      <c r="D245" s="15">
        <v>-5916.1</v>
      </c>
      <c r="E245" s="15">
        <v>-6338.3</v>
      </c>
      <c r="F245" s="15">
        <v>-8935.59</v>
      </c>
      <c r="G245" s="15">
        <v>-8043.09</v>
      </c>
      <c r="H245" s="15">
        <v>-7364.39</v>
      </c>
      <c r="I245" s="15">
        <v>-6501.27</v>
      </c>
      <c r="J245" s="15">
        <v>-5063.6899999999996</v>
      </c>
      <c r="K245" s="15">
        <v>-8818.0499999999993</v>
      </c>
      <c r="L245" s="15">
        <v>-4903.37</v>
      </c>
      <c r="M245" s="15">
        <v>-5186.63</v>
      </c>
      <c r="N245" s="15">
        <v>-5141.21</v>
      </c>
      <c r="O245" s="15">
        <v>-6081.31</v>
      </c>
    </row>
    <row r="246" spans="1:15" x14ac:dyDescent="0.75">
      <c r="A246">
        <v>752</v>
      </c>
      <c r="B246" t="s">
        <v>254</v>
      </c>
      <c r="C246" t="s">
        <v>268</v>
      </c>
      <c r="D246" s="15">
        <v>-785</v>
      </c>
      <c r="E246" s="15">
        <v>-785</v>
      </c>
      <c r="F246" s="15">
        <v>-785</v>
      </c>
      <c r="G246" s="15">
        <v>-785</v>
      </c>
      <c r="H246" s="15">
        <v>-785</v>
      </c>
      <c r="I246" s="15">
        <v>-785</v>
      </c>
      <c r="J246" s="15">
        <v>0</v>
      </c>
      <c r="K246" s="15">
        <v>0</v>
      </c>
      <c r="L246" s="15">
        <v>-1250</v>
      </c>
      <c r="M246" s="15">
        <v>0</v>
      </c>
      <c r="N246" s="15">
        <v>0</v>
      </c>
      <c r="O246" s="15">
        <v>0</v>
      </c>
    </row>
    <row r="247" spans="1:15" x14ac:dyDescent="0.75">
      <c r="A247">
        <v>985</v>
      </c>
      <c r="B247" t="s">
        <v>254</v>
      </c>
      <c r="C247" t="s">
        <v>269</v>
      </c>
      <c r="D247" s="15">
        <v>-20</v>
      </c>
      <c r="E247" s="15">
        <v>-20</v>
      </c>
      <c r="F247" s="15">
        <v>-20</v>
      </c>
      <c r="G247" s="15">
        <v>-20</v>
      </c>
      <c r="H247" s="15">
        <v>-20</v>
      </c>
      <c r="I247" s="15">
        <v>-20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-200</v>
      </c>
    </row>
    <row r="248" spans="1:15" x14ac:dyDescent="0.75">
      <c r="A248">
        <v>690</v>
      </c>
      <c r="B248" t="s">
        <v>254</v>
      </c>
      <c r="C248" t="s">
        <v>270</v>
      </c>
      <c r="D248" s="15">
        <v>-95697.4</v>
      </c>
      <c r="E248" s="15">
        <v>-86928.6</v>
      </c>
      <c r="F248" s="15">
        <v>-103786</v>
      </c>
      <c r="G248" s="15">
        <v>-90565.6</v>
      </c>
      <c r="H248" s="15">
        <v>-91720.5</v>
      </c>
      <c r="I248" s="15">
        <v>-90765.4</v>
      </c>
      <c r="J248" s="15">
        <v>-69035.8</v>
      </c>
      <c r="K248" s="15">
        <v>-64243.55</v>
      </c>
      <c r="L248" s="15">
        <v>-73546</v>
      </c>
      <c r="M248" s="15">
        <v>-77180</v>
      </c>
      <c r="N248" s="15">
        <v>-68882.350000000006</v>
      </c>
      <c r="O248" s="15">
        <v>-48836.4</v>
      </c>
    </row>
    <row r="249" spans="1:15" x14ac:dyDescent="0.75">
      <c r="A249">
        <v>689</v>
      </c>
      <c r="B249" t="s">
        <v>254</v>
      </c>
      <c r="C249" t="s">
        <v>271</v>
      </c>
      <c r="D249" s="15">
        <v>-9914.7999999999993</v>
      </c>
      <c r="E249" s="15">
        <v>-3748.8</v>
      </c>
      <c r="F249" s="15">
        <v>-9399.2000000000007</v>
      </c>
      <c r="G249" s="15">
        <v>-4496.6499999999996</v>
      </c>
      <c r="H249" s="15">
        <v>-12120.65</v>
      </c>
      <c r="I249" s="15">
        <v>-15006.35</v>
      </c>
      <c r="J249" s="15">
        <v>-6587.45</v>
      </c>
      <c r="K249" s="15">
        <v>-3482.65</v>
      </c>
      <c r="L249" s="15">
        <v>-5415.85</v>
      </c>
      <c r="M249" s="15">
        <v>-2792.45</v>
      </c>
      <c r="N249" s="15">
        <v>-21745.65</v>
      </c>
      <c r="O249" s="15">
        <v>-10897.85</v>
      </c>
    </row>
    <row r="250" spans="1:15" x14ac:dyDescent="0.75">
      <c r="A250">
        <v>688</v>
      </c>
      <c r="B250" t="s">
        <v>254</v>
      </c>
      <c r="C250" t="s">
        <v>272</v>
      </c>
      <c r="D250" s="15">
        <v>-20497</v>
      </c>
      <c r="E250" s="15">
        <v>-16279.5</v>
      </c>
      <c r="F250" s="15">
        <v>-25060.5</v>
      </c>
      <c r="G250" s="15">
        <v>-23088</v>
      </c>
      <c r="H250" s="15">
        <v>-21443.7</v>
      </c>
      <c r="I250" s="15">
        <v>-32207.5</v>
      </c>
      <c r="J250" s="15">
        <v>-19837.25</v>
      </c>
      <c r="K250" s="15">
        <v>-21358.5</v>
      </c>
      <c r="L250" s="15">
        <v>-16715.099999999999</v>
      </c>
      <c r="M250" s="15">
        <v>-22828.880000000001</v>
      </c>
      <c r="N250" s="15">
        <v>-14694.3</v>
      </c>
      <c r="O250" s="15">
        <v>-21709.75</v>
      </c>
    </row>
    <row r="251" spans="1:15" x14ac:dyDescent="0.75">
      <c r="A251">
        <v>1010</v>
      </c>
      <c r="B251" t="s">
        <v>254</v>
      </c>
      <c r="C251" t="s">
        <v>273</v>
      </c>
      <c r="D251" s="15">
        <v>0</v>
      </c>
      <c r="E251" s="15">
        <v>0</v>
      </c>
      <c r="F251" s="15">
        <v>0</v>
      </c>
      <c r="G251" s="15">
        <v>0</v>
      </c>
      <c r="H251" s="15">
        <v>-114.8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-686.11</v>
      </c>
    </row>
    <row r="252" spans="1:15" x14ac:dyDescent="0.75">
      <c r="A252">
        <v>994</v>
      </c>
      <c r="B252" t="s">
        <v>254</v>
      </c>
      <c r="C252" t="s">
        <v>274</v>
      </c>
      <c r="D252" s="15">
        <v>-470</v>
      </c>
      <c r="E252" s="15">
        <v>-470</v>
      </c>
      <c r="F252" s="15">
        <v>-470</v>
      </c>
      <c r="G252" s="15">
        <v>-470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</row>
    <row r="253" spans="1:15" x14ac:dyDescent="0.75">
      <c r="A253">
        <v>995</v>
      </c>
      <c r="B253" t="s">
        <v>254</v>
      </c>
      <c r="C253" t="s">
        <v>275</v>
      </c>
      <c r="D253" s="15">
        <v>-288</v>
      </c>
      <c r="E253" s="15">
        <v>-288</v>
      </c>
      <c r="F253" s="15">
        <v>-288</v>
      </c>
      <c r="G253" s="15">
        <v>-288</v>
      </c>
      <c r="H253" s="15">
        <v>-71.77</v>
      </c>
      <c r="I253" s="15">
        <v>-71.77</v>
      </c>
      <c r="J253" s="15">
        <v>-71.77</v>
      </c>
      <c r="K253" s="15">
        <v>-71.77</v>
      </c>
      <c r="L253" s="15">
        <v>-117.59</v>
      </c>
      <c r="M253" s="15">
        <v>-117.59</v>
      </c>
      <c r="N253" s="15">
        <v>-168.44</v>
      </c>
      <c r="O253" s="15">
        <v>-168.44</v>
      </c>
    </row>
    <row r="254" spans="1:15" x14ac:dyDescent="0.75">
      <c r="A254">
        <v>913</v>
      </c>
      <c r="B254" t="s">
        <v>254</v>
      </c>
      <c r="C254" t="s">
        <v>276</v>
      </c>
      <c r="D254" s="15">
        <v>-190</v>
      </c>
      <c r="E254" s="15">
        <v>-190</v>
      </c>
      <c r="F254" s="15">
        <v>-190</v>
      </c>
      <c r="G254" s="15">
        <v>-190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</row>
    <row r="255" spans="1:15" x14ac:dyDescent="0.75">
      <c r="A255">
        <v>906</v>
      </c>
      <c r="B255" t="s">
        <v>254</v>
      </c>
      <c r="C255" t="s">
        <v>277</v>
      </c>
      <c r="D255" s="15">
        <v>0</v>
      </c>
      <c r="E255" s="15">
        <v>0</v>
      </c>
      <c r="F255" s="15">
        <v>-600</v>
      </c>
      <c r="G255" s="15">
        <v>-300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-630</v>
      </c>
    </row>
    <row r="256" spans="1:15" x14ac:dyDescent="0.75">
      <c r="A256">
        <v>757</v>
      </c>
      <c r="B256" t="s">
        <v>254</v>
      </c>
      <c r="C256" t="s">
        <v>278</v>
      </c>
      <c r="D256" s="15">
        <v>-10897.27</v>
      </c>
      <c r="E256" s="15">
        <v>-4490.54</v>
      </c>
      <c r="F256" s="15">
        <v>-4510.6499999999996</v>
      </c>
      <c r="G256" s="15">
        <v>-10601.73</v>
      </c>
      <c r="H256" s="15">
        <v>-7772.45</v>
      </c>
      <c r="I256" s="15">
        <v>-2613.2399999999998</v>
      </c>
      <c r="J256" s="15">
        <v>-4294.7700000000004</v>
      </c>
      <c r="K256" s="15">
        <v>-7828.77</v>
      </c>
      <c r="L256" s="15">
        <v>-2986.68</v>
      </c>
      <c r="M256" s="15">
        <v>-3837.1</v>
      </c>
      <c r="N256" s="15">
        <v>-2773.21</v>
      </c>
      <c r="O256" s="15">
        <v>-1228.21</v>
      </c>
    </row>
    <row r="257" spans="1:15" x14ac:dyDescent="0.75">
      <c r="A257">
        <v>1022</v>
      </c>
      <c r="B257" t="s">
        <v>254</v>
      </c>
      <c r="C257" t="s">
        <v>279</v>
      </c>
      <c r="D257" s="15">
        <v>0</v>
      </c>
      <c r="E257" s="15">
        <v>0</v>
      </c>
      <c r="F257" s="15">
        <v>0</v>
      </c>
      <c r="G257" s="15">
        <v>0</v>
      </c>
      <c r="H257" s="15">
        <v>-749</v>
      </c>
      <c r="I257" s="15">
        <v>-749</v>
      </c>
      <c r="J257" s="15">
        <v>-499.32</v>
      </c>
      <c r="K257" s="15">
        <v>-249.66</v>
      </c>
      <c r="L257" s="15">
        <v>0</v>
      </c>
      <c r="M257" s="15">
        <v>0</v>
      </c>
      <c r="N257" s="15">
        <v>0</v>
      </c>
      <c r="O257" s="15">
        <v>0</v>
      </c>
    </row>
    <row r="258" spans="1:15" x14ac:dyDescent="0.75">
      <c r="A258">
        <v>874</v>
      </c>
      <c r="B258" t="s">
        <v>254</v>
      </c>
      <c r="C258" t="s">
        <v>280</v>
      </c>
      <c r="D258" s="15">
        <v>-30965.8</v>
      </c>
      <c r="E258" s="15">
        <v>-23112.400000000001</v>
      </c>
      <c r="F258" s="15">
        <v>-31613.35</v>
      </c>
      <c r="G258" s="15">
        <v>-26392.2</v>
      </c>
      <c r="H258" s="15">
        <v>-24041.65</v>
      </c>
      <c r="I258" s="15">
        <v>-35683.949999999997</v>
      </c>
      <c r="J258" s="15">
        <v>-34749.1</v>
      </c>
      <c r="K258" s="15">
        <v>-24712.05</v>
      </c>
      <c r="L258" s="15">
        <v>-22482.7</v>
      </c>
      <c r="M258" s="15">
        <v>-16459.45</v>
      </c>
      <c r="N258" s="15">
        <v>-13248.6</v>
      </c>
      <c r="O258" s="15">
        <v>-18012.849999999999</v>
      </c>
    </row>
    <row r="259" spans="1:15" x14ac:dyDescent="0.75">
      <c r="A259">
        <v>703</v>
      </c>
      <c r="B259" t="s">
        <v>254</v>
      </c>
      <c r="C259" t="s">
        <v>281</v>
      </c>
      <c r="D259" s="15">
        <v>-23228.2</v>
      </c>
      <c r="E259" s="15">
        <v>-17654.400000000001</v>
      </c>
      <c r="F259" s="15">
        <v>-17864.400000000001</v>
      </c>
      <c r="G259" s="15">
        <v>-16171.2</v>
      </c>
      <c r="H259" s="15">
        <v>-16879</v>
      </c>
      <c r="I259" s="15">
        <v>-21919</v>
      </c>
      <c r="J259" s="15">
        <v>-28081.4</v>
      </c>
      <c r="K259" s="15">
        <v>-39675.800000000003</v>
      </c>
      <c r="L259" s="15">
        <v>-15117</v>
      </c>
      <c r="M259" s="15">
        <v>-5257.4</v>
      </c>
      <c r="N259" s="15">
        <v>-3159.4</v>
      </c>
      <c r="O259" s="15">
        <v>-328</v>
      </c>
    </row>
    <row r="260" spans="1:15" x14ac:dyDescent="0.75">
      <c r="A260">
        <v>748</v>
      </c>
      <c r="B260" t="s">
        <v>254</v>
      </c>
      <c r="C260" t="s">
        <v>282</v>
      </c>
      <c r="D260" s="15">
        <v>-40448.1</v>
      </c>
      <c r="E260" s="15">
        <v>-21879.599999999999</v>
      </c>
      <c r="F260" s="15">
        <v>-39215.599999999999</v>
      </c>
      <c r="G260" s="15">
        <v>-20364</v>
      </c>
      <c r="H260" s="15">
        <v>-25715.5</v>
      </c>
      <c r="I260" s="15">
        <v>-60770.8</v>
      </c>
      <c r="J260" s="15">
        <v>-50530</v>
      </c>
      <c r="K260" s="15">
        <v>-48886.5</v>
      </c>
      <c r="L260" s="15">
        <v>-41022</v>
      </c>
      <c r="M260" s="15">
        <v>-30215.5</v>
      </c>
      <c r="N260" s="15">
        <v>-59527</v>
      </c>
      <c r="O260" s="15">
        <v>-31012.9</v>
      </c>
    </row>
    <row r="261" spans="1:15" x14ac:dyDescent="0.75">
      <c r="A261">
        <v>973</v>
      </c>
      <c r="B261" t="s">
        <v>254</v>
      </c>
      <c r="C261" t="s">
        <v>283</v>
      </c>
      <c r="D261" s="15">
        <v>-10122.5</v>
      </c>
      <c r="E261" s="15">
        <v>-8386.7999999999993</v>
      </c>
      <c r="F261" s="15">
        <v>-7749.8</v>
      </c>
      <c r="G261" s="15">
        <v>-9135.2000000000007</v>
      </c>
      <c r="H261" s="15">
        <v>-8142.5</v>
      </c>
      <c r="I261" s="15">
        <v>-7722.2</v>
      </c>
      <c r="J261" s="15">
        <v>-9149.9</v>
      </c>
      <c r="K261" s="15">
        <v>-14032.3</v>
      </c>
      <c r="L261" s="15">
        <v>-5144.7</v>
      </c>
      <c r="M261" s="15">
        <v>-4913.3</v>
      </c>
      <c r="N261" s="15">
        <v>-4808.3</v>
      </c>
      <c r="O261" s="15">
        <v>-7156.7</v>
      </c>
    </row>
    <row r="262" spans="1:15" x14ac:dyDescent="0.75">
      <c r="A262">
        <v>759</v>
      </c>
      <c r="B262" t="s">
        <v>254</v>
      </c>
      <c r="C262" t="s">
        <v>284</v>
      </c>
      <c r="D262" s="15">
        <v>0</v>
      </c>
      <c r="E262" s="15">
        <v>-3978.47</v>
      </c>
      <c r="F262" s="15">
        <v>0</v>
      </c>
      <c r="G262" s="15">
        <v>-19603.689999999999</v>
      </c>
      <c r="H262" s="15">
        <v>0</v>
      </c>
      <c r="I262" s="15">
        <v>0</v>
      </c>
      <c r="J262" s="15">
        <v>0</v>
      </c>
      <c r="K262" s="15">
        <v>-15157.07</v>
      </c>
      <c r="L262" s="15">
        <v>0</v>
      </c>
      <c r="M262" s="15">
        <v>0</v>
      </c>
      <c r="N262" s="15">
        <v>0</v>
      </c>
      <c r="O262" s="15">
        <v>-16233.04</v>
      </c>
    </row>
    <row r="263" spans="1:15" x14ac:dyDescent="0.75">
      <c r="A263">
        <v>872</v>
      </c>
      <c r="B263" t="s">
        <v>254</v>
      </c>
      <c r="C263" t="s">
        <v>285</v>
      </c>
      <c r="D263" s="15">
        <v>0</v>
      </c>
      <c r="E263" s="15">
        <v>0</v>
      </c>
      <c r="F263" s="15">
        <v>0</v>
      </c>
      <c r="G263" s="15">
        <v>-2234</v>
      </c>
      <c r="H263" s="15">
        <v>-2234</v>
      </c>
      <c r="I263" s="15">
        <v>-2234</v>
      </c>
      <c r="J263" s="15">
        <v>-2234</v>
      </c>
      <c r="K263" s="15">
        <v>-1382</v>
      </c>
      <c r="L263" s="15">
        <v>0</v>
      </c>
      <c r="M263" s="15">
        <v>0</v>
      </c>
      <c r="N263" s="15">
        <v>0</v>
      </c>
      <c r="O263" s="15">
        <v>0</v>
      </c>
    </row>
    <row r="264" spans="1:15" x14ac:dyDescent="0.75">
      <c r="A264">
        <v>770</v>
      </c>
      <c r="B264" t="s">
        <v>254</v>
      </c>
      <c r="C264" t="s">
        <v>285</v>
      </c>
      <c r="D264" s="15">
        <v>-64230.6</v>
      </c>
      <c r="E264" s="15">
        <v>-74762.89</v>
      </c>
      <c r="F264" s="15">
        <v>-128756.33</v>
      </c>
      <c r="G264" s="15">
        <v>-66164</v>
      </c>
      <c r="H264" s="15">
        <v>-64846.239999999998</v>
      </c>
      <c r="I264" s="15">
        <v>-74148.14</v>
      </c>
      <c r="J264" s="15">
        <v>-40173.17</v>
      </c>
      <c r="K264" s="15">
        <v>-49235.11</v>
      </c>
      <c r="L264" s="15">
        <v>-74895.539999999994</v>
      </c>
      <c r="M264" s="15">
        <v>0</v>
      </c>
      <c r="N264" s="15">
        <v>0</v>
      </c>
      <c r="O264" s="15">
        <v>0</v>
      </c>
    </row>
    <row r="265" spans="1:15" x14ac:dyDescent="0.75">
      <c r="A265">
        <v>768</v>
      </c>
      <c r="B265" t="s">
        <v>254</v>
      </c>
      <c r="C265" t="s">
        <v>285</v>
      </c>
      <c r="D265" s="15">
        <v>0</v>
      </c>
      <c r="E265" s="15">
        <v>0</v>
      </c>
      <c r="F265" s="15">
        <v>0</v>
      </c>
      <c r="G265" s="15">
        <v>-3994</v>
      </c>
      <c r="H265" s="15">
        <v>-2590</v>
      </c>
      <c r="I265" s="15">
        <v>-2590</v>
      </c>
      <c r="J265" s="15">
        <v>-2590</v>
      </c>
      <c r="K265" s="15">
        <v>-2590</v>
      </c>
      <c r="L265" s="15">
        <v>0</v>
      </c>
      <c r="M265" s="15">
        <v>0</v>
      </c>
      <c r="N265" s="15">
        <v>0</v>
      </c>
      <c r="O265" s="15">
        <v>0</v>
      </c>
    </row>
    <row r="266" spans="1:15" x14ac:dyDescent="0.75">
      <c r="A266">
        <v>762</v>
      </c>
      <c r="B266" t="s">
        <v>254</v>
      </c>
      <c r="C266" t="s">
        <v>287</v>
      </c>
      <c r="D266" s="15">
        <v>-35000</v>
      </c>
      <c r="E266" s="15">
        <v>-19500</v>
      </c>
      <c r="F266" s="15">
        <v>-45200</v>
      </c>
      <c r="G266" s="15">
        <v>-88200</v>
      </c>
      <c r="H266" s="15">
        <v>-210</v>
      </c>
      <c r="I266" s="15">
        <v>-46250</v>
      </c>
      <c r="J266" s="15">
        <v>-42410</v>
      </c>
      <c r="K266" s="15">
        <v>-2204</v>
      </c>
      <c r="L266" s="15">
        <v>-2804</v>
      </c>
      <c r="M266" s="15">
        <v>-2884</v>
      </c>
      <c r="N266" s="15">
        <v>-10124</v>
      </c>
      <c r="O266" s="15">
        <v>-3484</v>
      </c>
    </row>
    <row r="267" spans="1:15" x14ac:dyDescent="0.75">
      <c r="A267">
        <v>749</v>
      </c>
      <c r="B267" t="s">
        <v>254</v>
      </c>
      <c r="C267" t="s">
        <v>288</v>
      </c>
      <c r="D267" s="15">
        <v>-1785</v>
      </c>
      <c r="E267" s="15">
        <v>-2380</v>
      </c>
      <c r="F267" s="15">
        <v>-2380</v>
      </c>
      <c r="G267" s="15">
        <v>-4760</v>
      </c>
      <c r="H267" s="15">
        <v>-2380</v>
      </c>
      <c r="I267" s="15">
        <v>-2380</v>
      </c>
      <c r="J267" s="15">
        <v>-2380</v>
      </c>
      <c r="K267" s="15">
        <v>-2380</v>
      </c>
      <c r="L267" s="15">
        <v>-2380</v>
      </c>
      <c r="M267" s="15">
        <v>-2380</v>
      </c>
      <c r="N267" s="15">
        <v>-1000</v>
      </c>
      <c r="O267" s="15">
        <v>0</v>
      </c>
    </row>
    <row r="268" spans="1:15" x14ac:dyDescent="0.75">
      <c r="A268">
        <v>702</v>
      </c>
      <c r="B268" t="s">
        <v>254</v>
      </c>
      <c r="C268" t="s">
        <v>289</v>
      </c>
      <c r="D268" s="15">
        <v>-4450</v>
      </c>
      <c r="E268" s="15">
        <v>-6988</v>
      </c>
      <c r="F268" s="15">
        <v>-5170</v>
      </c>
      <c r="G268" s="15">
        <v>-4270</v>
      </c>
      <c r="H268" s="15">
        <v>-2938</v>
      </c>
      <c r="I268" s="15">
        <v>-2938</v>
      </c>
      <c r="J268" s="15">
        <v>-6318</v>
      </c>
      <c r="K268" s="15">
        <v>-10438</v>
      </c>
      <c r="L268" s="15">
        <v>-4538</v>
      </c>
      <c r="M268" s="15">
        <v>-10798</v>
      </c>
      <c r="N268" s="15">
        <v>-5818</v>
      </c>
      <c r="O268" s="15">
        <v>-2938</v>
      </c>
    </row>
    <row r="269" spans="1:15" x14ac:dyDescent="0.75">
      <c r="A269">
        <v>774</v>
      </c>
      <c r="B269" t="s">
        <v>254</v>
      </c>
      <c r="C269" t="s">
        <v>290</v>
      </c>
      <c r="D269" s="15">
        <v>-27899.5</v>
      </c>
      <c r="E269" s="15">
        <v>-28670.5</v>
      </c>
      <c r="F269" s="15">
        <v>-32397.5</v>
      </c>
      <c r="G269" s="15">
        <v>-40150.5</v>
      </c>
      <c r="H269" s="15">
        <v>-50007.5</v>
      </c>
      <c r="I269" s="15">
        <v>-48190.5</v>
      </c>
      <c r="J269" s="15">
        <v>-47724.5</v>
      </c>
      <c r="K269" s="15">
        <v>-41838.5</v>
      </c>
      <c r="L269" s="15">
        <v>-31208.3</v>
      </c>
      <c r="M269" s="15">
        <v>-29892.3</v>
      </c>
      <c r="N269" s="15">
        <v>-34726.800000000003</v>
      </c>
      <c r="O269" s="15">
        <v>-21028</v>
      </c>
    </row>
    <row r="270" spans="1:15" x14ac:dyDescent="0.75">
      <c r="A270">
        <v>696</v>
      </c>
      <c r="B270" t="s">
        <v>254</v>
      </c>
      <c r="C270" t="s">
        <v>291</v>
      </c>
      <c r="D270" s="15">
        <v>-639</v>
      </c>
      <c r="E270" s="15">
        <v>-70</v>
      </c>
      <c r="F270" s="15">
        <v>-297</v>
      </c>
      <c r="G270" s="15">
        <v>-591</v>
      </c>
      <c r="H270" s="15">
        <v>540</v>
      </c>
      <c r="I270" s="15">
        <v>-1148</v>
      </c>
      <c r="J270" s="15">
        <v>-714</v>
      </c>
      <c r="K270" s="15">
        <v>-1506</v>
      </c>
      <c r="L270" s="15">
        <v>-1585.5</v>
      </c>
      <c r="M270" s="15">
        <v>-1307</v>
      </c>
      <c r="N270" s="15">
        <v>-1419</v>
      </c>
      <c r="O270" s="15">
        <v>-1193</v>
      </c>
    </row>
    <row r="271" spans="1:15" x14ac:dyDescent="0.75">
      <c r="A271">
        <v>691</v>
      </c>
      <c r="B271" t="s">
        <v>254</v>
      </c>
      <c r="C271" t="s">
        <v>292</v>
      </c>
      <c r="D271" s="15">
        <v>-20</v>
      </c>
      <c r="E271" s="15">
        <v>-20</v>
      </c>
      <c r="F271" s="15">
        <v>-20</v>
      </c>
      <c r="G271" s="15">
        <v>-20</v>
      </c>
      <c r="H271" s="15">
        <v>-20</v>
      </c>
      <c r="I271" s="15">
        <v>-20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</row>
    <row r="272" spans="1:15" x14ac:dyDescent="0.75">
      <c r="A272">
        <v>687</v>
      </c>
      <c r="B272" t="s">
        <v>254</v>
      </c>
      <c r="C272" t="s">
        <v>293</v>
      </c>
      <c r="D272" s="15">
        <v>-8319.9699999999993</v>
      </c>
      <c r="E272" s="15">
        <v>-7270.27</v>
      </c>
      <c r="F272" s="15">
        <v>-7367.27</v>
      </c>
      <c r="G272" s="15">
        <v>-6644.37</v>
      </c>
      <c r="H272" s="15">
        <v>-4497.47</v>
      </c>
      <c r="I272" s="15">
        <v>-4084.67</v>
      </c>
      <c r="J272" s="15">
        <v>-6122.27</v>
      </c>
      <c r="K272" s="15">
        <v>-6054.27</v>
      </c>
      <c r="L272" s="15">
        <v>-5511.97</v>
      </c>
      <c r="M272" s="15">
        <v>-5700.67</v>
      </c>
      <c r="N272" s="15">
        <v>-4825.2700000000004</v>
      </c>
      <c r="O272" s="15">
        <v>-5617.87</v>
      </c>
    </row>
    <row r="273" spans="1:15" x14ac:dyDescent="0.75">
      <c r="A273">
        <v>970</v>
      </c>
      <c r="B273" t="s">
        <v>254</v>
      </c>
      <c r="C273" t="s">
        <v>294</v>
      </c>
      <c r="D273" s="15">
        <v>-2628.2</v>
      </c>
      <c r="E273" s="15">
        <v>-4091.3</v>
      </c>
      <c r="F273" s="15">
        <v>-6735.9</v>
      </c>
      <c r="G273" s="15">
        <v>-1605.9</v>
      </c>
      <c r="H273" s="15">
        <v>1449.3</v>
      </c>
      <c r="I273" s="15">
        <v>-5318.1</v>
      </c>
      <c r="J273" s="15">
        <v>-8551.1</v>
      </c>
      <c r="K273" s="15">
        <v>-4705.1000000000004</v>
      </c>
      <c r="L273" s="15">
        <v>-1383.6</v>
      </c>
      <c r="M273" s="15">
        <v>-9514.2999999999993</v>
      </c>
      <c r="N273" s="15">
        <v>0</v>
      </c>
      <c r="O273" s="15">
        <v>0</v>
      </c>
    </row>
    <row r="274" spans="1:15" x14ac:dyDescent="0.75">
      <c r="A274">
        <v>971</v>
      </c>
      <c r="B274" t="s">
        <v>254</v>
      </c>
      <c r="C274" t="s">
        <v>295</v>
      </c>
      <c r="D274" s="15">
        <v>-35881.699999999997</v>
      </c>
      <c r="E274" s="15">
        <v>-21342.7</v>
      </c>
      <c r="F274" s="15">
        <v>-28248.7</v>
      </c>
      <c r="G274" s="15">
        <v>-23775.7</v>
      </c>
      <c r="H274" s="15">
        <v>-20141.2</v>
      </c>
      <c r="I274" s="15">
        <v>-19284.2</v>
      </c>
      <c r="J274" s="15">
        <v>-20321.7</v>
      </c>
      <c r="K274" s="15">
        <v>-22217.7</v>
      </c>
      <c r="L274" s="15">
        <v>-7066.2</v>
      </c>
      <c r="M274" s="15">
        <v>-9114.2000000000007</v>
      </c>
      <c r="N274" s="15">
        <v>-454.2</v>
      </c>
      <c r="O274" s="15">
        <v>-454.2</v>
      </c>
    </row>
    <row r="275" spans="1:15" x14ac:dyDescent="0.75">
      <c r="A275">
        <v>695</v>
      </c>
      <c r="B275" t="s">
        <v>254</v>
      </c>
      <c r="C275" t="s">
        <v>296</v>
      </c>
      <c r="D275" s="15">
        <v>-4227.8</v>
      </c>
      <c r="E275" s="15">
        <v>-3799.4</v>
      </c>
      <c r="F275" s="15">
        <v>-6279.4</v>
      </c>
      <c r="G275" s="15">
        <v>-3828.2</v>
      </c>
      <c r="H275" s="15">
        <v>-5895.4</v>
      </c>
      <c r="I275" s="15">
        <v>-6444.4</v>
      </c>
      <c r="J275" s="15">
        <v>-3057.4</v>
      </c>
      <c r="K275" s="15">
        <v>-2829.8</v>
      </c>
      <c r="L275" s="15">
        <v>-2233.4</v>
      </c>
      <c r="M275" s="15">
        <v>-3637.4</v>
      </c>
      <c r="N275" s="15">
        <v>-2967.8</v>
      </c>
      <c r="O275" s="15">
        <v>-2436.8000000000002</v>
      </c>
    </row>
    <row r="276" spans="1:15" x14ac:dyDescent="0.75">
      <c r="A276">
        <v>1008</v>
      </c>
      <c r="B276" t="s">
        <v>254</v>
      </c>
      <c r="C276" t="s">
        <v>837</v>
      </c>
      <c r="D276" s="15">
        <v>-5313</v>
      </c>
      <c r="E276" s="15">
        <v>-4007.7</v>
      </c>
      <c r="F276" s="15">
        <v>-2298.85</v>
      </c>
      <c r="G276" s="15">
        <v>0</v>
      </c>
      <c r="H276" s="15">
        <v>0</v>
      </c>
      <c r="I276" s="15">
        <v>-4830</v>
      </c>
      <c r="J276" s="15">
        <v>-17388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</row>
    <row r="277" spans="1:15" x14ac:dyDescent="0.75">
      <c r="A277">
        <v>969</v>
      </c>
      <c r="B277" t="s">
        <v>254</v>
      </c>
      <c r="C277" t="s">
        <v>838</v>
      </c>
      <c r="D277" s="15">
        <v>-6075.12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</row>
    <row r="278" spans="1:15" x14ac:dyDescent="0.75">
      <c r="A278">
        <v>1346</v>
      </c>
      <c r="B278" t="s">
        <v>297</v>
      </c>
      <c r="C278" t="s">
        <v>298</v>
      </c>
      <c r="D278" s="15">
        <v>-200673.84</v>
      </c>
      <c r="E278" s="15">
        <v>-202129.54</v>
      </c>
      <c r="F278" s="15">
        <v>-173060.79</v>
      </c>
      <c r="G278" s="15">
        <v>-171813.54</v>
      </c>
      <c r="H278" s="15">
        <v>-141469.39000000001</v>
      </c>
      <c r="I278" s="15">
        <v>-135145.39000000001</v>
      </c>
      <c r="J278" s="15">
        <v>-73782.990000000005</v>
      </c>
      <c r="K278" s="15">
        <v>-73782.990000000005</v>
      </c>
      <c r="L278" s="15">
        <v>-73782.990000000005</v>
      </c>
      <c r="M278" s="15">
        <v>-73782.990000000005</v>
      </c>
      <c r="N278" s="15">
        <v>-73782.990000000005</v>
      </c>
      <c r="O278" s="15">
        <v>-73782.990000000005</v>
      </c>
    </row>
    <row r="279" spans="1:15" x14ac:dyDescent="0.75">
      <c r="A279">
        <v>686</v>
      </c>
      <c r="B279" t="s">
        <v>1266</v>
      </c>
      <c r="C279" t="s">
        <v>294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-9802.9</v>
      </c>
      <c r="O279" s="15">
        <v>-8794.2000000000007</v>
      </c>
    </row>
    <row r="280" spans="1:15" x14ac:dyDescent="0.75">
      <c r="A280">
        <v>1348</v>
      </c>
      <c r="B280" t="s">
        <v>299</v>
      </c>
      <c r="C280" t="s">
        <v>300</v>
      </c>
      <c r="D280" s="15">
        <v>-27829.8</v>
      </c>
      <c r="E280" s="15">
        <v>-31266.2</v>
      </c>
      <c r="F280" s="15">
        <v>-22656.2</v>
      </c>
      <c r="G280" s="15">
        <v>-7654.5</v>
      </c>
      <c r="H280" s="15">
        <v>-8114</v>
      </c>
      <c r="I280" s="15">
        <v>-6150</v>
      </c>
      <c r="J280" s="15">
        <v>-5685</v>
      </c>
      <c r="K280" s="15">
        <v>-5455</v>
      </c>
      <c r="L280" s="15">
        <v>-3560</v>
      </c>
      <c r="M280" s="15">
        <v>-3945</v>
      </c>
      <c r="N280" s="15">
        <v>-2160</v>
      </c>
      <c r="O280" s="15">
        <v>-1655</v>
      </c>
    </row>
    <row r="281" spans="1:15" x14ac:dyDescent="0.75">
      <c r="A281">
        <v>1350</v>
      </c>
      <c r="B281" t="s">
        <v>301</v>
      </c>
      <c r="C281" t="s">
        <v>302</v>
      </c>
      <c r="D281" s="15">
        <v>-3450</v>
      </c>
      <c r="E281" s="15">
        <v>-4385</v>
      </c>
      <c r="F281" s="15">
        <v>-4425</v>
      </c>
      <c r="G281" s="15">
        <v>-3176.8</v>
      </c>
      <c r="H281" s="15">
        <v>-1285</v>
      </c>
      <c r="I281" s="15">
        <v>-1950</v>
      </c>
      <c r="J281" s="15">
        <v>-9857</v>
      </c>
      <c r="K281" s="15">
        <v>-1355</v>
      </c>
      <c r="L281" s="15">
        <v>-1820</v>
      </c>
      <c r="M281" s="15">
        <v>-455</v>
      </c>
      <c r="N281" s="15">
        <v>-3755</v>
      </c>
      <c r="O281" s="15">
        <v>-5565</v>
      </c>
    </row>
    <row r="282" spans="1:15" x14ac:dyDescent="0.75">
      <c r="A282">
        <v>692</v>
      </c>
      <c r="B282" t="s">
        <v>1267</v>
      </c>
      <c r="C282" t="s">
        <v>295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-1744</v>
      </c>
      <c r="N282" s="15">
        <v>-12905.6</v>
      </c>
      <c r="O282" s="15">
        <v>-12180</v>
      </c>
    </row>
    <row r="283" spans="1:15" x14ac:dyDescent="0.75">
      <c r="A283">
        <v>1917</v>
      </c>
      <c r="B283" t="s">
        <v>1019</v>
      </c>
      <c r="C283" t="s">
        <v>1010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-761.57</v>
      </c>
      <c r="K283" s="15">
        <v>-761.57</v>
      </c>
      <c r="L283" s="15">
        <v>-761.57</v>
      </c>
      <c r="M283" s="15">
        <v>-761.57</v>
      </c>
      <c r="N283" s="15">
        <v>-761.57</v>
      </c>
      <c r="O283" s="15">
        <v>-761.57</v>
      </c>
    </row>
    <row r="284" spans="1:15" x14ac:dyDescent="0.75">
      <c r="A284">
        <v>754</v>
      </c>
      <c r="B284" t="s">
        <v>303</v>
      </c>
      <c r="C284" t="s">
        <v>304</v>
      </c>
      <c r="D284" s="15">
        <v>-71287.22</v>
      </c>
      <c r="E284" s="15">
        <v>-38181.26</v>
      </c>
      <c r="F284" s="15">
        <v>-15722.35</v>
      </c>
      <c r="G284" s="15">
        <v>-13962.9</v>
      </c>
      <c r="H284" s="15">
        <v>-11976.26</v>
      </c>
      <c r="I284" s="15">
        <v>-14688.36</v>
      </c>
      <c r="J284" s="15">
        <v>-23355.26</v>
      </c>
      <c r="K284" s="15">
        <v>-31860.799999999999</v>
      </c>
      <c r="L284" s="15">
        <v>-9942.08</v>
      </c>
      <c r="M284" s="15">
        <v>-13277.16</v>
      </c>
      <c r="N284" s="15">
        <v>-28554.11</v>
      </c>
      <c r="O284" s="15">
        <v>-252.26</v>
      </c>
    </row>
    <row r="285" spans="1:15" x14ac:dyDescent="0.75">
      <c r="A285">
        <v>758</v>
      </c>
      <c r="B285" t="s">
        <v>1268</v>
      </c>
      <c r="C285" t="s">
        <v>1269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-32.53</v>
      </c>
      <c r="M285" s="15">
        <v>-32.53</v>
      </c>
      <c r="N285" s="15">
        <v>-32.53</v>
      </c>
      <c r="O285" s="15">
        <v>-32.53</v>
      </c>
    </row>
    <row r="286" spans="1:15" x14ac:dyDescent="0.75">
      <c r="A286">
        <v>769</v>
      </c>
      <c r="B286" t="s">
        <v>1020</v>
      </c>
      <c r="C286" t="s">
        <v>1011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-21600</v>
      </c>
      <c r="K286" s="15">
        <v>-178200</v>
      </c>
      <c r="L286" s="15">
        <v>-262302</v>
      </c>
      <c r="M286" s="15">
        <v>-272478.56</v>
      </c>
      <c r="N286" s="15">
        <v>-264535.53999999998</v>
      </c>
      <c r="O286" s="15">
        <v>-191183.52</v>
      </c>
    </row>
    <row r="287" spans="1:15" x14ac:dyDescent="0.75">
      <c r="A287">
        <v>771</v>
      </c>
      <c r="B287" t="s">
        <v>1021</v>
      </c>
      <c r="C287" t="s">
        <v>1012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-740</v>
      </c>
      <c r="K287" s="15">
        <v>-4534</v>
      </c>
      <c r="L287" s="15">
        <v>-5070</v>
      </c>
      <c r="M287" s="15">
        <v>-4913</v>
      </c>
      <c r="N287" s="15">
        <v>-6691</v>
      </c>
      <c r="O287" s="15">
        <v>-5955</v>
      </c>
    </row>
    <row r="288" spans="1:15" x14ac:dyDescent="0.75">
      <c r="A288">
        <v>772</v>
      </c>
      <c r="B288" t="s">
        <v>305</v>
      </c>
      <c r="C288" t="s">
        <v>306</v>
      </c>
      <c r="D288" s="15">
        <v>-200</v>
      </c>
      <c r="E288" s="15">
        <v>-200</v>
      </c>
      <c r="F288" s="15">
        <v>-200</v>
      </c>
      <c r="G288" s="15">
        <v>-200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</row>
    <row r="289" spans="1:15" x14ac:dyDescent="0.75">
      <c r="A289">
        <v>773</v>
      </c>
      <c r="B289" t="s">
        <v>1270</v>
      </c>
      <c r="C289" t="s">
        <v>1242</v>
      </c>
      <c r="D289" s="15">
        <v>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-480</v>
      </c>
      <c r="N289" s="15">
        <v>0</v>
      </c>
      <c r="O289" s="15">
        <v>0</v>
      </c>
    </row>
    <row r="290" spans="1:15" x14ac:dyDescent="0.75">
      <c r="A290">
        <v>813</v>
      </c>
      <c r="B290" t="s">
        <v>839</v>
      </c>
      <c r="C290" t="s">
        <v>840</v>
      </c>
      <c r="D290" s="15">
        <v>0</v>
      </c>
      <c r="E290" s="15">
        <v>0</v>
      </c>
      <c r="F290" s="15">
        <v>-240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</row>
    <row r="291" spans="1:15" x14ac:dyDescent="0.75">
      <c r="A291">
        <v>869</v>
      </c>
      <c r="B291" t="s">
        <v>841</v>
      </c>
      <c r="C291" t="s">
        <v>842</v>
      </c>
      <c r="D291" s="15">
        <v>0</v>
      </c>
      <c r="E291" s="15">
        <v>-120</v>
      </c>
      <c r="F291" s="15">
        <v>0</v>
      </c>
      <c r="G291" s="15">
        <v>0</v>
      </c>
      <c r="H291" s="15">
        <v>0</v>
      </c>
      <c r="I291" s="15">
        <v>0</v>
      </c>
      <c r="J291" s="15">
        <v>-200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</row>
    <row r="292" spans="1:15" x14ac:dyDescent="0.75">
      <c r="A292">
        <v>919</v>
      </c>
      <c r="B292" t="s">
        <v>307</v>
      </c>
      <c r="C292" t="s">
        <v>308</v>
      </c>
      <c r="D292" s="15">
        <v>-350</v>
      </c>
      <c r="E292" s="15">
        <v>-150</v>
      </c>
      <c r="F292" s="15">
        <v>-150</v>
      </c>
      <c r="G292" s="15">
        <v>-150</v>
      </c>
      <c r="H292" s="15">
        <v>-81.739999999999995</v>
      </c>
      <c r="I292" s="15">
        <v>-581.74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</row>
    <row r="293" spans="1:15" x14ac:dyDescent="0.75">
      <c r="A293">
        <v>922</v>
      </c>
      <c r="B293" t="s">
        <v>309</v>
      </c>
      <c r="C293" t="s">
        <v>310</v>
      </c>
      <c r="D293" s="15">
        <v>0</v>
      </c>
      <c r="E293" s="15">
        <v>0</v>
      </c>
      <c r="F293" s="15">
        <v>-10640</v>
      </c>
      <c r="G293" s="15">
        <v>-20099</v>
      </c>
      <c r="H293" s="15">
        <v>-15779</v>
      </c>
      <c r="I293" s="15">
        <v>-4319.5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</row>
    <row r="294" spans="1:15" x14ac:dyDescent="0.75">
      <c r="A294">
        <v>963</v>
      </c>
      <c r="B294" t="s">
        <v>311</v>
      </c>
      <c r="C294" t="s">
        <v>312</v>
      </c>
      <c r="D294" s="15">
        <v>-3535.32</v>
      </c>
      <c r="E294" s="15">
        <v>-3535.32</v>
      </c>
      <c r="F294" s="15">
        <v>-3596.91</v>
      </c>
      <c r="G294" s="15">
        <v>-3596.91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-118.07</v>
      </c>
      <c r="N294" s="15">
        <v>-118.07</v>
      </c>
      <c r="O294" s="15">
        <v>-118.07</v>
      </c>
    </row>
    <row r="295" spans="1:15" x14ac:dyDescent="0.75">
      <c r="A295">
        <v>967</v>
      </c>
      <c r="B295" t="s">
        <v>1300</v>
      </c>
      <c r="C295" t="s">
        <v>1301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-3808</v>
      </c>
      <c r="M295" s="15">
        <v>0</v>
      </c>
      <c r="N295" s="15">
        <v>0</v>
      </c>
      <c r="O295" s="15">
        <v>0</v>
      </c>
    </row>
    <row r="296" spans="1:15" x14ac:dyDescent="0.75">
      <c r="A296">
        <v>1004</v>
      </c>
      <c r="B296" t="s">
        <v>957</v>
      </c>
      <c r="C296" t="s">
        <v>958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-2134.5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</row>
    <row r="297" spans="1:15" x14ac:dyDescent="0.75">
      <c r="A297">
        <v>1291</v>
      </c>
      <c r="B297" t="s">
        <v>313</v>
      </c>
      <c r="C297" t="s">
        <v>314</v>
      </c>
      <c r="D297" s="15">
        <v>-240</v>
      </c>
      <c r="E297" s="15">
        <v>-240</v>
      </c>
      <c r="F297" s="15">
        <v>-240</v>
      </c>
      <c r="G297" s="15">
        <v>-240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</row>
    <row r="298" spans="1:15" x14ac:dyDescent="0.75">
      <c r="A298">
        <v>1292</v>
      </c>
      <c r="B298" t="s">
        <v>315</v>
      </c>
      <c r="C298" t="s">
        <v>316</v>
      </c>
      <c r="D298" s="15">
        <v>-3213.49</v>
      </c>
      <c r="E298" s="15">
        <v>-2799.03</v>
      </c>
      <c r="F298" s="15">
        <v>-2537.7199999999998</v>
      </c>
      <c r="G298" s="15">
        <v>-3566.37</v>
      </c>
      <c r="H298" s="15">
        <v>-3808.91</v>
      </c>
      <c r="I298" s="15">
        <v>-2714.06</v>
      </c>
      <c r="J298" s="15">
        <v>-2731.58</v>
      </c>
      <c r="K298" s="15">
        <v>-3315.99</v>
      </c>
      <c r="L298" s="15">
        <v>-3700.1</v>
      </c>
      <c r="M298" s="15">
        <v>-3487.04</v>
      </c>
      <c r="N298" s="15">
        <v>-4218.09</v>
      </c>
      <c r="O298" s="15">
        <v>-4271.25</v>
      </c>
    </row>
    <row r="299" spans="1:15" x14ac:dyDescent="0.75">
      <c r="A299">
        <v>1294</v>
      </c>
      <c r="B299" t="s">
        <v>1344</v>
      </c>
      <c r="C299" t="s">
        <v>1345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-144</v>
      </c>
    </row>
    <row r="300" spans="1:15" x14ac:dyDescent="0.75">
      <c r="A300">
        <v>1303</v>
      </c>
      <c r="B300" t="s">
        <v>1022</v>
      </c>
      <c r="C300" t="s">
        <v>1013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-170</v>
      </c>
      <c r="K300" s="15">
        <v>-170</v>
      </c>
      <c r="L300" s="15">
        <v>-170</v>
      </c>
      <c r="M300" s="15">
        <v>-170</v>
      </c>
      <c r="N300" s="15">
        <v>-170</v>
      </c>
      <c r="O300" s="15">
        <v>-170</v>
      </c>
    </row>
    <row r="301" spans="1:15" x14ac:dyDescent="0.75">
      <c r="A301">
        <v>1304</v>
      </c>
      <c r="B301" t="s">
        <v>317</v>
      </c>
      <c r="C301" t="s">
        <v>318</v>
      </c>
      <c r="D301" s="15">
        <v>-640</v>
      </c>
      <c r="E301" s="15">
        <v>-640</v>
      </c>
      <c r="F301" s="15">
        <v>-640</v>
      </c>
      <c r="G301" s="15">
        <v>-640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</row>
    <row r="302" spans="1:15" x14ac:dyDescent="0.75">
      <c r="A302">
        <v>1306</v>
      </c>
      <c r="B302" t="s">
        <v>319</v>
      </c>
      <c r="C302" t="s">
        <v>320</v>
      </c>
      <c r="D302" s="15">
        <v>-54011</v>
      </c>
      <c r="E302" s="15">
        <v>-163721</v>
      </c>
      <c r="F302" s="15">
        <v>-202332</v>
      </c>
      <c r="G302" s="15">
        <v>-285041</v>
      </c>
      <c r="H302" s="15">
        <v>-134179</v>
      </c>
      <c r="I302" s="15">
        <v>-134249</v>
      </c>
      <c r="J302" s="15">
        <v>-123949</v>
      </c>
      <c r="K302" s="15">
        <v>-167505</v>
      </c>
      <c r="L302" s="15">
        <v>-154729</v>
      </c>
      <c r="M302" s="15">
        <v>-135352</v>
      </c>
      <c r="N302" s="15">
        <v>-127450</v>
      </c>
      <c r="O302" s="15">
        <v>-145727</v>
      </c>
    </row>
    <row r="303" spans="1:15" x14ac:dyDescent="0.75">
      <c r="A303">
        <v>1319</v>
      </c>
      <c r="B303" t="s">
        <v>843</v>
      </c>
      <c r="C303" t="s">
        <v>844</v>
      </c>
      <c r="D303" s="15">
        <v>-15000</v>
      </c>
      <c r="E303" s="15">
        <v>-15000</v>
      </c>
      <c r="F303" s="15">
        <v>-15000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</row>
    <row r="304" spans="1:15" x14ac:dyDescent="0.75">
      <c r="A304">
        <v>1327</v>
      </c>
      <c r="B304" t="s">
        <v>322</v>
      </c>
      <c r="C304" t="s">
        <v>323</v>
      </c>
      <c r="D304" s="15">
        <v>-1500</v>
      </c>
      <c r="E304" s="15">
        <v>-1500</v>
      </c>
      <c r="F304" s="15">
        <v>-1500</v>
      </c>
      <c r="G304" s="15">
        <v>-1500</v>
      </c>
      <c r="H304" s="15">
        <v>0</v>
      </c>
      <c r="I304" s="15">
        <v>0</v>
      </c>
      <c r="J304" s="15">
        <v>0</v>
      </c>
      <c r="K304" s="15">
        <v>-750</v>
      </c>
      <c r="L304" s="15">
        <v>0</v>
      </c>
      <c r="M304" s="15">
        <v>0</v>
      </c>
      <c r="N304" s="15">
        <v>0</v>
      </c>
      <c r="O304" s="15">
        <v>0</v>
      </c>
    </row>
    <row r="305" spans="1:15" x14ac:dyDescent="0.75">
      <c r="A305">
        <v>1328</v>
      </c>
      <c r="B305" t="s">
        <v>845</v>
      </c>
      <c r="C305" t="s">
        <v>846</v>
      </c>
      <c r="D305" s="15">
        <v>0</v>
      </c>
      <c r="E305" s="15">
        <v>-540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</row>
    <row r="306" spans="1:15" x14ac:dyDescent="0.75">
      <c r="A306">
        <v>1331</v>
      </c>
      <c r="B306" t="s">
        <v>324</v>
      </c>
      <c r="C306" t="s">
        <v>325</v>
      </c>
      <c r="D306" s="15">
        <v>-9530</v>
      </c>
      <c r="E306" s="15">
        <v>0</v>
      </c>
      <c r="F306" s="15">
        <v>0</v>
      </c>
      <c r="G306" s="15">
        <v>-10040</v>
      </c>
      <c r="H306" s="15">
        <v>-10720</v>
      </c>
      <c r="I306" s="15">
        <v>-330</v>
      </c>
      <c r="J306" s="15">
        <v>-12340</v>
      </c>
      <c r="K306" s="15">
        <v>-330</v>
      </c>
      <c r="L306" s="15">
        <v>-330</v>
      </c>
      <c r="M306" s="15">
        <v>-17630</v>
      </c>
      <c r="N306" s="15">
        <v>-330</v>
      </c>
      <c r="O306" s="15">
        <v>-13730</v>
      </c>
    </row>
    <row r="307" spans="1:15" x14ac:dyDescent="0.75">
      <c r="A307">
        <v>1340</v>
      </c>
      <c r="B307" t="s">
        <v>847</v>
      </c>
      <c r="C307" t="s">
        <v>848</v>
      </c>
      <c r="D307" s="15">
        <v>-5809.69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</row>
    <row r="308" spans="1:15" x14ac:dyDescent="0.75">
      <c r="A308">
        <v>1344</v>
      </c>
      <c r="B308" t="s">
        <v>326</v>
      </c>
      <c r="C308" t="s">
        <v>327</v>
      </c>
      <c r="D308" s="15">
        <v>-100</v>
      </c>
      <c r="E308" s="15">
        <v>-100</v>
      </c>
      <c r="F308" s="15">
        <v>-100</v>
      </c>
      <c r="G308" s="15">
        <v>-100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</row>
    <row r="309" spans="1:15" x14ac:dyDescent="0.75">
      <c r="A309">
        <v>1354</v>
      </c>
      <c r="B309" t="s">
        <v>328</v>
      </c>
      <c r="C309" t="s">
        <v>329</v>
      </c>
      <c r="D309" s="15">
        <v>-395</v>
      </c>
      <c r="E309" s="15">
        <v>-395</v>
      </c>
      <c r="F309" s="15">
        <v>-395</v>
      </c>
      <c r="G309" s="15">
        <v>-395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</row>
    <row r="310" spans="1:15" x14ac:dyDescent="0.75">
      <c r="A310">
        <v>1365</v>
      </c>
      <c r="B310" t="s">
        <v>331</v>
      </c>
      <c r="C310" t="s">
        <v>332</v>
      </c>
      <c r="D310" s="15">
        <v>-57346.8</v>
      </c>
      <c r="E310" s="15">
        <v>-33660.5</v>
      </c>
      <c r="F310" s="15">
        <v>-31346.65</v>
      </c>
      <c r="G310" s="15">
        <v>-50114.2</v>
      </c>
      <c r="H310" s="15">
        <v>-56478.1</v>
      </c>
      <c r="I310" s="15">
        <v>-66944.600000000006</v>
      </c>
      <c r="J310" s="15">
        <v>-61423.8</v>
      </c>
      <c r="K310" s="15">
        <v>-51551</v>
      </c>
      <c r="L310" s="15">
        <v>-28302.3</v>
      </c>
      <c r="M310" s="15">
        <v>-12728.5</v>
      </c>
      <c r="N310" s="15">
        <v>-16993</v>
      </c>
      <c r="O310" s="15">
        <v>-13905.6</v>
      </c>
    </row>
    <row r="311" spans="1:15" x14ac:dyDescent="0.75">
      <c r="A311">
        <v>1366</v>
      </c>
      <c r="B311" t="s">
        <v>333</v>
      </c>
      <c r="C311" t="s">
        <v>334</v>
      </c>
      <c r="D311" s="15">
        <v>-52682.5</v>
      </c>
      <c r="E311" s="15">
        <v>-66602.5</v>
      </c>
      <c r="F311" s="15">
        <v>-53020</v>
      </c>
      <c r="G311" s="15">
        <v>-14387.6</v>
      </c>
      <c r="H311" s="15">
        <v>-19408</v>
      </c>
      <c r="I311" s="15">
        <v>-21427</v>
      </c>
      <c r="J311" s="15">
        <v>-19528</v>
      </c>
      <c r="K311" s="15">
        <v>-22743.8</v>
      </c>
      <c r="L311" s="15">
        <v>-17221.2</v>
      </c>
      <c r="M311" s="15">
        <v>-7991.4</v>
      </c>
      <c r="N311" s="15">
        <v>-23645.5</v>
      </c>
      <c r="O311" s="15">
        <v>-20531</v>
      </c>
    </row>
    <row r="312" spans="1:15" x14ac:dyDescent="0.75">
      <c r="A312">
        <v>1369</v>
      </c>
      <c r="B312" t="s">
        <v>336</v>
      </c>
      <c r="C312" t="s">
        <v>337</v>
      </c>
      <c r="D312" s="15">
        <v>0</v>
      </c>
      <c r="E312" s="15">
        <v>-12246</v>
      </c>
      <c r="F312" s="15">
        <v>0</v>
      </c>
      <c r="G312" s="15">
        <v>0</v>
      </c>
      <c r="H312" s="15">
        <v>-3170</v>
      </c>
      <c r="I312" s="15">
        <v>-10833</v>
      </c>
      <c r="J312" s="15">
        <v>-14029</v>
      </c>
      <c r="K312" s="15">
        <v>-14029</v>
      </c>
      <c r="L312" s="15">
        <v>-14029</v>
      </c>
      <c r="M312" s="15">
        <v>-14029</v>
      </c>
      <c r="N312" s="15">
        <v>-14029</v>
      </c>
      <c r="O312" s="15">
        <v>-14029</v>
      </c>
    </row>
    <row r="313" spans="1:15" x14ac:dyDescent="0.75">
      <c r="A313">
        <v>1371</v>
      </c>
      <c r="B313" t="s">
        <v>849</v>
      </c>
      <c r="C313" t="s">
        <v>850</v>
      </c>
      <c r="D313" s="15">
        <v>-14938.31</v>
      </c>
      <c r="E313" s="15">
        <v>-14938.31</v>
      </c>
      <c r="F313" s="15">
        <v>-7491.55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</row>
    <row r="314" spans="1:15" x14ac:dyDescent="0.75">
      <c r="A314">
        <v>1372</v>
      </c>
      <c r="B314" t="s">
        <v>338</v>
      </c>
      <c r="C314" t="s">
        <v>339</v>
      </c>
      <c r="D314" s="15">
        <v>-5369.36</v>
      </c>
      <c r="E314" s="15">
        <v>-8382.6200000000008</v>
      </c>
      <c r="F314" s="15">
        <v>-5369.36</v>
      </c>
      <c r="G314" s="15">
        <v>-8921.02</v>
      </c>
      <c r="H314" s="15">
        <v>-9659.06</v>
      </c>
      <c r="I314" s="15">
        <v>-5369.36</v>
      </c>
      <c r="J314" s="15">
        <v>-9079.31</v>
      </c>
      <c r="K314" s="15">
        <v>-5369.36</v>
      </c>
      <c r="L314" s="15">
        <v>-8336.6</v>
      </c>
      <c r="M314" s="15">
        <v>-8329.24</v>
      </c>
      <c r="N314" s="15">
        <v>-8177.63</v>
      </c>
      <c r="O314" s="15">
        <v>-8001.11</v>
      </c>
    </row>
    <row r="315" spans="1:15" x14ac:dyDescent="0.75">
      <c r="A315">
        <v>1375</v>
      </c>
      <c r="B315" t="s">
        <v>851</v>
      </c>
      <c r="C315" t="s">
        <v>852</v>
      </c>
      <c r="D315" s="15">
        <v>-6138.02</v>
      </c>
      <c r="E315" s="15">
        <v>0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</row>
    <row r="316" spans="1:15" x14ac:dyDescent="0.75">
      <c r="A316">
        <v>1376</v>
      </c>
      <c r="B316" t="s">
        <v>853</v>
      </c>
      <c r="C316" t="s">
        <v>854</v>
      </c>
      <c r="D316" s="15">
        <v>-22267.1</v>
      </c>
      <c r="E316" s="15">
        <v>-22267.1</v>
      </c>
      <c r="F316" s="15">
        <v>-22267.1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</row>
    <row r="317" spans="1:15" x14ac:dyDescent="0.75">
      <c r="A317">
        <v>1377</v>
      </c>
      <c r="B317" t="s">
        <v>340</v>
      </c>
      <c r="C317" t="s">
        <v>341</v>
      </c>
      <c r="D317" s="15">
        <v>-2156</v>
      </c>
      <c r="E317" s="15">
        <v>-2156</v>
      </c>
      <c r="F317" s="15">
        <v>-2156</v>
      </c>
      <c r="G317" s="15">
        <v>-2156</v>
      </c>
      <c r="H317" s="15">
        <v>-2156</v>
      </c>
      <c r="I317" s="15">
        <v>-2156</v>
      </c>
      <c r="J317" s="15">
        <v>-1700.59</v>
      </c>
      <c r="K317" s="15">
        <v>-1700.59</v>
      </c>
      <c r="L317" s="15">
        <v>-1700.59</v>
      </c>
      <c r="M317" s="15">
        <v>-1700.59</v>
      </c>
      <c r="N317" s="15">
        <v>-1700.59</v>
      </c>
      <c r="O317" s="15">
        <v>-1700.59</v>
      </c>
    </row>
    <row r="318" spans="1:15" x14ac:dyDescent="0.75">
      <c r="A318">
        <v>1393</v>
      </c>
      <c r="B318" t="s">
        <v>342</v>
      </c>
      <c r="C318" t="s">
        <v>343</v>
      </c>
      <c r="D318" s="15">
        <v>-18267.419999999998</v>
      </c>
      <c r="E318" s="15">
        <v>-18267.419999999998</v>
      </c>
      <c r="F318" s="15">
        <v>-18267.419999999998</v>
      </c>
      <c r="G318" s="15">
        <v>-18267.419999999998</v>
      </c>
      <c r="H318" s="15">
        <v>-18267.419999999998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</row>
    <row r="319" spans="1:15" x14ac:dyDescent="0.75">
      <c r="A319">
        <v>1394</v>
      </c>
      <c r="B319" t="s">
        <v>855</v>
      </c>
      <c r="C319" t="s">
        <v>856</v>
      </c>
      <c r="D319" s="15">
        <v>-159.19999999999999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-5100</v>
      </c>
      <c r="N319" s="15">
        <v>-3400</v>
      </c>
      <c r="O319" s="15">
        <v>-2362</v>
      </c>
    </row>
    <row r="320" spans="1:15" x14ac:dyDescent="0.75">
      <c r="A320">
        <v>1396</v>
      </c>
      <c r="B320" t="s">
        <v>344</v>
      </c>
      <c r="C320" t="s">
        <v>345</v>
      </c>
      <c r="D320" s="15">
        <v>-9660</v>
      </c>
      <c r="E320" s="15">
        <v>-19620</v>
      </c>
      <c r="F320" s="15">
        <v>-19700</v>
      </c>
      <c r="G320" s="15">
        <v>-9660</v>
      </c>
      <c r="H320" s="15">
        <v>-9660</v>
      </c>
      <c r="I320" s="15">
        <v>-9660</v>
      </c>
      <c r="J320" s="15">
        <v>-110</v>
      </c>
      <c r="K320" s="15">
        <v>-110</v>
      </c>
      <c r="L320" s="15">
        <v>-22770</v>
      </c>
      <c r="M320" s="15">
        <v>-110</v>
      </c>
      <c r="N320" s="15">
        <v>-15540</v>
      </c>
      <c r="O320" s="15">
        <v>-110</v>
      </c>
    </row>
    <row r="321" spans="1:15" x14ac:dyDescent="0.75">
      <c r="A321">
        <v>1399</v>
      </c>
      <c r="B321" t="s">
        <v>346</v>
      </c>
      <c r="C321" t="s">
        <v>347</v>
      </c>
      <c r="D321" s="15">
        <v>-2804.7</v>
      </c>
      <c r="E321" s="15">
        <v>-2512.1999999999998</v>
      </c>
      <c r="F321" s="15">
        <v>-1571.9</v>
      </c>
      <c r="G321" s="15">
        <v>-1413.6</v>
      </c>
      <c r="H321" s="15">
        <v>-943.8</v>
      </c>
      <c r="I321" s="15">
        <v>-1553.83</v>
      </c>
      <c r="J321" s="15">
        <v>-1568.11</v>
      </c>
      <c r="K321" s="15">
        <v>-457.65</v>
      </c>
      <c r="L321" s="15">
        <v>-1216.75</v>
      </c>
      <c r="M321" s="15">
        <v>-520.75</v>
      </c>
      <c r="N321" s="15">
        <v>-375.65</v>
      </c>
      <c r="O321" s="15">
        <v>-423.25</v>
      </c>
    </row>
    <row r="322" spans="1:15" x14ac:dyDescent="0.75">
      <c r="A322">
        <v>1400</v>
      </c>
      <c r="B322" t="s">
        <v>348</v>
      </c>
      <c r="C322" t="s">
        <v>349</v>
      </c>
      <c r="D322" s="15">
        <v>-1119</v>
      </c>
      <c r="E322" s="15">
        <v>-1119</v>
      </c>
      <c r="F322" s="15">
        <v>-1119</v>
      </c>
      <c r="G322" s="15">
        <v>-1119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</row>
    <row r="323" spans="1:15" x14ac:dyDescent="0.75">
      <c r="A323">
        <v>1401</v>
      </c>
      <c r="B323" t="s">
        <v>350</v>
      </c>
      <c r="C323" t="s">
        <v>351</v>
      </c>
      <c r="D323" s="15">
        <v>-6630</v>
      </c>
      <c r="E323" s="15">
        <v>-4015</v>
      </c>
      <c r="F323" s="15">
        <v>-3675</v>
      </c>
      <c r="G323" s="15">
        <v>-4785</v>
      </c>
      <c r="H323" s="15">
        <v>-4600</v>
      </c>
      <c r="I323" s="15">
        <v>-3490</v>
      </c>
      <c r="J323" s="15">
        <v>-3860</v>
      </c>
      <c r="K323" s="15">
        <v>-4045</v>
      </c>
      <c r="L323" s="15">
        <v>-2935</v>
      </c>
      <c r="M323" s="15">
        <v>-3860</v>
      </c>
      <c r="N323" s="15">
        <v>-4045</v>
      </c>
      <c r="O323" s="15">
        <v>-2565</v>
      </c>
    </row>
    <row r="324" spans="1:15" x14ac:dyDescent="0.75">
      <c r="A324">
        <v>1403</v>
      </c>
      <c r="B324" t="s">
        <v>352</v>
      </c>
      <c r="C324" t="s">
        <v>353</v>
      </c>
      <c r="D324" s="15">
        <v>0</v>
      </c>
      <c r="E324" s="15">
        <v>0</v>
      </c>
      <c r="F324" s="15">
        <v>-1994.5</v>
      </c>
      <c r="G324" s="15">
        <v>-1994.5</v>
      </c>
      <c r="H324" s="15">
        <v>-1994.5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</row>
    <row r="325" spans="1:15" x14ac:dyDescent="0.75">
      <c r="A325">
        <v>1405</v>
      </c>
      <c r="B325" t="s">
        <v>354</v>
      </c>
      <c r="C325" t="s">
        <v>355</v>
      </c>
      <c r="D325" s="15">
        <v>-72025.75</v>
      </c>
      <c r="E325" s="15">
        <v>-15426.2</v>
      </c>
      <c r="F325" s="15">
        <v>-68656</v>
      </c>
      <c r="G325" s="15">
        <v>-30321.7</v>
      </c>
      <c r="H325" s="15">
        <v>-19030</v>
      </c>
      <c r="I325" s="15">
        <v>-39975.300000000003</v>
      </c>
      <c r="J325" s="15">
        <v>-16903.45</v>
      </c>
      <c r="K325" s="15">
        <v>-23180.2</v>
      </c>
      <c r="L325" s="15">
        <v>-29639.9</v>
      </c>
      <c r="M325" s="15">
        <v>-11530.7</v>
      </c>
      <c r="N325" s="15">
        <v>-19507.5</v>
      </c>
      <c r="O325" s="15">
        <v>-23428.7</v>
      </c>
    </row>
    <row r="326" spans="1:15" x14ac:dyDescent="0.75">
      <c r="A326">
        <v>1406</v>
      </c>
      <c r="B326" t="s">
        <v>356</v>
      </c>
      <c r="C326" t="s">
        <v>357</v>
      </c>
      <c r="D326" s="15">
        <v>-8385.9</v>
      </c>
      <c r="E326" s="15">
        <v>-8404.5</v>
      </c>
      <c r="F326" s="15">
        <v>-9082.7000000000007</v>
      </c>
      <c r="G326" s="15">
        <v>-7753.6</v>
      </c>
      <c r="H326" s="15">
        <v>2000</v>
      </c>
      <c r="I326" s="15">
        <v>-7194.5</v>
      </c>
      <c r="J326" s="15">
        <v>0</v>
      </c>
      <c r="K326" s="15">
        <v>-1000</v>
      </c>
      <c r="L326" s="15">
        <v>-927.25</v>
      </c>
      <c r="M326" s="15">
        <v>-927.25</v>
      </c>
      <c r="N326" s="15">
        <v>-12864</v>
      </c>
      <c r="O326" s="15">
        <v>-2927.25</v>
      </c>
    </row>
    <row r="327" spans="1:15" x14ac:dyDescent="0.75">
      <c r="A327">
        <v>1410</v>
      </c>
      <c r="B327" t="s">
        <v>358</v>
      </c>
      <c r="C327" t="s">
        <v>359</v>
      </c>
      <c r="D327" s="15">
        <v>-551.73</v>
      </c>
      <c r="E327" s="15">
        <v>-551.73</v>
      </c>
      <c r="F327" s="15">
        <v>-551.73</v>
      </c>
      <c r="G327" s="15">
        <v>-551.73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</row>
    <row r="328" spans="1:15" x14ac:dyDescent="0.75">
      <c r="A328">
        <v>1413</v>
      </c>
      <c r="B328" t="s">
        <v>360</v>
      </c>
      <c r="C328" t="s">
        <v>361</v>
      </c>
      <c r="D328" s="15">
        <v>-22571.43</v>
      </c>
      <c r="E328" s="15">
        <v>-19643.330000000002</v>
      </c>
      <c r="F328" s="15">
        <v>-20997.23</v>
      </c>
      <c r="G328" s="15">
        <v>-7318.43</v>
      </c>
      <c r="H328" s="15">
        <v>-2665.43</v>
      </c>
      <c r="I328" s="15">
        <v>-2665.43</v>
      </c>
      <c r="J328" s="15">
        <v>-2665.43</v>
      </c>
      <c r="K328" s="15">
        <v>-2665.43</v>
      </c>
      <c r="L328" s="15">
        <v>-2665.43</v>
      </c>
      <c r="M328" s="15">
        <v>-2665.43</v>
      </c>
      <c r="N328" s="15">
        <v>-2665.43</v>
      </c>
      <c r="O328" s="15">
        <v>-2795.43</v>
      </c>
    </row>
    <row r="329" spans="1:15" x14ac:dyDescent="0.75">
      <c r="A329">
        <v>1414</v>
      </c>
      <c r="B329" t="s">
        <v>362</v>
      </c>
      <c r="C329" t="s">
        <v>363</v>
      </c>
      <c r="D329" s="15">
        <v>0</v>
      </c>
      <c r="E329" s="15">
        <v>0</v>
      </c>
      <c r="F329" s="15">
        <v>0</v>
      </c>
      <c r="G329" s="15">
        <v>0</v>
      </c>
      <c r="H329" s="15">
        <v>-10914.24</v>
      </c>
      <c r="I329" s="15">
        <v>-3638.08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</row>
    <row r="330" spans="1:15" x14ac:dyDescent="0.75">
      <c r="A330">
        <v>1419</v>
      </c>
      <c r="B330" t="s">
        <v>364</v>
      </c>
      <c r="C330" t="s">
        <v>365</v>
      </c>
      <c r="D330" s="15">
        <v>-345</v>
      </c>
      <c r="E330" s="15">
        <v>0</v>
      </c>
      <c r="F330" s="15">
        <v>-345</v>
      </c>
      <c r="G330" s="15">
        <v>0</v>
      </c>
      <c r="H330" s="15">
        <v>-345</v>
      </c>
      <c r="I330" s="15">
        <v>-345</v>
      </c>
      <c r="J330" s="15">
        <v>-1845</v>
      </c>
      <c r="K330" s="15">
        <v>-1345</v>
      </c>
      <c r="L330" s="15">
        <v>-845</v>
      </c>
      <c r="M330" s="15">
        <v>-381.05</v>
      </c>
      <c r="N330" s="15">
        <v>-381.05</v>
      </c>
      <c r="O330" s="15">
        <v>-381.05</v>
      </c>
    </row>
    <row r="331" spans="1:15" x14ac:dyDescent="0.75">
      <c r="A331">
        <v>1444</v>
      </c>
      <c r="B331" t="s">
        <v>366</v>
      </c>
      <c r="C331" t="s">
        <v>367</v>
      </c>
      <c r="D331" s="15">
        <v>-666</v>
      </c>
      <c r="E331" s="15">
        <v>-666</v>
      </c>
      <c r="F331" s="15">
        <v>-950</v>
      </c>
      <c r="G331" s="15">
        <v>-1028</v>
      </c>
      <c r="H331" s="15">
        <v>-1028</v>
      </c>
      <c r="I331" s="15">
        <v>-1028</v>
      </c>
      <c r="J331" s="15">
        <v>-1028</v>
      </c>
      <c r="K331" s="15">
        <v>-1028</v>
      </c>
      <c r="L331" s="15">
        <v>-1028</v>
      </c>
      <c r="M331" s="15">
        <v>-1028</v>
      </c>
      <c r="N331" s="15">
        <v>-1072</v>
      </c>
      <c r="O331" s="15">
        <v>-1072</v>
      </c>
    </row>
    <row r="332" spans="1:15" x14ac:dyDescent="0.75">
      <c r="A332">
        <v>1449</v>
      </c>
      <c r="B332" t="s">
        <v>368</v>
      </c>
      <c r="C332" t="s">
        <v>369</v>
      </c>
      <c r="D332" s="15">
        <v>-570</v>
      </c>
      <c r="E332" s="15">
        <v>-570</v>
      </c>
      <c r="F332" s="15">
        <v>-570</v>
      </c>
      <c r="G332" s="15">
        <v>-570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</row>
    <row r="333" spans="1:15" x14ac:dyDescent="0.75">
      <c r="A333">
        <v>1458</v>
      </c>
      <c r="B333" t="s">
        <v>370</v>
      </c>
      <c r="C333" t="s">
        <v>371</v>
      </c>
      <c r="D333" s="15">
        <v>-13382</v>
      </c>
      <c r="E333" s="15">
        <v>-13382</v>
      </c>
      <c r="F333" s="15">
        <v>-12043.8</v>
      </c>
      <c r="G333" s="15">
        <v>-10705.6</v>
      </c>
      <c r="H333" s="15">
        <v>-9367.4</v>
      </c>
      <c r="I333" s="15">
        <v>-8029.2</v>
      </c>
      <c r="J333" s="15">
        <v>-6691</v>
      </c>
      <c r="K333" s="15">
        <v>-5352.8</v>
      </c>
      <c r="L333" s="15">
        <v>-4014.6</v>
      </c>
      <c r="M333" s="15">
        <v>-2676.4</v>
      </c>
      <c r="N333" s="15">
        <v>-1338.2</v>
      </c>
      <c r="O333" s="15">
        <v>0</v>
      </c>
    </row>
    <row r="334" spans="1:15" x14ac:dyDescent="0.75">
      <c r="A334">
        <v>1466</v>
      </c>
      <c r="B334" t="s">
        <v>372</v>
      </c>
      <c r="C334" t="s">
        <v>373</v>
      </c>
      <c r="D334" s="15">
        <v>-163.1</v>
      </c>
      <c r="E334" s="15">
        <v>-163.1</v>
      </c>
      <c r="F334" s="15">
        <v>-163.1</v>
      </c>
      <c r="G334" s="15">
        <v>-163.1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</row>
    <row r="335" spans="1:15" x14ac:dyDescent="0.75">
      <c r="A335">
        <v>1479</v>
      </c>
      <c r="B335" t="s">
        <v>374</v>
      </c>
      <c r="C335" t="s">
        <v>375</v>
      </c>
      <c r="D335" s="15">
        <v>-3848.12</v>
      </c>
      <c r="E335" s="15">
        <v>-3848.12</v>
      </c>
      <c r="F335" s="15">
        <v>-3848.12</v>
      </c>
      <c r="G335" s="15">
        <v>-3848.12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</row>
    <row r="336" spans="1:15" x14ac:dyDescent="0.75">
      <c r="A336">
        <v>1483</v>
      </c>
      <c r="B336" t="s">
        <v>376</v>
      </c>
      <c r="C336" t="s">
        <v>377</v>
      </c>
      <c r="D336" s="15">
        <v>-5650</v>
      </c>
      <c r="E336" s="15">
        <v>-6360</v>
      </c>
      <c r="F336" s="15">
        <v>0</v>
      </c>
      <c r="G336" s="15">
        <v>-12940</v>
      </c>
      <c r="H336" s="15">
        <v>-1620</v>
      </c>
      <c r="I336" s="15">
        <v>-2820</v>
      </c>
      <c r="J336" s="15">
        <v>-2820</v>
      </c>
      <c r="K336" s="15">
        <v>-4720</v>
      </c>
      <c r="L336" s="15">
        <v>4780</v>
      </c>
      <c r="M336" s="15">
        <v>-7200</v>
      </c>
      <c r="N336" s="15">
        <v>-4000</v>
      </c>
      <c r="O336" s="15">
        <v>-4550</v>
      </c>
    </row>
    <row r="337" spans="1:15" x14ac:dyDescent="0.75">
      <c r="A337">
        <v>1493</v>
      </c>
      <c r="B337" t="s">
        <v>378</v>
      </c>
      <c r="C337" t="s">
        <v>379</v>
      </c>
      <c r="D337" s="15">
        <v>-307</v>
      </c>
      <c r="E337" s="15">
        <v>-307</v>
      </c>
      <c r="F337" s="15">
        <v>-307</v>
      </c>
      <c r="G337" s="15">
        <v>-307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</row>
    <row r="338" spans="1:15" x14ac:dyDescent="0.75">
      <c r="A338">
        <v>1500</v>
      </c>
      <c r="B338" t="s">
        <v>380</v>
      </c>
      <c r="C338" t="s">
        <v>381</v>
      </c>
      <c r="D338" s="15">
        <v>-18450</v>
      </c>
      <c r="E338" s="15">
        <v>-18450</v>
      </c>
      <c r="F338" s="15">
        <v>-18450</v>
      </c>
      <c r="G338" s="15">
        <v>-18450</v>
      </c>
      <c r="H338" s="15">
        <v>-18450</v>
      </c>
      <c r="I338" s="15">
        <v>-18450</v>
      </c>
      <c r="J338" s="15">
        <v>-16000</v>
      </c>
      <c r="K338" s="15">
        <v>-16000</v>
      </c>
      <c r="L338" s="15">
        <v>-46850</v>
      </c>
      <c r="M338" s="15">
        <v>0</v>
      </c>
      <c r="N338" s="15">
        <v>0</v>
      </c>
      <c r="O338" s="15">
        <v>0</v>
      </c>
    </row>
    <row r="339" spans="1:15" x14ac:dyDescent="0.75">
      <c r="A339">
        <v>1503</v>
      </c>
      <c r="B339" t="s">
        <v>382</v>
      </c>
      <c r="C339" t="s">
        <v>383</v>
      </c>
      <c r="D339" s="15">
        <v>-17514.8</v>
      </c>
      <c r="E339" s="15">
        <v>-15074.8</v>
      </c>
      <c r="F339" s="15">
        <v>-9790</v>
      </c>
      <c r="G339" s="15">
        <v>-10110.5</v>
      </c>
      <c r="H339" s="15">
        <v>-10179.5</v>
      </c>
      <c r="I339" s="15">
        <v>-9096</v>
      </c>
      <c r="J339" s="15">
        <v>-10668.2</v>
      </c>
      <c r="K339" s="15">
        <v>-11467.5</v>
      </c>
      <c r="L339" s="15">
        <v>-15925.8</v>
      </c>
      <c r="M339" s="15">
        <v>-22369.3</v>
      </c>
      <c r="N339" s="15">
        <v>-20442.400000000001</v>
      </c>
      <c r="O339" s="15">
        <v>-29277</v>
      </c>
    </row>
    <row r="340" spans="1:15" x14ac:dyDescent="0.75">
      <c r="A340">
        <v>1510</v>
      </c>
      <c r="B340" t="s">
        <v>857</v>
      </c>
      <c r="C340" t="s">
        <v>858</v>
      </c>
      <c r="D340" s="15">
        <v>-5948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</row>
    <row r="341" spans="1:15" x14ac:dyDescent="0.75">
      <c r="A341">
        <v>1511</v>
      </c>
      <c r="B341" t="s">
        <v>384</v>
      </c>
      <c r="C341" t="s">
        <v>385</v>
      </c>
      <c r="D341" s="15">
        <v>-1250</v>
      </c>
      <c r="E341" s="15">
        <v>-1250</v>
      </c>
      <c r="F341" s="15">
        <v>-1250</v>
      </c>
      <c r="G341" s="15">
        <v>-1250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</row>
    <row r="342" spans="1:15" x14ac:dyDescent="0.75">
      <c r="A342">
        <v>1513</v>
      </c>
      <c r="B342" t="s">
        <v>386</v>
      </c>
      <c r="C342" t="s">
        <v>387</v>
      </c>
      <c r="D342" s="15">
        <v>-602</v>
      </c>
      <c r="E342" s="15">
        <v>-602</v>
      </c>
      <c r="F342" s="15">
        <v>-602</v>
      </c>
      <c r="G342" s="15">
        <v>-602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</row>
    <row r="343" spans="1:15" x14ac:dyDescent="0.75">
      <c r="A343">
        <v>1514</v>
      </c>
      <c r="B343" t="s">
        <v>388</v>
      </c>
      <c r="C343" t="s">
        <v>389</v>
      </c>
      <c r="D343" s="15">
        <v>-1093</v>
      </c>
      <c r="E343" s="15">
        <v>-1093</v>
      </c>
      <c r="F343" s="15">
        <v>-1093</v>
      </c>
      <c r="G343" s="15">
        <v>-1093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</row>
    <row r="344" spans="1:15" x14ac:dyDescent="0.75">
      <c r="A344">
        <v>1516</v>
      </c>
      <c r="B344" t="s">
        <v>390</v>
      </c>
      <c r="C344" t="s">
        <v>391</v>
      </c>
      <c r="D344" s="15">
        <v>-150</v>
      </c>
      <c r="E344" s="15">
        <v>-150</v>
      </c>
      <c r="F344" s="15">
        <v>-150</v>
      </c>
      <c r="G344" s="15">
        <v>-150</v>
      </c>
      <c r="H344" s="15">
        <v>-150</v>
      </c>
      <c r="I344" s="15">
        <v>-150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</row>
    <row r="345" spans="1:15" x14ac:dyDescent="0.75">
      <c r="A345">
        <v>1518</v>
      </c>
      <c r="B345" t="s">
        <v>392</v>
      </c>
      <c r="C345" t="s">
        <v>393</v>
      </c>
      <c r="D345" s="15">
        <v>-4400.8999999999996</v>
      </c>
      <c r="E345" s="15">
        <v>-11752</v>
      </c>
      <c r="F345" s="15">
        <v>-13757.35</v>
      </c>
      <c r="G345" s="15">
        <v>-4706.3999999999996</v>
      </c>
      <c r="H345" s="15">
        <v>-1231.0999999999999</v>
      </c>
      <c r="I345" s="15">
        <v>-1021.2</v>
      </c>
      <c r="J345" s="15">
        <v>-1103.9000000000001</v>
      </c>
      <c r="K345" s="15">
        <v>-910.3</v>
      </c>
      <c r="L345" s="15">
        <v>-4080</v>
      </c>
      <c r="M345" s="15">
        <v>-1007.4</v>
      </c>
      <c r="N345" s="15">
        <v>-1192.4000000000001</v>
      </c>
      <c r="O345" s="15">
        <v>-808.9</v>
      </c>
    </row>
    <row r="346" spans="1:15" x14ac:dyDescent="0.75">
      <c r="A346">
        <v>1528</v>
      </c>
      <c r="B346" t="s">
        <v>394</v>
      </c>
      <c r="C346" t="s">
        <v>395</v>
      </c>
      <c r="D346" s="15">
        <v>-67</v>
      </c>
      <c r="E346" s="15">
        <v>-67</v>
      </c>
      <c r="F346" s="15">
        <v>-67</v>
      </c>
      <c r="G346" s="15">
        <v>-67</v>
      </c>
      <c r="H346" s="15">
        <v>-67</v>
      </c>
      <c r="I346" s="15">
        <v>-67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</row>
    <row r="347" spans="1:15" x14ac:dyDescent="0.75">
      <c r="A347">
        <v>1534</v>
      </c>
      <c r="B347" t="s">
        <v>396</v>
      </c>
      <c r="C347" t="s">
        <v>397</v>
      </c>
      <c r="D347" s="15">
        <v>-16398.68</v>
      </c>
      <c r="E347" s="15">
        <v>-28437.040000000001</v>
      </c>
      <c r="F347" s="15">
        <v>-13255.92</v>
      </c>
      <c r="G347" s="15">
        <v>-10843.62</v>
      </c>
      <c r="H347" s="15">
        <v>-15725.6</v>
      </c>
      <c r="I347" s="15">
        <v>-13920.7</v>
      </c>
      <c r="J347" s="15">
        <v>-11505.1</v>
      </c>
      <c r="K347" s="15">
        <v>-10662.9</v>
      </c>
      <c r="L347" s="15">
        <v>-8274.9</v>
      </c>
      <c r="M347" s="15">
        <v>-11905.98</v>
      </c>
      <c r="N347" s="15">
        <v>-9473.86</v>
      </c>
      <c r="O347" s="15">
        <v>-8592.34</v>
      </c>
    </row>
    <row r="348" spans="1:15" x14ac:dyDescent="0.75">
      <c r="A348">
        <v>1540</v>
      </c>
      <c r="B348" t="s">
        <v>398</v>
      </c>
      <c r="C348" t="s">
        <v>399</v>
      </c>
      <c r="D348" s="15">
        <v>-772.5</v>
      </c>
      <c r="E348" s="15">
        <v>-772.5</v>
      </c>
      <c r="F348" s="15">
        <v>-772.5</v>
      </c>
      <c r="G348" s="15">
        <v>-772.5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</row>
    <row r="349" spans="1:15" x14ac:dyDescent="0.75">
      <c r="A349">
        <v>1541</v>
      </c>
      <c r="B349" t="s">
        <v>400</v>
      </c>
      <c r="C349" t="s">
        <v>401</v>
      </c>
      <c r="D349" s="15">
        <v>-40</v>
      </c>
      <c r="E349" s="15">
        <v>-40</v>
      </c>
      <c r="F349" s="15">
        <v>-40</v>
      </c>
      <c r="G349" s="15">
        <v>-40</v>
      </c>
      <c r="H349" s="15">
        <v>-40</v>
      </c>
      <c r="I349" s="15">
        <v>-40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</row>
    <row r="350" spans="1:15" x14ac:dyDescent="0.75">
      <c r="A350">
        <v>1545</v>
      </c>
      <c r="B350" t="s">
        <v>402</v>
      </c>
      <c r="C350" t="s">
        <v>403</v>
      </c>
      <c r="D350" s="15">
        <v>-78.05</v>
      </c>
      <c r="E350" s="15">
        <v>0</v>
      </c>
      <c r="F350" s="15">
        <v>0</v>
      </c>
      <c r="G350" s="15">
        <v>0</v>
      </c>
      <c r="H350" s="15">
        <v>-82.3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</row>
    <row r="351" spans="1:15" x14ac:dyDescent="0.75">
      <c r="A351">
        <v>1551</v>
      </c>
      <c r="B351" t="s">
        <v>859</v>
      </c>
      <c r="C351" t="s">
        <v>860</v>
      </c>
      <c r="D351" s="15">
        <v>0</v>
      </c>
      <c r="E351" s="15">
        <v>0</v>
      </c>
      <c r="F351" s="15">
        <v>0</v>
      </c>
      <c r="G351" s="15">
        <v>0</v>
      </c>
      <c r="H351" s="15">
        <v>0</v>
      </c>
      <c r="I351" s="15">
        <v>-420</v>
      </c>
      <c r="J351" s="15">
        <v>0</v>
      </c>
      <c r="K351" s="15">
        <v>0</v>
      </c>
      <c r="L351" s="15">
        <v>0</v>
      </c>
      <c r="M351" s="15">
        <v>0</v>
      </c>
      <c r="N351" s="15">
        <v>-950</v>
      </c>
      <c r="O351" s="15">
        <v>0</v>
      </c>
    </row>
    <row r="352" spans="1:15" x14ac:dyDescent="0.75">
      <c r="A352">
        <v>1558</v>
      </c>
      <c r="B352" t="s">
        <v>404</v>
      </c>
      <c r="C352" t="s">
        <v>405</v>
      </c>
      <c r="D352" s="15">
        <v>-9298</v>
      </c>
      <c r="E352" s="15">
        <v>-2041.8</v>
      </c>
      <c r="F352" s="15">
        <v>-2012.65</v>
      </c>
      <c r="G352" s="15">
        <v>-1439.6</v>
      </c>
      <c r="H352" s="15">
        <v>-1929.79</v>
      </c>
      <c r="I352" s="15">
        <v>-3187.92</v>
      </c>
      <c r="J352" s="15">
        <v>-805.75</v>
      </c>
      <c r="K352" s="15">
        <v>-801.67</v>
      </c>
      <c r="L352" s="15">
        <v>-496.65</v>
      </c>
      <c r="M352" s="15">
        <v>-599.66</v>
      </c>
      <c r="N352" s="15">
        <v>-842.2</v>
      </c>
      <c r="O352" s="15">
        <v>-236.75</v>
      </c>
    </row>
    <row r="353" spans="1:15" x14ac:dyDescent="0.75">
      <c r="A353">
        <v>1566</v>
      </c>
      <c r="B353" t="s">
        <v>861</v>
      </c>
      <c r="C353" t="s">
        <v>862</v>
      </c>
      <c r="D353" s="15">
        <v>0</v>
      </c>
      <c r="E353" s="15">
        <v>0</v>
      </c>
      <c r="F353" s="15">
        <v>-15691.69</v>
      </c>
      <c r="G353" s="15">
        <v>0</v>
      </c>
      <c r="H353" s="15">
        <v>0</v>
      </c>
      <c r="I353" s="15">
        <v>-10091.83</v>
      </c>
      <c r="J353" s="15">
        <v>-6835.09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</row>
    <row r="354" spans="1:15" x14ac:dyDescent="0.75">
      <c r="A354">
        <v>1572</v>
      </c>
      <c r="B354" t="s">
        <v>406</v>
      </c>
      <c r="C354" t="s">
        <v>407</v>
      </c>
      <c r="D354" s="15">
        <v>-770</v>
      </c>
      <c r="E354" s="15">
        <v>-770</v>
      </c>
      <c r="F354" s="15">
        <v>-770</v>
      </c>
      <c r="G354" s="15">
        <v>-770</v>
      </c>
      <c r="H354" s="15">
        <v>-770</v>
      </c>
      <c r="I354" s="15">
        <v>-770</v>
      </c>
      <c r="J354" s="15">
        <v>-59.23</v>
      </c>
      <c r="K354" s="15">
        <v>-59.23</v>
      </c>
      <c r="L354" s="15">
        <v>-59.23</v>
      </c>
      <c r="M354" s="15">
        <v>-59.23</v>
      </c>
      <c r="N354" s="15">
        <v>-59.23</v>
      </c>
      <c r="O354" s="15">
        <v>-59.23</v>
      </c>
    </row>
    <row r="355" spans="1:15" x14ac:dyDescent="0.75">
      <c r="A355">
        <v>1573</v>
      </c>
      <c r="B355" t="s">
        <v>408</v>
      </c>
      <c r="C355" t="s">
        <v>409</v>
      </c>
      <c r="D355" s="15">
        <v>-160</v>
      </c>
      <c r="E355" s="15">
        <v>-160</v>
      </c>
      <c r="F355" s="15">
        <v>-160</v>
      </c>
      <c r="G355" s="15">
        <v>-160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-80</v>
      </c>
    </row>
    <row r="356" spans="1:15" x14ac:dyDescent="0.75">
      <c r="A356">
        <v>1575</v>
      </c>
      <c r="B356" t="s">
        <v>410</v>
      </c>
      <c r="C356" t="s">
        <v>411</v>
      </c>
      <c r="D356" s="15">
        <v>-7800</v>
      </c>
      <c r="E356" s="15">
        <v>-7800</v>
      </c>
      <c r="F356" s="15">
        <v>-7800</v>
      </c>
      <c r="G356" s="15">
        <v>-7800</v>
      </c>
      <c r="H356" s="15">
        <v>-7800</v>
      </c>
      <c r="I356" s="15">
        <v>-7800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</row>
    <row r="357" spans="1:15" x14ac:dyDescent="0.75">
      <c r="A357">
        <v>1580</v>
      </c>
      <c r="B357" t="s">
        <v>412</v>
      </c>
      <c r="C357" t="s">
        <v>413</v>
      </c>
      <c r="D357" s="15">
        <v>-99.99</v>
      </c>
      <c r="E357" s="15">
        <v>-99.99</v>
      </c>
      <c r="F357" s="15">
        <v>-99.99</v>
      </c>
      <c r="G357" s="15">
        <v>-99.99</v>
      </c>
      <c r="H357" s="15">
        <v>-99.99</v>
      </c>
      <c r="I357" s="15">
        <v>-99.99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</row>
    <row r="358" spans="1:15" x14ac:dyDescent="0.75">
      <c r="A358">
        <v>1582</v>
      </c>
      <c r="B358" t="s">
        <v>414</v>
      </c>
      <c r="C358" t="s">
        <v>415</v>
      </c>
      <c r="D358" s="15">
        <v>-904</v>
      </c>
      <c r="E358" s="15">
        <v>-904</v>
      </c>
      <c r="F358" s="15">
        <v>-904</v>
      </c>
      <c r="G358" s="15">
        <v>-904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</row>
    <row r="359" spans="1:15" x14ac:dyDescent="0.75">
      <c r="A359">
        <v>1583</v>
      </c>
      <c r="B359" t="s">
        <v>1272</v>
      </c>
      <c r="C359" t="s">
        <v>1243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-250</v>
      </c>
      <c r="O359" s="15">
        <v>-250</v>
      </c>
    </row>
    <row r="360" spans="1:15" x14ac:dyDescent="0.75">
      <c r="A360">
        <v>1592</v>
      </c>
      <c r="B360" t="s">
        <v>1086</v>
      </c>
      <c r="C360" t="s">
        <v>1058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-900</v>
      </c>
      <c r="L360" s="15">
        <v>0</v>
      </c>
      <c r="M360" s="15">
        <v>0</v>
      </c>
      <c r="N360" s="15">
        <v>0</v>
      </c>
      <c r="O360" s="15">
        <v>0</v>
      </c>
    </row>
    <row r="361" spans="1:15" x14ac:dyDescent="0.75">
      <c r="A361">
        <v>1593</v>
      </c>
      <c r="B361" t="s">
        <v>416</v>
      </c>
      <c r="C361" t="s">
        <v>417</v>
      </c>
      <c r="D361" s="15">
        <v>-75</v>
      </c>
      <c r="E361" s="15">
        <v>-75</v>
      </c>
      <c r="F361" s="15">
        <v>-75</v>
      </c>
      <c r="G361" s="15">
        <v>-75</v>
      </c>
      <c r="H361" s="15">
        <v>-75</v>
      </c>
      <c r="I361" s="15">
        <v>-75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-72</v>
      </c>
    </row>
    <row r="362" spans="1:15" x14ac:dyDescent="0.75">
      <c r="A362">
        <v>1594</v>
      </c>
      <c r="B362" t="s">
        <v>418</v>
      </c>
      <c r="C362" t="s">
        <v>419</v>
      </c>
      <c r="D362" s="15">
        <v>-472.47</v>
      </c>
      <c r="E362" s="15">
        <v>-472.47</v>
      </c>
      <c r="F362" s="15">
        <v>-472.47</v>
      </c>
      <c r="G362" s="15">
        <v>-472.47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</row>
    <row r="363" spans="1:15" x14ac:dyDescent="0.75">
      <c r="A363">
        <v>1618</v>
      </c>
      <c r="B363" t="s">
        <v>420</v>
      </c>
      <c r="C363" t="s">
        <v>421</v>
      </c>
      <c r="D363" s="15">
        <v>-920</v>
      </c>
      <c r="E363" s="15">
        <v>-920</v>
      </c>
      <c r="F363" s="15">
        <v>-920</v>
      </c>
      <c r="G363" s="15">
        <v>-920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15">
        <v>0</v>
      </c>
      <c r="O363" s="15">
        <v>0</v>
      </c>
    </row>
    <row r="364" spans="1:15" x14ac:dyDescent="0.75">
      <c r="A364">
        <v>1637</v>
      </c>
      <c r="B364" t="s">
        <v>422</v>
      </c>
      <c r="C364" t="s">
        <v>423</v>
      </c>
      <c r="D364" s="15">
        <v>-208</v>
      </c>
      <c r="E364" s="15">
        <v>-208</v>
      </c>
      <c r="F364" s="15">
        <v>-208</v>
      </c>
      <c r="G364" s="15">
        <v>-208</v>
      </c>
      <c r="H364" s="15">
        <v>-208</v>
      </c>
      <c r="I364" s="15">
        <v>-208.02</v>
      </c>
      <c r="J364" s="15">
        <v>-208.02</v>
      </c>
      <c r="K364" s="15">
        <v>-208.02</v>
      </c>
      <c r="L364" s="15">
        <v>-208.02</v>
      </c>
      <c r="M364" s="15">
        <v>-246.92</v>
      </c>
      <c r="N364" s="15">
        <v>-246.92</v>
      </c>
      <c r="O364" s="15">
        <v>-431.82</v>
      </c>
    </row>
    <row r="365" spans="1:15" x14ac:dyDescent="0.75">
      <c r="A365">
        <v>1640</v>
      </c>
      <c r="B365" t="s">
        <v>424</v>
      </c>
      <c r="C365" t="s">
        <v>425</v>
      </c>
      <c r="D365" s="15">
        <v>-113</v>
      </c>
      <c r="E365" s="15">
        <v>-113</v>
      </c>
      <c r="F365" s="15">
        <v>-113</v>
      </c>
      <c r="G365" s="15">
        <v>-113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</row>
    <row r="366" spans="1:15" x14ac:dyDescent="0.75">
      <c r="A366">
        <v>1641</v>
      </c>
      <c r="B366" t="s">
        <v>426</v>
      </c>
      <c r="C366" t="s">
        <v>427</v>
      </c>
      <c r="D366" s="15">
        <v>-6000</v>
      </c>
      <c r="E366" s="15">
        <v>-6600</v>
      </c>
      <c r="F366" s="15">
        <v>-6600</v>
      </c>
      <c r="G366" s="15">
        <v>-7500</v>
      </c>
      <c r="H366" s="15">
        <v>-7500</v>
      </c>
      <c r="I366" s="15">
        <v>-7500</v>
      </c>
      <c r="J366" s="15">
        <v>-7500</v>
      </c>
      <c r="K366" s="15">
        <v>-7500</v>
      </c>
      <c r="L366" s="15">
        <v>-7500</v>
      </c>
      <c r="M366" s="15">
        <v>-7500</v>
      </c>
      <c r="N366" s="15">
        <v>-9160</v>
      </c>
      <c r="O366" s="15">
        <v>-10410</v>
      </c>
    </row>
    <row r="367" spans="1:15" x14ac:dyDescent="0.75">
      <c r="A367">
        <v>1642</v>
      </c>
      <c r="B367" t="s">
        <v>428</v>
      </c>
      <c r="C367" t="s">
        <v>429</v>
      </c>
      <c r="D367" s="15">
        <v>-3500</v>
      </c>
      <c r="E367" s="15">
        <v>-3850</v>
      </c>
      <c r="F367" s="15">
        <v>-3850</v>
      </c>
      <c r="G367" s="15">
        <v>-3850</v>
      </c>
      <c r="H367" s="15">
        <v>-3850</v>
      </c>
      <c r="I367" s="15">
        <v>-3850</v>
      </c>
      <c r="J367" s="15">
        <v>-3850</v>
      </c>
      <c r="K367" s="15">
        <v>-3850</v>
      </c>
      <c r="L367" s="15">
        <v>-3850</v>
      </c>
      <c r="M367" s="15">
        <v>-3850</v>
      </c>
      <c r="N367" s="15">
        <v>-5133.33</v>
      </c>
      <c r="O367" s="15">
        <v>-5133.33</v>
      </c>
    </row>
    <row r="368" spans="1:15" x14ac:dyDescent="0.75">
      <c r="A368">
        <v>1655</v>
      </c>
      <c r="B368" t="s">
        <v>430</v>
      </c>
      <c r="C368" t="s">
        <v>431</v>
      </c>
      <c r="D368" s="15">
        <v>-530</v>
      </c>
      <c r="E368" s="15">
        <v>-530</v>
      </c>
      <c r="F368" s="15">
        <v>-530</v>
      </c>
      <c r="G368" s="15">
        <v>-530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-995</v>
      </c>
    </row>
    <row r="369" spans="1:15" x14ac:dyDescent="0.75">
      <c r="A369">
        <v>1656</v>
      </c>
      <c r="B369" t="s">
        <v>432</v>
      </c>
      <c r="C369" t="s">
        <v>433</v>
      </c>
      <c r="D369" s="15">
        <v>-386.91</v>
      </c>
      <c r="E369" s="15">
        <v>-386.91</v>
      </c>
      <c r="F369" s="15">
        <v>-386.91</v>
      </c>
      <c r="G369" s="15">
        <v>-386.91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</row>
    <row r="370" spans="1:15" x14ac:dyDescent="0.75">
      <c r="A370">
        <v>1659</v>
      </c>
      <c r="B370" t="s">
        <v>863</v>
      </c>
      <c r="C370" t="s">
        <v>864</v>
      </c>
      <c r="D370" s="15">
        <v>-467.11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</row>
    <row r="371" spans="1:15" x14ac:dyDescent="0.75">
      <c r="A371">
        <v>1663</v>
      </c>
      <c r="B371" t="s">
        <v>865</v>
      </c>
      <c r="C371" t="s">
        <v>866</v>
      </c>
      <c r="D371" s="15">
        <v>0</v>
      </c>
      <c r="E371" s="15">
        <v>-1600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</row>
    <row r="372" spans="1:15" x14ac:dyDescent="0.75">
      <c r="A372">
        <v>1670</v>
      </c>
      <c r="B372" t="s">
        <v>434</v>
      </c>
      <c r="C372" t="s">
        <v>435</v>
      </c>
      <c r="D372" s="15">
        <v>-170</v>
      </c>
      <c r="E372" s="15">
        <v>-170</v>
      </c>
      <c r="F372" s="15">
        <v>-170</v>
      </c>
      <c r="G372" s="15">
        <v>-170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</row>
    <row r="373" spans="1:15" x14ac:dyDescent="0.75">
      <c r="A373">
        <v>1671</v>
      </c>
      <c r="B373" t="s">
        <v>436</v>
      </c>
      <c r="C373" t="s">
        <v>437</v>
      </c>
      <c r="D373" s="15">
        <v>-1159.5</v>
      </c>
      <c r="E373" s="15">
        <v>-1159.5</v>
      </c>
      <c r="F373" s="15">
        <v>-1159.5</v>
      </c>
      <c r="G373" s="15">
        <v>-1159.5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</row>
    <row r="374" spans="1:15" x14ac:dyDescent="0.75">
      <c r="A374">
        <v>1672</v>
      </c>
      <c r="B374" t="s">
        <v>438</v>
      </c>
      <c r="C374" t="s">
        <v>439</v>
      </c>
      <c r="D374" s="15">
        <v>-457.5</v>
      </c>
      <c r="E374" s="15">
        <v>-457.5</v>
      </c>
      <c r="F374" s="15">
        <v>-457.5</v>
      </c>
      <c r="G374" s="15">
        <v>-457.5</v>
      </c>
      <c r="H374" s="15">
        <v>-457.5</v>
      </c>
      <c r="I374" s="15">
        <v>-457.5</v>
      </c>
      <c r="J374" s="15">
        <v>-457.5</v>
      </c>
      <c r="K374" s="15">
        <v>-457.5</v>
      </c>
      <c r="L374" s="15">
        <v>-457.5</v>
      </c>
      <c r="M374" s="15">
        <v>-457.5</v>
      </c>
      <c r="N374" s="15">
        <v>-457.5</v>
      </c>
      <c r="O374" s="15">
        <v>-457.5</v>
      </c>
    </row>
    <row r="375" spans="1:15" x14ac:dyDescent="0.75">
      <c r="A375">
        <v>1673</v>
      </c>
      <c r="B375" t="s">
        <v>440</v>
      </c>
      <c r="C375" t="s">
        <v>441</v>
      </c>
      <c r="D375" s="15">
        <v>-8007.82</v>
      </c>
      <c r="E375" s="15">
        <v>-8007.82</v>
      </c>
      <c r="F375" s="15">
        <v>-1061</v>
      </c>
      <c r="G375" s="15">
        <v>-1061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</row>
    <row r="376" spans="1:15" x14ac:dyDescent="0.75">
      <c r="A376">
        <v>1675</v>
      </c>
      <c r="B376" t="s">
        <v>442</v>
      </c>
      <c r="C376" t="s">
        <v>443</v>
      </c>
      <c r="D376" s="15">
        <v>-198</v>
      </c>
      <c r="E376" s="15">
        <v>-198</v>
      </c>
      <c r="F376" s="15">
        <v>-2746</v>
      </c>
      <c r="G376" s="15">
        <v>-298</v>
      </c>
      <c r="H376" s="15">
        <v>-298</v>
      </c>
      <c r="I376" s="15">
        <v>-298</v>
      </c>
      <c r="J376" s="15">
        <v>-298</v>
      </c>
      <c r="K376" s="15">
        <v>-298</v>
      </c>
      <c r="L376" s="15">
        <v>-298</v>
      </c>
      <c r="M376" s="15">
        <v>-298</v>
      </c>
      <c r="N376" s="15">
        <v>-298</v>
      </c>
      <c r="O376" s="15">
        <v>-298</v>
      </c>
    </row>
    <row r="377" spans="1:15" x14ac:dyDescent="0.75">
      <c r="A377">
        <v>1677</v>
      </c>
      <c r="B377" t="s">
        <v>444</v>
      </c>
      <c r="C377" t="s">
        <v>445</v>
      </c>
      <c r="D377" s="15">
        <v>0</v>
      </c>
      <c r="E377" s="15">
        <v>0</v>
      </c>
      <c r="F377" s="15">
        <v>0</v>
      </c>
      <c r="G377" s="15">
        <v>-257</v>
      </c>
      <c r="H377" s="15">
        <v>-464.9</v>
      </c>
      <c r="I377" s="15">
        <v>-242.15</v>
      </c>
      <c r="J377" s="15">
        <v>-242.15</v>
      </c>
      <c r="K377" s="15">
        <v>-242.15</v>
      </c>
      <c r="L377" s="15">
        <v>-489.65</v>
      </c>
      <c r="M377" s="15">
        <v>-489.65</v>
      </c>
      <c r="N377" s="15">
        <v>-489.65</v>
      </c>
      <c r="O377" s="15">
        <v>-489.65</v>
      </c>
    </row>
    <row r="378" spans="1:15" x14ac:dyDescent="0.75">
      <c r="A378">
        <v>1678</v>
      </c>
      <c r="B378" t="s">
        <v>446</v>
      </c>
      <c r="C378" t="s">
        <v>867</v>
      </c>
      <c r="D378" s="15">
        <v>-30</v>
      </c>
      <c r="E378" s="15">
        <v>-30</v>
      </c>
      <c r="F378" s="15">
        <v>-30</v>
      </c>
      <c r="G378" s="15">
        <v>-30</v>
      </c>
      <c r="H378" s="15">
        <v>-30</v>
      </c>
      <c r="I378" s="15">
        <v>-30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</row>
    <row r="379" spans="1:15" x14ac:dyDescent="0.75">
      <c r="A379">
        <v>1679</v>
      </c>
      <c r="B379" t="s">
        <v>447</v>
      </c>
      <c r="C379" t="s">
        <v>448</v>
      </c>
      <c r="D379" s="15">
        <v>-6000</v>
      </c>
      <c r="E379" s="15">
        <v>-6600</v>
      </c>
      <c r="F379" s="15">
        <v>-6600</v>
      </c>
      <c r="G379" s="15">
        <v>-6600</v>
      </c>
      <c r="H379" s="15">
        <v>-6600</v>
      </c>
      <c r="I379" s="15">
        <v>-6600</v>
      </c>
      <c r="J379" s="15">
        <v>0</v>
      </c>
      <c r="K379" s="15">
        <v>0</v>
      </c>
      <c r="L379" s="15">
        <v>0</v>
      </c>
      <c r="M379" s="15">
        <v>-6600</v>
      </c>
      <c r="N379" s="15">
        <v>0</v>
      </c>
      <c r="O379" s="15">
        <v>0</v>
      </c>
    </row>
    <row r="380" spans="1:15" x14ac:dyDescent="0.75">
      <c r="A380">
        <v>1682</v>
      </c>
      <c r="B380" t="s">
        <v>868</v>
      </c>
      <c r="C380" t="s">
        <v>869</v>
      </c>
      <c r="D380" s="15">
        <v>-5015.84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-4779.03</v>
      </c>
      <c r="K380" s="15">
        <v>0</v>
      </c>
      <c r="L380" s="15">
        <v>-13675</v>
      </c>
      <c r="M380" s="15">
        <v>-6837.6</v>
      </c>
      <c r="N380" s="15">
        <v>0</v>
      </c>
      <c r="O380" s="15">
        <v>0</v>
      </c>
    </row>
    <row r="381" spans="1:15" x14ac:dyDescent="0.75">
      <c r="A381">
        <v>1683</v>
      </c>
      <c r="B381" t="s">
        <v>449</v>
      </c>
      <c r="C381" t="s">
        <v>450</v>
      </c>
      <c r="D381" s="15">
        <v>-20326</v>
      </c>
      <c r="E381" s="15">
        <v>-28516</v>
      </c>
      <c r="F381" s="15">
        <v>-12237</v>
      </c>
      <c r="G381" s="15">
        <v>-7695</v>
      </c>
      <c r="H381" s="15">
        <v>-5559</v>
      </c>
      <c r="I381" s="15">
        <v>-5701.9</v>
      </c>
      <c r="J381" s="15">
        <v>-6163.2</v>
      </c>
      <c r="K381" s="15">
        <v>-7487.9</v>
      </c>
      <c r="L381" s="15">
        <v>-4288.8</v>
      </c>
      <c r="M381" s="15">
        <v>-2220</v>
      </c>
      <c r="N381" s="15">
        <v>-2220</v>
      </c>
      <c r="O381" s="15">
        <v>-2220</v>
      </c>
    </row>
    <row r="382" spans="1:15" x14ac:dyDescent="0.75">
      <c r="A382">
        <v>1684</v>
      </c>
      <c r="B382" t="s">
        <v>451</v>
      </c>
      <c r="C382" t="s">
        <v>452</v>
      </c>
      <c r="D382" s="15">
        <v>-53374.1</v>
      </c>
      <c r="E382" s="15">
        <v>-41260.699999999997</v>
      </c>
      <c r="F382" s="15">
        <v>-37787</v>
      </c>
      <c r="G382" s="15">
        <v>-30862.6</v>
      </c>
      <c r="H382" s="15">
        <v>-26451.599999999999</v>
      </c>
      <c r="I382" s="15">
        <v>-35538.300000000003</v>
      </c>
      <c r="J382" s="15">
        <v>-32180.2</v>
      </c>
      <c r="K382" s="15">
        <v>-37999.4</v>
      </c>
      <c r="L382" s="15">
        <v>-24496.9</v>
      </c>
      <c r="M382" s="15">
        <v>-15208.5</v>
      </c>
      <c r="N382" s="15">
        <v>-14818.75</v>
      </c>
      <c r="O382" s="15">
        <v>-13377.65</v>
      </c>
    </row>
    <row r="383" spans="1:15" x14ac:dyDescent="0.75">
      <c r="A383">
        <v>1686</v>
      </c>
      <c r="B383" t="s">
        <v>870</v>
      </c>
      <c r="C383" t="s">
        <v>871</v>
      </c>
      <c r="D383" s="15">
        <v>-3795</v>
      </c>
      <c r="E383" s="15">
        <v>0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-920</v>
      </c>
      <c r="L383" s="15">
        <v>0</v>
      </c>
      <c r="M383" s="15">
        <v>0</v>
      </c>
      <c r="N383" s="15">
        <v>0</v>
      </c>
      <c r="O383" s="15">
        <v>0</v>
      </c>
    </row>
    <row r="384" spans="1:15" x14ac:dyDescent="0.75">
      <c r="A384">
        <v>1701</v>
      </c>
      <c r="B384" t="s">
        <v>453</v>
      </c>
      <c r="C384" t="s">
        <v>454</v>
      </c>
      <c r="D384" s="15">
        <v>-122182.7</v>
      </c>
      <c r="E384" s="15">
        <v>-10135</v>
      </c>
      <c r="F384" s="15">
        <v>-7620.01</v>
      </c>
      <c r="G384" s="15">
        <v>-4845</v>
      </c>
      <c r="H384" s="15">
        <v>-7252.5</v>
      </c>
      <c r="I384" s="15">
        <v>-5539.5</v>
      </c>
      <c r="J384" s="15">
        <v>-15813.77</v>
      </c>
      <c r="K384" s="15">
        <v>-9991.27</v>
      </c>
      <c r="L384" s="15">
        <v>-2094</v>
      </c>
      <c r="M384" s="15">
        <v>-2094</v>
      </c>
      <c r="N384" s="15">
        <v>-2094</v>
      </c>
      <c r="O384" s="15">
        <v>-2094</v>
      </c>
    </row>
    <row r="385" spans="1:15" x14ac:dyDescent="0.75">
      <c r="A385">
        <v>1703</v>
      </c>
      <c r="B385" t="s">
        <v>455</v>
      </c>
      <c r="C385" t="s">
        <v>456</v>
      </c>
      <c r="D385" s="15">
        <v>-3153.6</v>
      </c>
      <c r="E385" s="15">
        <v>-3121.3</v>
      </c>
      <c r="F385" s="15">
        <v>-2813.9</v>
      </c>
      <c r="G385" s="15">
        <v>-1881.8</v>
      </c>
      <c r="H385" s="15">
        <v>-1158</v>
      </c>
      <c r="I385" s="15">
        <v>-1158</v>
      </c>
      <c r="J385" s="15">
        <v>-1158</v>
      </c>
      <c r="K385" s="15">
        <v>-1158</v>
      </c>
      <c r="L385" s="15">
        <v>-1158</v>
      </c>
      <c r="M385" s="15">
        <v>-1158</v>
      </c>
      <c r="N385" s="15">
        <v>-1158</v>
      </c>
      <c r="O385" s="15">
        <v>-1158</v>
      </c>
    </row>
    <row r="386" spans="1:15" x14ac:dyDescent="0.75">
      <c r="A386">
        <v>1709</v>
      </c>
      <c r="B386" t="s">
        <v>457</v>
      </c>
      <c r="C386" t="s">
        <v>458</v>
      </c>
      <c r="D386" s="15">
        <v>-145</v>
      </c>
      <c r="E386" s="15">
        <v>-145</v>
      </c>
      <c r="F386" s="15">
        <v>-145</v>
      </c>
      <c r="G386" s="15">
        <v>-145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</row>
    <row r="387" spans="1:15" x14ac:dyDescent="0.75">
      <c r="A387">
        <v>1710</v>
      </c>
      <c r="B387" t="s">
        <v>459</v>
      </c>
      <c r="C387" t="s">
        <v>460</v>
      </c>
      <c r="D387" s="15">
        <v>0</v>
      </c>
      <c r="E387" s="15">
        <v>0</v>
      </c>
      <c r="F387" s="15">
        <v>-50</v>
      </c>
      <c r="G387" s="15">
        <v>-50</v>
      </c>
      <c r="H387" s="15">
        <v>-50</v>
      </c>
      <c r="I387" s="15">
        <v>-50</v>
      </c>
      <c r="J387" s="15">
        <v>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</row>
    <row r="388" spans="1:15" x14ac:dyDescent="0.75">
      <c r="A388">
        <v>1711</v>
      </c>
      <c r="B388" t="s">
        <v>461</v>
      </c>
      <c r="C388" t="s">
        <v>462</v>
      </c>
      <c r="D388" s="15">
        <v>-800</v>
      </c>
      <c r="E388" s="15">
        <v>-800</v>
      </c>
      <c r="F388" s="15">
        <v>-800</v>
      </c>
      <c r="G388" s="15">
        <v>-800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</row>
    <row r="389" spans="1:15" x14ac:dyDescent="0.75">
      <c r="A389">
        <v>1713</v>
      </c>
      <c r="B389" t="s">
        <v>463</v>
      </c>
      <c r="C389" t="s">
        <v>464</v>
      </c>
      <c r="D389" s="15">
        <v>-100</v>
      </c>
      <c r="E389" s="15">
        <v>-100</v>
      </c>
      <c r="F389" s="15">
        <v>-100</v>
      </c>
      <c r="G389" s="15">
        <v>-100</v>
      </c>
      <c r="H389" s="15">
        <v>-180</v>
      </c>
      <c r="I389" s="15">
        <v>-180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</row>
    <row r="390" spans="1:15" x14ac:dyDescent="0.75">
      <c r="A390">
        <v>1715</v>
      </c>
      <c r="B390" t="s">
        <v>465</v>
      </c>
      <c r="C390" t="s">
        <v>466</v>
      </c>
      <c r="D390" s="15">
        <v>-313.83</v>
      </c>
      <c r="E390" s="15">
        <v>-313.83</v>
      </c>
      <c r="F390" s="15">
        <v>-313.83</v>
      </c>
      <c r="G390" s="15">
        <v>-313.83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</row>
    <row r="391" spans="1:15" x14ac:dyDescent="0.75">
      <c r="A391">
        <v>1719</v>
      </c>
      <c r="B391" t="s">
        <v>467</v>
      </c>
      <c r="C391" t="s">
        <v>468</v>
      </c>
      <c r="D391" s="15">
        <v>0</v>
      </c>
      <c r="E391" s="15">
        <v>-3712.95</v>
      </c>
      <c r="F391" s="15">
        <v>0</v>
      </c>
      <c r="G391" s="15">
        <v>-524.54999999999995</v>
      </c>
      <c r="H391" s="15">
        <v>-2340</v>
      </c>
      <c r="I391" s="15">
        <v>-10479.299999999999</v>
      </c>
      <c r="J391" s="15">
        <v>-3738.15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</row>
    <row r="392" spans="1:15" x14ac:dyDescent="0.75">
      <c r="A392">
        <v>1721</v>
      </c>
      <c r="B392" t="s">
        <v>469</v>
      </c>
      <c r="C392" t="s">
        <v>470</v>
      </c>
      <c r="D392" s="15">
        <v>-104929.7</v>
      </c>
      <c r="E392" s="15">
        <v>-76394.960000000006</v>
      </c>
      <c r="F392" s="15">
        <v>-78441.45</v>
      </c>
      <c r="G392" s="15">
        <v>-83575.3</v>
      </c>
      <c r="H392" s="15">
        <v>-77097.2</v>
      </c>
      <c r="I392" s="15">
        <v>-59087.3</v>
      </c>
      <c r="J392" s="15">
        <v>-93538.7</v>
      </c>
      <c r="K392" s="15">
        <v>-80337.929999999993</v>
      </c>
      <c r="L392" s="15">
        <v>-65424.6</v>
      </c>
      <c r="M392" s="15">
        <v>-38634</v>
      </c>
      <c r="N392" s="15">
        <v>-49275.3</v>
      </c>
      <c r="O392" s="15">
        <v>-45276.1</v>
      </c>
    </row>
    <row r="393" spans="1:15" x14ac:dyDescent="0.75">
      <c r="A393">
        <v>1724</v>
      </c>
      <c r="B393" t="s">
        <v>471</v>
      </c>
      <c r="C393" t="s">
        <v>472</v>
      </c>
      <c r="D393" s="15">
        <v>-1876</v>
      </c>
      <c r="E393" s="15">
        <v>-30</v>
      </c>
      <c r="F393" s="15">
        <v>-30</v>
      </c>
      <c r="G393" s="15">
        <v>-30</v>
      </c>
      <c r="H393" s="15">
        <v>-30</v>
      </c>
      <c r="I393" s="15">
        <v>-30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</row>
    <row r="394" spans="1:15" x14ac:dyDescent="0.75">
      <c r="A394">
        <v>1755</v>
      </c>
      <c r="B394" t="s">
        <v>1273</v>
      </c>
      <c r="C394" t="s">
        <v>1121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-1018.25</v>
      </c>
      <c r="M394" s="15">
        <v>-1018.25</v>
      </c>
      <c r="N394" s="15">
        <v>-1018.25</v>
      </c>
      <c r="O394" s="15">
        <v>-1018.25</v>
      </c>
    </row>
    <row r="395" spans="1:15" x14ac:dyDescent="0.75">
      <c r="A395">
        <v>1758</v>
      </c>
      <c r="B395" t="s">
        <v>473</v>
      </c>
      <c r="C395" t="s">
        <v>474</v>
      </c>
      <c r="D395" s="15">
        <v>-420</v>
      </c>
      <c r="E395" s="15">
        <v>-420</v>
      </c>
      <c r="F395" s="15">
        <v>-420</v>
      </c>
      <c r="G395" s="15">
        <v>-420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</row>
    <row r="396" spans="1:15" x14ac:dyDescent="0.75">
      <c r="A396">
        <v>1759</v>
      </c>
      <c r="B396" t="s">
        <v>475</v>
      </c>
      <c r="C396" t="s">
        <v>476</v>
      </c>
      <c r="D396" s="15">
        <v>-700</v>
      </c>
      <c r="E396" s="15">
        <v>-700</v>
      </c>
      <c r="F396" s="15">
        <v>-700</v>
      </c>
      <c r="G396" s="15">
        <v>-700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</row>
    <row r="397" spans="1:15" x14ac:dyDescent="0.75">
      <c r="A397">
        <v>1769</v>
      </c>
      <c r="B397" t="s">
        <v>872</v>
      </c>
      <c r="C397" t="s">
        <v>873</v>
      </c>
      <c r="D397" s="15">
        <v>-102260</v>
      </c>
      <c r="E397" s="15">
        <v>-22000</v>
      </c>
      <c r="F397" s="15">
        <v>0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</row>
    <row r="398" spans="1:15" x14ac:dyDescent="0.75">
      <c r="A398">
        <v>1772</v>
      </c>
      <c r="B398" t="s">
        <v>477</v>
      </c>
      <c r="C398" t="s">
        <v>478</v>
      </c>
      <c r="D398" s="15">
        <v>0</v>
      </c>
      <c r="E398" s="15">
        <v>0</v>
      </c>
      <c r="F398" s="15">
        <v>0</v>
      </c>
      <c r="G398" s="15">
        <v>-1600</v>
      </c>
      <c r="H398" s="15">
        <v>-1600</v>
      </c>
      <c r="I398" s="15">
        <v>-1600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</row>
    <row r="399" spans="1:15" x14ac:dyDescent="0.75">
      <c r="A399">
        <v>1776</v>
      </c>
      <c r="B399" t="s">
        <v>479</v>
      </c>
      <c r="C399" t="s">
        <v>480</v>
      </c>
      <c r="D399" s="15">
        <v>-65</v>
      </c>
      <c r="E399" s="15">
        <v>-65</v>
      </c>
      <c r="F399" s="15">
        <v>-65</v>
      </c>
      <c r="G399" s="15">
        <v>-65</v>
      </c>
      <c r="H399" s="15">
        <v>-65</v>
      </c>
      <c r="I399" s="15">
        <v>-65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</row>
    <row r="400" spans="1:15" x14ac:dyDescent="0.75">
      <c r="A400">
        <v>1779</v>
      </c>
      <c r="B400" t="s">
        <v>959</v>
      </c>
      <c r="C400" t="s">
        <v>960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-12280</v>
      </c>
      <c r="J400" s="15">
        <v>-4320</v>
      </c>
      <c r="K400" s="15">
        <v>-270</v>
      </c>
      <c r="L400" s="15">
        <v>-270</v>
      </c>
      <c r="M400" s="15">
        <v>-270</v>
      </c>
      <c r="N400" s="15">
        <v>-270</v>
      </c>
      <c r="O400" s="15">
        <v>-270</v>
      </c>
    </row>
    <row r="401" spans="1:15" x14ac:dyDescent="0.75">
      <c r="A401">
        <v>1786</v>
      </c>
      <c r="B401" t="s">
        <v>481</v>
      </c>
      <c r="C401" t="s">
        <v>482</v>
      </c>
      <c r="D401" s="15">
        <v>-8038</v>
      </c>
      <c r="E401" s="15">
        <v>-7197</v>
      </c>
      <c r="F401" s="15">
        <v>-5742</v>
      </c>
      <c r="G401" s="15">
        <v>-21080</v>
      </c>
      <c r="H401" s="15">
        <v>-28938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</row>
    <row r="402" spans="1:15" x14ac:dyDescent="0.75">
      <c r="A402">
        <v>1793</v>
      </c>
      <c r="B402" t="s">
        <v>874</v>
      </c>
      <c r="C402" t="s">
        <v>875</v>
      </c>
      <c r="D402" s="15">
        <v>-943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</row>
    <row r="403" spans="1:15" x14ac:dyDescent="0.75">
      <c r="A403">
        <v>1794</v>
      </c>
      <c r="B403" t="s">
        <v>483</v>
      </c>
      <c r="C403" t="s">
        <v>484</v>
      </c>
      <c r="D403" s="15">
        <v>-3730</v>
      </c>
      <c r="E403" s="15">
        <v>-8005.6</v>
      </c>
      <c r="F403" s="15">
        <v>-5563.7</v>
      </c>
      <c r="G403" s="15">
        <v>-4246.6000000000004</v>
      </c>
      <c r="H403" s="15">
        <v>0</v>
      </c>
      <c r="I403" s="15">
        <v>-11078.5</v>
      </c>
      <c r="J403" s="15">
        <v>0</v>
      </c>
      <c r="K403" s="15">
        <v>0</v>
      </c>
      <c r="L403" s="15">
        <v>-2742</v>
      </c>
      <c r="M403" s="15">
        <v>0</v>
      </c>
      <c r="N403" s="15">
        <v>-9808.6</v>
      </c>
      <c r="O403" s="15">
        <v>0</v>
      </c>
    </row>
    <row r="404" spans="1:15" x14ac:dyDescent="0.75">
      <c r="A404">
        <v>1795</v>
      </c>
      <c r="B404" t="s">
        <v>876</v>
      </c>
      <c r="C404" t="s">
        <v>877</v>
      </c>
      <c r="D404" s="15">
        <v>0</v>
      </c>
      <c r="E404" s="15">
        <v>-580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</row>
    <row r="405" spans="1:15" x14ac:dyDescent="0.75">
      <c r="A405">
        <v>1796</v>
      </c>
      <c r="B405" t="s">
        <v>485</v>
      </c>
      <c r="C405" t="s">
        <v>486</v>
      </c>
      <c r="D405" s="15">
        <v>0</v>
      </c>
      <c r="E405" s="15">
        <v>0</v>
      </c>
      <c r="F405" s="15">
        <v>0</v>
      </c>
      <c r="G405" s="15">
        <v>-160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</row>
    <row r="406" spans="1:15" x14ac:dyDescent="0.75">
      <c r="A406">
        <v>1799</v>
      </c>
      <c r="B406" t="s">
        <v>487</v>
      </c>
      <c r="C406" t="s">
        <v>488</v>
      </c>
      <c r="D406" s="15">
        <v>0</v>
      </c>
      <c r="E406" s="15">
        <v>-3400</v>
      </c>
      <c r="F406" s="15">
        <v>-3060</v>
      </c>
      <c r="G406" s="15">
        <v>-2720</v>
      </c>
      <c r="H406" s="15">
        <v>-2380</v>
      </c>
      <c r="I406" s="15">
        <v>-2040</v>
      </c>
      <c r="J406" s="15">
        <v>-1700</v>
      </c>
      <c r="K406" s="15">
        <v>-1360</v>
      </c>
      <c r="L406" s="15">
        <v>-1020</v>
      </c>
      <c r="M406" s="15">
        <v>-680</v>
      </c>
      <c r="N406" s="15">
        <v>-340</v>
      </c>
      <c r="O406" s="15">
        <v>0</v>
      </c>
    </row>
    <row r="407" spans="1:15" x14ac:dyDescent="0.75">
      <c r="A407">
        <v>1800</v>
      </c>
      <c r="B407" t="s">
        <v>489</v>
      </c>
      <c r="C407" t="s">
        <v>490</v>
      </c>
      <c r="D407" s="15">
        <v>0</v>
      </c>
      <c r="E407" s="15">
        <v>-44.62</v>
      </c>
      <c r="F407" s="15">
        <v>-44.62</v>
      </c>
      <c r="G407" s="15">
        <v>-44.62</v>
      </c>
      <c r="H407" s="15">
        <v>-44.62</v>
      </c>
      <c r="I407" s="15">
        <v>-44.62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</row>
    <row r="408" spans="1:15" x14ac:dyDescent="0.75">
      <c r="A408">
        <v>1801</v>
      </c>
      <c r="B408" t="s">
        <v>491</v>
      </c>
      <c r="C408" t="s">
        <v>492</v>
      </c>
      <c r="D408" s="15">
        <v>0</v>
      </c>
      <c r="E408" s="15">
        <v>-920.23</v>
      </c>
      <c r="F408" s="15">
        <v>0</v>
      </c>
      <c r="G408" s="15">
        <v>-310.41000000000003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</row>
    <row r="409" spans="1:15" x14ac:dyDescent="0.75">
      <c r="A409">
        <v>1803</v>
      </c>
      <c r="B409" t="s">
        <v>493</v>
      </c>
      <c r="C409" t="s">
        <v>494</v>
      </c>
      <c r="D409" s="15">
        <v>0</v>
      </c>
      <c r="E409" s="15">
        <v>-1000</v>
      </c>
      <c r="F409" s="15">
        <v>0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-113.35</v>
      </c>
    </row>
    <row r="410" spans="1:15" x14ac:dyDescent="0.75">
      <c r="A410">
        <v>1833</v>
      </c>
      <c r="B410" t="s">
        <v>1274</v>
      </c>
      <c r="C410" t="s">
        <v>1275</v>
      </c>
      <c r="D410" s="15">
        <v>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-214</v>
      </c>
      <c r="N410" s="15">
        <v>-214</v>
      </c>
      <c r="O410" s="15">
        <v>-214</v>
      </c>
    </row>
    <row r="411" spans="1:15" x14ac:dyDescent="0.75">
      <c r="A411">
        <v>1834</v>
      </c>
      <c r="B411" t="s">
        <v>495</v>
      </c>
      <c r="C411" t="s">
        <v>496</v>
      </c>
      <c r="D411" s="15">
        <v>0</v>
      </c>
      <c r="E411" s="15">
        <v>0</v>
      </c>
      <c r="F411" s="15">
        <v>-26795</v>
      </c>
      <c r="G411" s="15">
        <v>-12050</v>
      </c>
      <c r="H411" s="15">
        <v>-10250</v>
      </c>
      <c r="I411" s="15">
        <v>-29699</v>
      </c>
      <c r="J411" s="15">
        <v>-24996</v>
      </c>
      <c r="K411" s="15">
        <v>-14929</v>
      </c>
      <c r="L411" s="15">
        <v>-5910</v>
      </c>
      <c r="M411" s="15">
        <v>-2285</v>
      </c>
      <c r="N411" s="15">
        <v>0</v>
      </c>
      <c r="O411" s="15">
        <v>0</v>
      </c>
    </row>
    <row r="412" spans="1:15" x14ac:dyDescent="0.75">
      <c r="A412">
        <v>1835</v>
      </c>
      <c r="B412" t="s">
        <v>878</v>
      </c>
      <c r="C412" t="s">
        <v>879</v>
      </c>
      <c r="D412" s="15">
        <v>0</v>
      </c>
      <c r="E412" s="15">
        <v>0</v>
      </c>
      <c r="F412" s="15">
        <v>-270</v>
      </c>
      <c r="G412" s="15">
        <v>0</v>
      </c>
      <c r="H412" s="15">
        <v>0</v>
      </c>
      <c r="I412" s="15">
        <v>-270</v>
      </c>
      <c r="J412" s="15">
        <v>0</v>
      </c>
      <c r="K412" s="15">
        <v>-270</v>
      </c>
      <c r="L412" s="15">
        <v>0</v>
      </c>
      <c r="M412" s="15">
        <v>0</v>
      </c>
      <c r="N412" s="15">
        <v>0</v>
      </c>
      <c r="O412" s="15">
        <v>0</v>
      </c>
    </row>
    <row r="413" spans="1:15" x14ac:dyDescent="0.75">
      <c r="A413">
        <v>1853</v>
      </c>
      <c r="B413" t="s">
        <v>497</v>
      </c>
      <c r="C413" t="s">
        <v>498</v>
      </c>
      <c r="D413" s="15">
        <v>0</v>
      </c>
      <c r="E413" s="15">
        <v>0</v>
      </c>
      <c r="F413" s="15">
        <v>0</v>
      </c>
      <c r="G413" s="15">
        <v>-262</v>
      </c>
      <c r="H413" s="15">
        <v>-262</v>
      </c>
      <c r="I413" s="15">
        <v>-262</v>
      </c>
      <c r="J413" s="15">
        <v>-262</v>
      </c>
      <c r="K413" s="15">
        <v>-262</v>
      </c>
      <c r="L413" s="15">
        <v>-262</v>
      </c>
      <c r="M413" s="15">
        <v>-262</v>
      </c>
      <c r="N413" s="15">
        <v>-262</v>
      </c>
      <c r="O413" s="15">
        <v>-262</v>
      </c>
    </row>
    <row r="414" spans="1:15" x14ac:dyDescent="0.75">
      <c r="A414">
        <v>1861</v>
      </c>
      <c r="B414" t="s">
        <v>499</v>
      </c>
      <c r="C414" t="s">
        <v>500</v>
      </c>
      <c r="D414" s="15">
        <v>0</v>
      </c>
      <c r="E414" s="15">
        <v>0</v>
      </c>
      <c r="F414" s="15">
        <v>0</v>
      </c>
      <c r="G414" s="15">
        <v>-1</v>
      </c>
      <c r="H414" s="15">
        <v>-1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</row>
    <row r="415" spans="1:15" x14ac:dyDescent="0.75">
      <c r="A415">
        <v>1898</v>
      </c>
      <c r="B415" t="s">
        <v>961</v>
      </c>
      <c r="C415" t="s">
        <v>962</v>
      </c>
      <c r="D415" s="15">
        <v>0</v>
      </c>
      <c r="E415" s="15">
        <v>0</v>
      </c>
      <c r="F415" s="15">
        <v>0</v>
      </c>
      <c r="G415" s="15">
        <v>0</v>
      </c>
      <c r="H415" s="15">
        <v>0</v>
      </c>
      <c r="I415" s="15">
        <v>-4093</v>
      </c>
      <c r="J415" s="15">
        <v>0</v>
      </c>
      <c r="K415" s="15">
        <v>-9100.4</v>
      </c>
      <c r="L415" s="15">
        <v>-8635.2000000000007</v>
      </c>
      <c r="M415" s="15">
        <v>-8500.6</v>
      </c>
      <c r="N415" s="15">
        <v>-7337.3</v>
      </c>
      <c r="O415" s="15">
        <v>-4566.3999999999996</v>
      </c>
    </row>
    <row r="416" spans="1:15" x14ac:dyDescent="0.75">
      <c r="A416">
        <v>1899</v>
      </c>
      <c r="B416" t="s">
        <v>963</v>
      </c>
      <c r="C416" t="s">
        <v>964</v>
      </c>
      <c r="D416" s="15">
        <v>0</v>
      </c>
      <c r="E416" s="15">
        <v>0</v>
      </c>
      <c r="F416" s="15">
        <v>0</v>
      </c>
      <c r="G416" s="15">
        <v>0</v>
      </c>
      <c r="H416" s="15">
        <v>0</v>
      </c>
      <c r="I416" s="15">
        <v>-1409.56</v>
      </c>
      <c r="J416" s="15">
        <v>-1409.56</v>
      </c>
      <c r="K416" s="15">
        <v>-1409.56</v>
      </c>
      <c r="L416" s="15">
        <v>-1409.56</v>
      </c>
      <c r="M416" s="15">
        <v>-2359.02</v>
      </c>
      <c r="N416" s="15">
        <v>-80</v>
      </c>
      <c r="O416" s="15">
        <v>-80</v>
      </c>
    </row>
    <row r="417" spans="1:15" x14ac:dyDescent="0.75">
      <c r="A417">
        <v>1900</v>
      </c>
      <c r="B417" t="s">
        <v>965</v>
      </c>
      <c r="C417" t="s">
        <v>966</v>
      </c>
      <c r="D417" s="15">
        <v>0</v>
      </c>
      <c r="E417" s="15">
        <v>0</v>
      </c>
      <c r="F417" s="15">
        <v>0</v>
      </c>
      <c r="G417" s="15">
        <v>0</v>
      </c>
      <c r="H417" s="15">
        <v>0</v>
      </c>
      <c r="I417" s="15">
        <v>-9409</v>
      </c>
      <c r="J417" s="15">
        <v>-61366.75</v>
      </c>
      <c r="K417" s="15">
        <v>-67203.88</v>
      </c>
      <c r="L417" s="15">
        <v>-47688.23</v>
      </c>
      <c r="M417" s="15">
        <v>-28646.3</v>
      </c>
      <c r="N417" s="15">
        <v>-18806.8</v>
      </c>
      <c r="O417" s="15">
        <v>-5958</v>
      </c>
    </row>
    <row r="418" spans="1:15" x14ac:dyDescent="0.75">
      <c r="A418">
        <v>1906</v>
      </c>
      <c r="B418" t="s">
        <v>1348</v>
      </c>
      <c r="C418" t="s">
        <v>92</v>
      </c>
      <c r="D418" s="15">
        <v>0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-9244.35</v>
      </c>
    </row>
    <row r="419" spans="1:15" x14ac:dyDescent="0.75">
      <c r="A419">
        <v>1910</v>
      </c>
      <c r="B419" t="s">
        <v>1023</v>
      </c>
      <c r="C419" t="s">
        <v>1014</v>
      </c>
      <c r="D419" s="15">
        <v>0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-2554.14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</row>
    <row r="420" spans="1:15" x14ac:dyDescent="0.75">
      <c r="A420">
        <v>1914</v>
      </c>
      <c r="B420" t="s">
        <v>1087</v>
      </c>
      <c r="C420" t="s">
        <v>1059</v>
      </c>
      <c r="D420" s="15">
        <v>0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300</v>
      </c>
      <c r="O420" s="15">
        <v>0</v>
      </c>
    </row>
    <row r="421" spans="1:15" x14ac:dyDescent="0.75">
      <c r="A421">
        <v>1915</v>
      </c>
      <c r="B421" t="s">
        <v>1088</v>
      </c>
      <c r="C421" t="s">
        <v>1060</v>
      </c>
      <c r="D421" s="15">
        <v>0</v>
      </c>
      <c r="E421" s="15">
        <v>0</v>
      </c>
      <c r="F421" s="15">
        <v>0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-3600</v>
      </c>
      <c r="M421" s="15">
        <v>0</v>
      </c>
      <c r="N421" s="15">
        <v>-4050</v>
      </c>
      <c r="O421" s="15">
        <v>0</v>
      </c>
    </row>
    <row r="422" spans="1:15" x14ac:dyDescent="0.75">
      <c r="A422">
        <v>1918</v>
      </c>
      <c r="B422" t="s">
        <v>1089</v>
      </c>
      <c r="C422" t="s">
        <v>1061</v>
      </c>
      <c r="D422" s="15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-4198.1400000000003</v>
      </c>
      <c r="L422" s="15">
        <v>-3778.29</v>
      </c>
      <c r="M422" s="15">
        <v>-3358.48</v>
      </c>
      <c r="N422" s="15">
        <v>-2938.67</v>
      </c>
      <c r="O422" s="15">
        <v>-2518.86</v>
      </c>
    </row>
    <row r="423" spans="1:15" x14ac:dyDescent="0.75">
      <c r="A423">
        <v>1919</v>
      </c>
      <c r="B423" t="s">
        <v>1090</v>
      </c>
      <c r="C423" t="s">
        <v>1062</v>
      </c>
      <c r="D423" s="15">
        <v>0</v>
      </c>
      <c r="E423" s="15">
        <v>0</v>
      </c>
      <c r="F423" s="15">
        <v>0</v>
      </c>
      <c r="G423" s="15">
        <v>0</v>
      </c>
      <c r="H423" s="15">
        <v>0</v>
      </c>
      <c r="I423" s="15">
        <v>0</v>
      </c>
      <c r="J423" s="15">
        <v>0</v>
      </c>
      <c r="K423" s="15">
        <v>-1300</v>
      </c>
      <c r="L423" s="15">
        <v>-1300</v>
      </c>
      <c r="M423" s="15">
        <v>0</v>
      </c>
      <c r="N423" s="15">
        <v>0</v>
      </c>
      <c r="O423" s="15">
        <v>0</v>
      </c>
    </row>
    <row r="424" spans="1:15" x14ac:dyDescent="0.75">
      <c r="A424">
        <v>1920</v>
      </c>
      <c r="B424" t="s">
        <v>1091</v>
      </c>
      <c r="C424" t="s">
        <v>1063</v>
      </c>
      <c r="D424" s="15">
        <v>0</v>
      </c>
      <c r="E424" s="15">
        <v>0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-1661</v>
      </c>
      <c r="L424" s="15">
        <v>-1107.32</v>
      </c>
      <c r="M424" s="15">
        <v>-553.66</v>
      </c>
      <c r="N424" s="15">
        <v>0</v>
      </c>
      <c r="O424" s="15">
        <v>0</v>
      </c>
    </row>
    <row r="425" spans="1:15" x14ac:dyDescent="0.75">
      <c r="A425">
        <v>1925</v>
      </c>
      <c r="B425" t="s">
        <v>1092</v>
      </c>
      <c r="C425" t="s">
        <v>1064</v>
      </c>
      <c r="D425" s="15">
        <v>0</v>
      </c>
      <c r="E425" s="15">
        <v>0</v>
      </c>
      <c r="F425" s="15">
        <v>0</v>
      </c>
      <c r="G425" s="15">
        <v>0</v>
      </c>
      <c r="H425" s="15">
        <v>0</v>
      </c>
      <c r="I425" s="15">
        <v>0</v>
      </c>
      <c r="J425" s="15">
        <v>0</v>
      </c>
      <c r="K425" s="15">
        <v>-270</v>
      </c>
      <c r="L425" s="15">
        <v>-270</v>
      </c>
      <c r="M425" s="15">
        <v>-270</v>
      </c>
      <c r="N425" s="15">
        <v>-270</v>
      </c>
      <c r="O425" s="15">
        <v>-270</v>
      </c>
    </row>
    <row r="426" spans="1:15" x14ac:dyDescent="0.75">
      <c r="A426">
        <v>1938</v>
      </c>
      <c r="B426" t="s">
        <v>1302</v>
      </c>
      <c r="C426" t="s">
        <v>1303</v>
      </c>
      <c r="D426" s="15">
        <v>0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-83</v>
      </c>
      <c r="M426" s="15">
        <v>0</v>
      </c>
      <c r="N426" s="15">
        <v>0</v>
      </c>
      <c r="O426" s="15">
        <v>0</v>
      </c>
    </row>
    <row r="427" spans="1:15" x14ac:dyDescent="0.75">
      <c r="A427">
        <v>1941</v>
      </c>
      <c r="B427" t="s">
        <v>1276</v>
      </c>
      <c r="C427" t="s">
        <v>1244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-129</v>
      </c>
      <c r="M427" s="15">
        <v>-129</v>
      </c>
      <c r="N427" s="15">
        <v>0</v>
      </c>
      <c r="O427" s="15">
        <v>0</v>
      </c>
    </row>
    <row r="428" spans="1:15" x14ac:dyDescent="0.75">
      <c r="A428">
        <v>1944</v>
      </c>
      <c r="B428" t="s">
        <v>1277</v>
      </c>
      <c r="C428" t="s">
        <v>1278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-40</v>
      </c>
      <c r="N428" s="15">
        <v>-40</v>
      </c>
      <c r="O428" s="15">
        <v>-40</v>
      </c>
    </row>
    <row r="429" spans="1:15" x14ac:dyDescent="0.75">
      <c r="A429">
        <v>1945</v>
      </c>
      <c r="B429" t="s">
        <v>1279</v>
      </c>
      <c r="C429" t="s">
        <v>1245</v>
      </c>
      <c r="D429" s="15">
        <v>0</v>
      </c>
      <c r="E429" s="15">
        <v>0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-2207.62</v>
      </c>
      <c r="N429" s="15">
        <v>-4823.6099999999997</v>
      </c>
      <c r="O429" s="15">
        <v>-3354.18</v>
      </c>
    </row>
    <row r="430" spans="1:15" x14ac:dyDescent="0.75">
      <c r="A430">
        <v>1947</v>
      </c>
      <c r="B430" t="s">
        <v>1280</v>
      </c>
      <c r="C430" t="s">
        <v>1246</v>
      </c>
      <c r="D430" s="15">
        <v>0</v>
      </c>
      <c r="E430" s="15">
        <v>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-6319.01</v>
      </c>
      <c r="M430" s="15">
        <v>-5711</v>
      </c>
      <c r="N430" s="15">
        <v>-4833</v>
      </c>
      <c r="O430" s="15">
        <v>-3955</v>
      </c>
    </row>
    <row r="431" spans="1:15" x14ac:dyDescent="0.75">
      <c r="A431">
        <v>1948</v>
      </c>
      <c r="B431" t="s">
        <v>1304</v>
      </c>
      <c r="C431" t="s">
        <v>1305</v>
      </c>
      <c r="D431" s="15">
        <v>0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-50</v>
      </c>
      <c r="M431" s="15">
        <v>0</v>
      </c>
      <c r="N431" s="15">
        <v>0</v>
      </c>
      <c r="O431" s="15">
        <v>0</v>
      </c>
    </row>
    <row r="432" spans="1:15" x14ac:dyDescent="0.75">
      <c r="A432">
        <v>1951</v>
      </c>
      <c r="B432" t="s">
        <v>1306</v>
      </c>
      <c r="C432" t="s">
        <v>1307</v>
      </c>
      <c r="D432" s="15">
        <v>0</v>
      </c>
      <c r="E432" s="15">
        <v>0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-7000</v>
      </c>
      <c r="M432" s="15">
        <v>0</v>
      </c>
      <c r="N432" s="15">
        <v>0</v>
      </c>
      <c r="O432" s="15">
        <v>0</v>
      </c>
    </row>
    <row r="433" spans="1:15" x14ac:dyDescent="0.75">
      <c r="A433">
        <v>1961</v>
      </c>
      <c r="B433" t="s">
        <v>1281</v>
      </c>
      <c r="C433" t="s">
        <v>1247</v>
      </c>
      <c r="D433" s="15">
        <v>0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-3514.57</v>
      </c>
      <c r="O433" s="15">
        <v>-14406.16</v>
      </c>
    </row>
    <row r="434" spans="1:15" x14ac:dyDescent="0.75">
      <c r="A434">
        <v>1963</v>
      </c>
      <c r="B434" t="s">
        <v>1282</v>
      </c>
      <c r="C434" t="s">
        <v>1248</v>
      </c>
      <c r="D434" s="15">
        <v>0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-480</v>
      </c>
      <c r="O434" s="15">
        <v>-480</v>
      </c>
    </row>
    <row r="435" spans="1:15" x14ac:dyDescent="0.75">
      <c r="A435">
        <v>1978</v>
      </c>
      <c r="B435" t="s">
        <v>1351</v>
      </c>
      <c r="C435" t="s">
        <v>1352</v>
      </c>
      <c r="D435" s="15">
        <v>0</v>
      </c>
      <c r="E435" s="15">
        <v>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-127.65</v>
      </c>
    </row>
    <row r="436" spans="1:15" x14ac:dyDescent="0.75">
      <c r="A436">
        <v>1979</v>
      </c>
      <c r="B436" t="s">
        <v>1353</v>
      </c>
      <c r="C436" t="s">
        <v>1354</v>
      </c>
      <c r="D436" s="15">
        <v>0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-10059.6</v>
      </c>
    </row>
    <row r="437" spans="1:15" x14ac:dyDescent="0.75">
      <c r="A437">
        <v>1980</v>
      </c>
      <c r="B437" t="s">
        <v>1355</v>
      </c>
      <c r="C437" t="s">
        <v>1356</v>
      </c>
      <c r="D437" s="15">
        <v>0</v>
      </c>
      <c r="E437" s="15">
        <v>0</v>
      </c>
      <c r="F437" s="15">
        <v>0</v>
      </c>
      <c r="G437" s="15">
        <v>0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-14660</v>
      </c>
    </row>
    <row r="438" spans="1:15" x14ac:dyDescent="0.75">
      <c r="A438">
        <v>1982</v>
      </c>
      <c r="B438" t="s">
        <v>1357</v>
      </c>
      <c r="C438" t="s">
        <v>1358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-19150</v>
      </c>
    </row>
    <row r="439" spans="1:15" x14ac:dyDescent="0.75">
      <c r="A439">
        <v>1983</v>
      </c>
      <c r="B439" t="s">
        <v>1359</v>
      </c>
      <c r="C439" t="s">
        <v>1360</v>
      </c>
      <c r="D439" s="15">
        <v>0</v>
      </c>
      <c r="E439" s="15">
        <v>0</v>
      </c>
      <c r="F439" s="15">
        <v>0</v>
      </c>
      <c r="G439" s="15">
        <v>0</v>
      </c>
      <c r="H439" s="15">
        <v>0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  <c r="N439" s="15">
        <v>0</v>
      </c>
      <c r="O439" s="15">
        <v>-64</v>
      </c>
    </row>
    <row r="440" spans="1:15" x14ac:dyDescent="0.75">
      <c r="A440" s="28">
        <v>169</v>
      </c>
      <c r="B440" s="28" t="s">
        <v>501</v>
      </c>
      <c r="C440" s="28" t="s">
        <v>502</v>
      </c>
      <c r="D440" s="29">
        <v>-47283.16</v>
      </c>
      <c r="E440" s="29">
        <v>-66854.94</v>
      </c>
      <c r="F440" s="29">
        <v>-61659.69</v>
      </c>
      <c r="G440" s="29">
        <v>-31268.400000000001</v>
      </c>
      <c r="H440" s="29">
        <v>-112769.18</v>
      </c>
      <c r="I440" s="29">
        <v>-77241.73</v>
      </c>
      <c r="J440" s="29">
        <v>-41712.94</v>
      </c>
      <c r="K440" s="29">
        <v>-160019.9</v>
      </c>
      <c r="L440" s="29">
        <v>-107063.79</v>
      </c>
      <c r="M440" s="29">
        <v>-49938.31</v>
      </c>
      <c r="N440" s="29">
        <v>-10443.32</v>
      </c>
      <c r="O440" s="29">
        <v>-6782.22</v>
      </c>
    </row>
    <row r="441" spans="1:15" x14ac:dyDescent="0.75">
      <c r="A441" s="28">
        <v>170</v>
      </c>
      <c r="B441" s="28" t="s">
        <v>503</v>
      </c>
      <c r="C441" s="28" t="s">
        <v>504</v>
      </c>
      <c r="D441" s="29">
        <v>-33235.160000000003</v>
      </c>
      <c r="E441" s="29">
        <v>-53926.8</v>
      </c>
      <c r="F441" s="29">
        <v>-49852.63</v>
      </c>
      <c r="G441" s="29">
        <v>-20583.52</v>
      </c>
      <c r="H441" s="29">
        <v>-103207.84</v>
      </c>
      <c r="I441" s="29">
        <v>-68805.22</v>
      </c>
      <c r="J441" s="29">
        <v>-34402.6</v>
      </c>
      <c r="K441" s="29">
        <v>-153837.20000000001</v>
      </c>
      <c r="L441" s="29">
        <v>-102022.75</v>
      </c>
      <c r="M441" s="29">
        <v>-49938.31</v>
      </c>
      <c r="N441" s="29">
        <v>-10443.32</v>
      </c>
      <c r="O441" s="29">
        <v>-6782.22</v>
      </c>
    </row>
    <row r="442" spans="1:15" x14ac:dyDescent="0.75">
      <c r="A442">
        <v>172</v>
      </c>
      <c r="B442" t="s">
        <v>505</v>
      </c>
      <c r="C442" t="s">
        <v>506</v>
      </c>
      <c r="D442" s="15">
        <v>-7463.42</v>
      </c>
      <c r="E442" s="15">
        <v>-1066.52</v>
      </c>
      <c r="F442" s="15">
        <v>-8884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</row>
    <row r="443" spans="1:15" x14ac:dyDescent="0.75">
      <c r="A443">
        <v>176</v>
      </c>
      <c r="B443" t="s">
        <v>507</v>
      </c>
      <c r="C443" t="s">
        <v>508</v>
      </c>
      <c r="D443" s="15">
        <v>-18420.400000000001</v>
      </c>
      <c r="E443" s="15">
        <v>-52808.28</v>
      </c>
      <c r="F443" s="15">
        <v>-40916.629999999997</v>
      </c>
      <c r="G443" s="15">
        <v>-20458.52</v>
      </c>
      <c r="H443" s="15">
        <v>-74299.88</v>
      </c>
      <c r="I443" s="15">
        <v>-49533.25</v>
      </c>
      <c r="J443" s="15">
        <v>-24766.62</v>
      </c>
      <c r="K443" s="15">
        <v>-111527.35</v>
      </c>
      <c r="L443" s="15">
        <v>-73759.38</v>
      </c>
      <c r="M443" s="15">
        <v>-35991.410000000003</v>
      </c>
      <c r="N443" s="15">
        <v>-6358.33</v>
      </c>
      <c r="O443" s="15">
        <v>-4238.8900000000003</v>
      </c>
    </row>
    <row r="444" spans="1:15" x14ac:dyDescent="0.75">
      <c r="A444">
        <v>177</v>
      </c>
      <c r="B444" t="s">
        <v>509</v>
      </c>
      <c r="C444" t="s">
        <v>510</v>
      </c>
      <c r="D444" s="15">
        <v>-7351.34</v>
      </c>
      <c r="E444" s="15">
        <v>0</v>
      </c>
      <c r="F444" s="15">
        <v>0</v>
      </c>
      <c r="G444" s="15">
        <v>0</v>
      </c>
      <c r="H444" s="15">
        <v>-28907.96</v>
      </c>
      <c r="I444" s="15">
        <v>-19271.97</v>
      </c>
      <c r="J444" s="15">
        <v>-9635.98</v>
      </c>
      <c r="K444" s="15">
        <v>-42309.85</v>
      </c>
      <c r="L444" s="15">
        <v>-27993.38</v>
      </c>
      <c r="M444" s="15">
        <v>-13676.91</v>
      </c>
      <c r="N444" s="15">
        <v>-3815</v>
      </c>
      <c r="O444" s="15">
        <v>-2543.33</v>
      </c>
    </row>
    <row r="445" spans="1:15" x14ac:dyDescent="0.75">
      <c r="A445">
        <v>178</v>
      </c>
      <c r="B445" t="s">
        <v>1283</v>
      </c>
      <c r="C445" t="s">
        <v>1284</v>
      </c>
      <c r="D445" s="15">
        <v>0</v>
      </c>
      <c r="E445" s="15">
        <v>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-65.849999999999994</v>
      </c>
      <c r="M445" s="15">
        <v>-65.849999999999994</v>
      </c>
      <c r="N445" s="15">
        <v>-65.849999999999994</v>
      </c>
      <c r="O445" s="15">
        <v>0</v>
      </c>
    </row>
    <row r="446" spans="1:15" x14ac:dyDescent="0.75">
      <c r="A446">
        <v>183</v>
      </c>
      <c r="B446" t="s">
        <v>513</v>
      </c>
      <c r="C446" t="s">
        <v>514</v>
      </c>
      <c r="D446" s="15">
        <v>0</v>
      </c>
      <c r="E446" s="15">
        <v>-52</v>
      </c>
      <c r="F446" s="15">
        <v>-52</v>
      </c>
      <c r="G446" s="15">
        <v>-125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</row>
    <row r="447" spans="1:15" x14ac:dyDescent="0.75">
      <c r="A447">
        <v>1016</v>
      </c>
      <c r="B447" t="s">
        <v>1285</v>
      </c>
      <c r="C447" t="s">
        <v>1286</v>
      </c>
      <c r="D447" s="15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-204.14</v>
      </c>
      <c r="M447" s="15">
        <v>-204.14</v>
      </c>
      <c r="N447" s="15">
        <v>-204.14</v>
      </c>
      <c r="O447" s="15">
        <v>0</v>
      </c>
    </row>
    <row r="448" spans="1:15" x14ac:dyDescent="0.75">
      <c r="A448" s="28">
        <v>1607</v>
      </c>
      <c r="B448" s="28" t="s">
        <v>515</v>
      </c>
      <c r="C448" s="28" t="s">
        <v>516</v>
      </c>
      <c r="D448" s="29">
        <v>-14048</v>
      </c>
      <c r="E448" s="29">
        <v>-12928.14</v>
      </c>
      <c r="F448" s="29">
        <v>-11807.06</v>
      </c>
      <c r="G448" s="29">
        <v>-10684.88</v>
      </c>
      <c r="H448" s="29">
        <v>-9561.34</v>
      </c>
      <c r="I448" s="29">
        <v>-8436.51</v>
      </c>
      <c r="J448" s="29">
        <v>-7310.34</v>
      </c>
      <c r="K448" s="29">
        <v>-6182.7</v>
      </c>
      <c r="L448" s="29">
        <v>-5041.04</v>
      </c>
      <c r="M448" s="29">
        <v>0</v>
      </c>
      <c r="N448" s="29">
        <v>0</v>
      </c>
      <c r="O448" s="29">
        <v>0</v>
      </c>
    </row>
    <row r="449" spans="1:15" x14ac:dyDescent="0.75">
      <c r="A449">
        <v>1608</v>
      </c>
      <c r="B449" t="s">
        <v>517</v>
      </c>
      <c r="C449" t="s">
        <v>518</v>
      </c>
      <c r="D449" s="15">
        <v>-14048</v>
      </c>
      <c r="E449" s="15">
        <v>-12928.14</v>
      </c>
      <c r="F449" s="15">
        <v>-11807.06</v>
      </c>
      <c r="G449" s="15">
        <v>-10684.88</v>
      </c>
      <c r="H449" s="15">
        <v>-9561.34</v>
      </c>
      <c r="I449" s="15">
        <v>-8436.51</v>
      </c>
      <c r="J449" s="15">
        <v>-7310.34</v>
      </c>
      <c r="K449" s="15">
        <v>-6182.7</v>
      </c>
      <c r="L449" s="15">
        <v>-5041.04</v>
      </c>
      <c r="M449" s="15">
        <v>0</v>
      </c>
      <c r="N449" s="15">
        <v>0</v>
      </c>
      <c r="O449" s="15">
        <v>0</v>
      </c>
    </row>
    <row r="450" spans="1:15" x14ac:dyDescent="0.75">
      <c r="A450" s="28">
        <v>185</v>
      </c>
      <c r="B450" s="28" t="s">
        <v>519</v>
      </c>
      <c r="C450" s="28" t="s">
        <v>520</v>
      </c>
      <c r="D450" s="29">
        <v>-260089.91</v>
      </c>
      <c r="E450" s="29">
        <v>-221056.15</v>
      </c>
      <c r="F450" s="29">
        <v>-266474.34999999998</v>
      </c>
      <c r="G450" s="29">
        <v>-239531.56</v>
      </c>
      <c r="H450" s="29">
        <v>-253738.2</v>
      </c>
      <c r="I450" s="29">
        <v>-319561.26</v>
      </c>
      <c r="J450" s="29">
        <v>-290773.08</v>
      </c>
      <c r="K450" s="29">
        <v>-291510.43</v>
      </c>
      <c r="L450" s="29">
        <v>-295333.27</v>
      </c>
      <c r="M450" s="29">
        <v>-336114.9</v>
      </c>
      <c r="N450" s="29">
        <v>-237127.95</v>
      </c>
      <c r="O450" s="29">
        <v>-249520.45</v>
      </c>
    </row>
    <row r="451" spans="1:15" x14ac:dyDescent="0.75">
      <c r="A451" s="28">
        <v>186</v>
      </c>
      <c r="B451" s="28" t="s">
        <v>521</v>
      </c>
      <c r="C451" s="28" t="s">
        <v>522</v>
      </c>
      <c r="D451" s="29">
        <v>-46997.2</v>
      </c>
      <c r="E451" s="29">
        <v>-2637.66</v>
      </c>
      <c r="F451" s="29">
        <v>-41363.760000000002</v>
      </c>
      <c r="G451" s="29">
        <v>-996.43</v>
      </c>
      <c r="H451" s="29">
        <v>0</v>
      </c>
      <c r="I451" s="29">
        <v>-52717.7</v>
      </c>
      <c r="J451" s="29">
        <v>-6304.31</v>
      </c>
      <c r="K451" s="29">
        <v>-8015.68</v>
      </c>
      <c r="L451" s="29">
        <v>-17490.919999999998</v>
      </c>
      <c r="M451" s="29">
        <v>-56000</v>
      </c>
      <c r="N451" s="29">
        <v>-48448</v>
      </c>
      <c r="O451" s="29">
        <v>-45381.3</v>
      </c>
    </row>
    <row r="452" spans="1:15" x14ac:dyDescent="0.75">
      <c r="A452">
        <v>187</v>
      </c>
      <c r="B452" t="s">
        <v>523</v>
      </c>
      <c r="C452" t="s">
        <v>524</v>
      </c>
      <c r="D452" s="15">
        <v>-41611.11</v>
      </c>
      <c r="E452" s="15">
        <v>0</v>
      </c>
      <c r="F452" s="15">
        <v>-39913.360000000001</v>
      </c>
      <c r="G452" s="15">
        <v>0</v>
      </c>
      <c r="H452" s="15">
        <v>0</v>
      </c>
      <c r="I452" s="15">
        <v>-37380.980000000003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</row>
    <row r="453" spans="1:15" x14ac:dyDescent="0.75">
      <c r="A453">
        <v>553</v>
      </c>
      <c r="B453" t="s">
        <v>525</v>
      </c>
      <c r="C453" t="s">
        <v>526</v>
      </c>
      <c r="D453" s="15">
        <v>0</v>
      </c>
      <c r="E453" s="15">
        <v>0</v>
      </c>
      <c r="F453" s="15">
        <v>-1450.4</v>
      </c>
      <c r="G453" s="15">
        <v>-996.43</v>
      </c>
      <c r="H453" s="15">
        <v>0</v>
      </c>
      <c r="I453" s="15">
        <v>-3936.72</v>
      </c>
      <c r="J453" s="15">
        <v>-604.30999999999995</v>
      </c>
      <c r="K453" s="15">
        <v>-8015.68</v>
      </c>
      <c r="L453" s="15">
        <v>-17490.919999999998</v>
      </c>
      <c r="M453" s="15">
        <v>0</v>
      </c>
      <c r="N453" s="15">
        <v>0</v>
      </c>
      <c r="O453" s="15">
        <v>-2533.3000000000002</v>
      </c>
    </row>
    <row r="454" spans="1:15" x14ac:dyDescent="0.75">
      <c r="A454">
        <v>1649</v>
      </c>
      <c r="B454" t="s">
        <v>880</v>
      </c>
      <c r="C454" t="s">
        <v>881</v>
      </c>
      <c r="D454" s="15">
        <v>-5386.09</v>
      </c>
      <c r="E454" s="15">
        <v>-2637.66</v>
      </c>
      <c r="F454" s="15">
        <v>0</v>
      </c>
      <c r="G454" s="15">
        <v>0</v>
      </c>
      <c r="H454" s="15">
        <v>0</v>
      </c>
      <c r="I454" s="15">
        <v>-11400</v>
      </c>
      <c r="J454" s="15">
        <v>-5700</v>
      </c>
      <c r="K454" s="15">
        <v>0</v>
      </c>
      <c r="L454" s="15">
        <v>0</v>
      </c>
      <c r="M454" s="15">
        <v>-56000</v>
      </c>
      <c r="N454" s="15">
        <v>-48448</v>
      </c>
      <c r="O454" s="15">
        <v>-42848</v>
      </c>
    </row>
    <row r="455" spans="1:15" x14ac:dyDescent="0.75">
      <c r="A455" s="28">
        <v>190</v>
      </c>
      <c r="B455" s="28" t="s">
        <v>527</v>
      </c>
      <c r="C455" s="28" t="s">
        <v>528</v>
      </c>
      <c r="D455" s="29">
        <v>-45266.559999999998</v>
      </c>
      <c r="E455" s="29">
        <v>-44632.61</v>
      </c>
      <c r="F455" s="29">
        <v>-43468.23</v>
      </c>
      <c r="G455" s="29">
        <v>-42866.82</v>
      </c>
      <c r="H455" s="29">
        <v>-41509.660000000003</v>
      </c>
      <c r="I455" s="29">
        <v>-44840.89</v>
      </c>
      <c r="J455" s="29">
        <v>-44756.42</v>
      </c>
      <c r="K455" s="29">
        <v>-59434.96</v>
      </c>
      <c r="L455" s="29">
        <v>-49196.31</v>
      </c>
      <c r="M455" s="29">
        <v>-44759.34</v>
      </c>
      <c r="N455" s="29">
        <v>-49692.63</v>
      </c>
      <c r="O455" s="29">
        <v>-42074.26</v>
      </c>
    </row>
    <row r="456" spans="1:15" x14ac:dyDescent="0.75">
      <c r="A456">
        <v>192</v>
      </c>
      <c r="B456" t="s">
        <v>529</v>
      </c>
      <c r="C456" t="s">
        <v>530</v>
      </c>
      <c r="D456" s="15">
        <v>-8420.56</v>
      </c>
      <c r="E456" s="15">
        <v>-8001.07</v>
      </c>
      <c r="F456" s="15">
        <v>-7963.02</v>
      </c>
      <c r="G456" s="15">
        <v>-7947.1</v>
      </c>
      <c r="H456" s="15">
        <v>-7759.27</v>
      </c>
      <c r="I456" s="15">
        <v>-9808.93</v>
      </c>
      <c r="J456" s="15">
        <v>-8234.61</v>
      </c>
      <c r="K456" s="15">
        <v>-11029.32</v>
      </c>
      <c r="L456" s="15">
        <v>-10777.51</v>
      </c>
      <c r="M456" s="15">
        <v>-10043.83</v>
      </c>
      <c r="N456" s="15">
        <v>-9703.36</v>
      </c>
      <c r="O456" s="15">
        <v>-7359.65</v>
      </c>
    </row>
    <row r="457" spans="1:15" x14ac:dyDescent="0.75">
      <c r="A457">
        <v>554</v>
      </c>
      <c r="B457" t="s">
        <v>531</v>
      </c>
      <c r="C457" t="s">
        <v>532</v>
      </c>
      <c r="D457" s="15">
        <v>-465.04</v>
      </c>
      <c r="E457" s="15">
        <v>-544.70000000000005</v>
      </c>
      <c r="F457" s="15">
        <v>-609.15</v>
      </c>
      <c r="G457" s="15">
        <v>-593.82000000000005</v>
      </c>
      <c r="H457" s="15">
        <v>-542.46</v>
      </c>
      <c r="I457" s="15">
        <v>-609.51</v>
      </c>
      <c r="J457" s="15">
        <v>-864.47</v>
      </c>
      <c r="K457" s="15">
        <v>-827.56</v>
      </c>
      <c r="L457" s="15">
        <v>-913.54</v>
      </c>
      <c r="M457" s="15">
        <v>-943.79</v>
      </c>
      <c r="N457" s="15">
        <v>-1870.14</v>
      </c>
      <c r="O457" s="15">
        <v>-902.97</v>
      </c>
    </row>
    <row r="458" spans="1:15" x14ac:dyDescent="0.75">
      <c r="A458">
        <v>1486</v>
      </c>
      <c r="B458" t="s">
        <v>533</v>
      </c>
      <c r="C458" t="s">
        <v>534</v>
      </c>
      <c r="D458" s="15">
        <v>-13681.35</v>
      </c>
      <c r="E458" s="15">
        <v>-7416.36</v>
      </c>
      <c r="F458" s="15">
        <v>-7203.76</v>
      </c>
      <c r="G458" s="15">
        <v>-7111.74</v>
      </c>
      <c r="H458" s="15">
        <v>-6754.47</v>
      </c>
      <c r="I458" s="15">
        <v>-7129.9</v>
      </c>
      <c r="J458" s="15">
        <v>-7791.76</v>
      </c>
      <c r="K458" s="15">
        <v>-12537.76</v>
      </c>
      <c r="L458" s="15">
        <v>-7986.42</v>
      </c>
      <c r="M458" s="15">
        <v>-7058.94</v>
      </c>
      <c r="N458" s="15">
        <v>-7427.19</v>
      </c>
      <c r="O458" s="15">
        <v>-7020.54</v>
      </c>
    </row>
    <row r="459" spans="1:15" x14ac:dyDescent="0.75">
      <c r="A459">
        <v>1487</v>
      </c>
      <c r="B459" t="s">
        <v>535</v>
      </c>
      <c r="C459" t="s">
        <v>536</v>
      </c>
      <c r="D459" s="15">
        <v>-22699.61</v>
      </c>
      <c r="E459" s="15">
        <v>-22579.32</v>
      </c>
      <c r="F459" s="15">
        <v>-21808.97</v>
      </c>
      <c r="G459" s="15">
        <v>-21432.41</v>
      </c>
      <c r="H459" s="15">
        <v>-20833.330000000002</v>
      </c>
      <c r="I459" s="15">
        <v>-21494.15</v>
      </c>
      <c r="J459" s="15">
        <v>-21875.54</v>
      </c>
      <c r="K459" s="15">
        <v>-24051.919999999998</v>
      </c>
      <c r="L459" s="15">
        <v>-23247.46</v>
      </c>
      <c r="M459" s="15">
        <v>-21037.87</v>
      </c>
      <c r="N459" s="15">
        <v>-21099.75</v>
      </c>
      <c r="O459" s="15">
        <v>-21099.34</v>
      </c>
    </row>
    <row r="460" spans="1:15" x14ac:dyDescent="0.75">
      <c r="A460">
        <v>1806</v>
      </c>
      <c r="B460" t="s">
        <v>537</v>
      </c>
      <c r="C460" t="s">
        <v>538</v>
      </c>
      <c r="D460" s="15">
        <v>0</v>
      </c>
      <c r="E460" s="15">
        <v>-6091.16</v>
      </c>
      <c r="F460" s="15">
        <v>-5883.33</v>
      </c>
      <c r="G460" s="15">
        <v>-5781.75</v>
      </c>
      <c r="H460" s="15">
        <v>-5620.13</v>
      </c>
      <c r="I460" s="15">
        <v>-5798.4</v>
      </c>
      <c r="J460" s="15">
        <v>-5990.04</v>
      </c>
      <c r="K460" s="15">
        <v>-6488.4</v>
      </c>
      <c r="L460" s="15">
        <v>-6271.38</v>
      </c>
      <c r="M460" s="15">
        <v>-5674.91</v>
      </c>
      <c r="N460" s="15">
        <v>-5692.19</v>
      </c>
      <c r="O460" s="15">
        <v>-5691.76</v>
      </c>
    </row>
    <row r="461" spans="1:15" x14ac:dyDescent="0.75">
      <c r="A461">
        <v>1924</v>
      </c>
      <c r="B461" t="s">
        <v>1093</v>
      </c>
      <c r="C461" t="s">
        <v>1065</v>
      </c>
      <c r="D461" s="15">
        <v>0</v>
      </c>
      <c r="E461" s="15">
        <v>0</v>
      </c>
      <c r="F461" s="15">
        <v>0</v>
      </c>
      <c r="G461" s="15">
        <v>0</v>
      </c>
      <c r="H461" s="15">
        <v>0</v>
      </c>
      <c r="I461" s="15">
        <v>0</v>
      </c>
      <c r="J461" s="15">
        <v>0</v>
      </c>
      <c r="K461" s="15">
        <v>-4500</v>
      </c>
      <c r="L461" s="15">
        <v>0</v>
      </c>
      <c r="M461" s="15">
        <v>0</v>
      </c>
      <c r="N461" s="15">
        <v>-3900</v>
      </c>
      <c r="O461" s="15">
        <v>0</v>
      </c>
    </row>
    <row r="462" spans="1:15" x14ac:dyDescent="0.75">
      <c r="A462" s="28">
        <v>193</v>
      </c>
      <c r="B462" s="28" t="s">
        <v>539</v>
      </c>
      <c r="C462" s="28" t="s">
        <v>540</v>
      </c>
      <c r="D462" s="29">
        <v>-167826.15</v>
      </c>
      <c r="E462" s="29">
        <v>-173785.88</v>
      </c>
      <c r="F462" s="29">
        <v>-181642.36</v>
      </c>
      <c r="G462" s="29">
        <v>-195668.31</v>
      </c>
      <c r="H462" s="29">
        <v>-212228.54</v>
      </c>
      <c r="I462" s="29">
        <v>-222002.67</v>
      </c>
      <c r="J462" s="29">
        <v>-239712.35</v>
      </c>
      <c r="K462" s="29">
        <v>-224059.79</v>
      </c>
      <c r="L462" s="29">
        <v>-228646.04</v>
      </c>
      <c r="M462" s="29">
        <v>-235355.56</v>
      </c>
      <c r="N462" s="29">
        <v>-138987.32</v>
      </c>
      <c r="O462" s="29">
        <v>-162064.89000000001</v>
      </c>
    </row>
    <row r="463" spans="1:15" x14ac:dyDescent="0.75">
      <c r="A463">
        <v>194</v>
      </c>
      <c r="B463" t="s">
        <v>541</v>
      </c>
      <c r="C463" t="s">
        <v>542</v>
      </c>
      <c r="D463" s="15">
        <v>-107243.5</v>
      </c>
      <c r="E463" s="15">
        <v>-104117.99</v>
      </c>
      <c r="F463" s="15">
        <v>-101875.14</v>
      </c>
      <c r="G463" s="15">
        <v>-105862.6</v>
      </c>
      <c r="H463" s="15">
        <v>-110252.67</v>
      </c>
      <c r="I463" s="15">
        <v>-109463.05</v>
      </c>
      <c r="J463" s="15">
        <v>-109687.03999999999</v>
      </c>
      <c r="K463" s="15">
        <v>-96514.67</v>
      </c>
      <c r="L463" s="15">
        <v>-93720.19</v>
      </c>
      <c r="M463" s="15">
        <v>-97436.61</v>
      </c>
      <c r="N463" s="15">
        <v>-100870.83</v>
      </c>
      <c r="O463" s="15">
        <v>-109912.74</v>
      </c>
    </row>
    <row r="464" spans="1:15" x14ac:dyDescent="0.75">
      <c r="A464">
        <v>196</v>
      </c>
      <c r="B464" t="s">
        <v>543</v>
      </c>
      <c r="C464" t="s">
        <v>544</v>
      </c>
      <c r="D464" s="15">
        <v>-29277.41</v>
      </c>
      <c r="E464" s="15">
        <v>-28424.25</v>
      </c>
      <c r="F464" s="15">
        <v>-27811.87</v>
      </c>
      <c r="G464" s="15">
        <v>-28900.44</v>
      </c>
      <c r="H464" s="15">
        <v>-30098.87</v>
      </c>
      <c r="I464" s="15">
        <v>-29883.5</v>
      </c>
      <c r="J464" s="15">
        <v>-29911</v>
      </c>
      <c r="K464" s="15">
        <v>-25121.22</v>
      </c>
      <c r="L464" s="15">
        <v>-25585.64</v>
      </c>
      <c r="M464" s="15">
        <v>-26600.09</v>
      </c>
      <c r="N464" s="15">
        <v>-29478.400000000001</v>
      </c>
      <c r="O464" s="15">
        <v>-31163.74</v>
      </c>
    </row>
    <row r="465" spans="1:15" x14ac:dyDescent="0.75">
      <c r="A465">
        <v>198</v>
      </c>
      <c r="B465" t="s">
        <v>545</v>
      </c>
      <c r="C465" t="s">
        <v>546</v>
      </c>
      <c r="D465" s="15">
        <v>-8464.77</v>
      </c>
      <c r="E465" s="15">
        <v>-8206.24</v>
      </c>
      <c r="F465" s="15">
        <v>-8149.68</v>
      </c>
      <c r="G465" s="15">
        <v>-8471.82</v>
      </c>
      <c r="H465" s="15">
        <v>-8819.84</v>
      </c>
      <c r="I465" s="15">
        <v>-8756.68</v>
      </c>
      <c r="J465" s="15">
        <v>-8919.51</v>
      </c>
      <c r="K465" s="15">
        <v>-7712.7</v>
      </c>
      <c r="L465" s="15">
        <v>-7497.28</v>
      </c>
      <c r="M465" s="15">
        <v>-7794.63</v>
      </c>
      <c r="N465" s="15">
        <v>-8638.09</v>
      </c>
      <c r="O465" s="15">
        <v>-9242.2199999999993</v>
      </c>
    </row>
    <row r="466" spans="1:15" x14ac:dyDescent="0.75">
      <c r="A466">
        <v>195</v>
      </c>
      <c r="B466" t="s">
        <v>547</v>
      </c>
      <c r="C466" t="s">
        <v>548</v>
      </c>
      <c r="D466" s="15">
        <v>-16890.91</v>
      </c>
      <c r="E466" s="15">
        <v>-24431.68</v>
      </c>
      <c r="F466" s="15">
        <v>-32395.759999999998</v>
      </c>
      <c r="G466" s="15">
        <v>-38756.07</v>
      </c>
      <c r="H466" s="15">
        <v>-46605.35</v>
      </c>
      <c r="I466" s="15">
        <v>-54618.87</v>
      </c>
      <c r="J466" s="15">
        <v>-67397.539999999994</v>
      </c>
      <c r="K466" s="15">
        <v>-70841.41</v>
      </c>
      <c r="L466" s="15">
        <v>-76115.75</v>
      </c>
      <c r="M466" s="15">
        <v>-80384.210000000006</v>
      </c>
      <c r="N466" s="15">
        <v>0</v>
      </c>
      <c r="O466" s="15">
        <v>-9021.59</v>
      </c>
    </row>
    <row r="467" spans="1:15" x14ac:dyDescent="0.75">
      <c r="A467">
        <v>197</v>
      </c>
      <c r="B467" t="s">
        <v>549</v>
      </c>
      <c r="C467" t="s">
        <v>550</v>
      </c>
      <c r="D467" s="15">
        <v>-4611.22</v>
      </c>
      <c r="E467" s="15">
        <v>-6670.36</v>
      </c>
      <c r="F467" s="15">
        <v>-8843.93</v>
      </c>
      <c r="G467" s="15">
        <v>-10580.31</v>
      </c>
      <c r="H467" s="15">
        <v>-12723.52</v>
      </c>
      <c r="I467" s="15">
        <v>-14911.32</v>
      </c>
      <c r="J467" s="15">
        <v>-18405.740000000002</v>
      </c>
      <c r="K467" s="15">
        <v>-18202.62</v>
      </c>
      <c r="L467" s="15">
        <v>-19638.11</v>
      </c>
      <c r="M467" s="15">
        <v>-20132.990000000002</v>
      </c>
      <c r="N467" s="15">
        <v>0</v>
      </c>
      <c r="O467" s="15">
        <v>-2090.81</v>
      </c>
    </row>
    <row r="468" spans="1:15" x14ac:dyDescent="0.75">
      <c r="A468">
        <v>199</v>
      </c>
      <c r="B468" t="s">
        <v>551</v>
      </c>
      <c r="C468" t="s">
        <v>552</v>
      </c>
      <c r="D468" s="15">
        <v>-1338.34</v>
      </c>
      <c r="E468" s="15">
        <v>-1935.36</v>
      </c>
      <c r="F468" s="15">
        <v>-2565.98</v>
      </c>
      <c r="G468" s="15">
        <v>-3097.07</v>
      </c>
      <c r="H468" s="15">
        <v>-3728.29</v>
      </c>
      <c r="I468" s="15">
        <v>-4369.25</v>
      </c>
      <c r="J468" s="15">
        <v>-5391.52</v>
      </c>
      <c r="K468" s="15">
        <v>-5667.17</v>
      </c>
      <c r="L468" s="15">
        <v>-6089.07</v>
      </c>
      <c r="M468" s="15">
        <v>-3007.03</v>
      </c>
      <c r="N468" s="15">
        <v>0</v>
      </c>
      <c r="O468" s="15">
        <v>-633.79</v>
      </c>
    </row>
    <row r="469" spans="1:15" x14ac:dyDescent="0.75">
      <c r="A469" s="28">
        <v>200</v>
      </c>
      <c r="B469" s="28" t="s">
        <v>553</v>
      </c>
      <c r="C469" s="28" t="s">
        <v>554</v>
      </c>
      <c r="D469" s="29">
        <v>-16000</v>
      </c>
      <c r="E469" s="29">
        <v>-16000</v>
      </c>
      <c r="F469" s="29">
        <v>-17201.03</v>
      </c>
      <c r="G469" s="29">
        <v>-20201.03</v>
      </c>
      <c r="H469" s="29">
        <v>-17551.03</v>
      </c>
      <c r="I469" s="29">
        <v>-21998.91</v>
      </c>
      <c r="J469" s="29">
        <v>-21460.880000000001</v>
      </c>
      <c r="K469" s="29">
        <v>-21414.25</v>
      </c>
      <c r="L469" s="29">
        <v>-38685.42</v>
      </c>
      <c r="M469" s="29">
        <v>-48249.35</v>
      </c>
      <c r="N469" s="29">
        <v>-48523.19</v>
      </c>
      <c r="O469" s="29">
        <v>-104819.93</v>
      </c>
    </row>
    <row r="470" spans="1:15" x14ac:dyDescent="0.75">
      <c r="A470" s="28">
        <v>201</v>
      </c>
      <c r="B470" s="28" t="s">
        <v>555</v>
      </c>
      <c r="C470" s="28" t="s">
        <v>556</v>
      </c>
      <c r="D470" s="29">
        <v>0</v>
      </c>
      <c r="E470" s="29">
        <v>0</v>
      </c>
      <c r="F470" s="29">
        <v>-1201.03</v>
      </c>
      <c r="G470" s="29">
        <v>-4201.03</v>
      </c>
      <c r="H470" s="29">
        <v>-1551.03</v>
      </c>
      <c r="I470" s="29">
        <v>-1551.03</v>
      </c>
      <c r="J470" s="29">
        <v>-1551.03</v>
      </c>
      <c r="K470" s="29">
        <v>-1551.03</v>
      </c>
      <c r="L470" s="29">
        <v>-18652.91</v>
      </c>
      <c r="M470" s="29">
        <v>-27538.11</v>
      </c>
      <c r="N470" s="29">
        <v>-27538.11</v>
      </c>
      <c r="O470" s="29">
        <v>-80635.66</v>
      </c>
    </row>
    <row r="471" spans="1:15" x14ac:dyDescent="0.75">
      <c r="A471">
        <v>1621</v>
      </c>
      <c r="B471" t="s">
        <v>1287</v>
      </c>
      <c r="C471" t="s">
        <v>1288</v>
      </c>
      <c r="D471" s="15">
        <v>0</v>
      </c>
      <c r="E471" s="15">
        <v>0</v>
      </c>
      <c r="F471" s="15">
        <v>0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-17101.88</v>
      </c>
      <c r="M471" s="15">
        <v>-25987.08</v>
      </c>
      <c r="N471" s="15">
        <v>-25987.08</v>
      </c>
      <c r="O471" s="15">
        <v>-79084.63</v>
      </c>
    </row>
    <row r="472" spans="1:15" x14ac:dyDescent="0.75">
      <c r="A472">
        <v>1843</v>
      </c>
      <c r="B472" t="s">
        <v>557</v>
      </c>
      <c r="C472" t="s">
        <v>558</v>
      </c>
      <c r="D472" s="15">
        <v>0</v>
      </c>
      <c r="E472" s="15">
        <v>0</v>
      </c>
      <c r="F472" s="15">
        <v>-1201.03</v>
      </c>
      <c r="G472" s="15">
        <v>-4201.03</v>
      </c>
      <c r="H472" s="15">
        <v>-1551.03</v>
      </c>
      <c r="I472" s="15">
        <v>-1551.03</v>
      </c>
      <c r="J472" s="15">
        <v>-1551.03</v>
      </c>
      <c r="K472" s="15">
        <v>-1551.03</v>
      </c>
      <c r="L472" s="15">
        <v>-1551.03</v>
      </c>
      <c r="M472" s="15">
        <v>-1551.03</v>
      </c>
      <c r="N472" s="15">
        <v>-1551.03</v>
      </c>
      <c r="O472" s="15">
        <v>-1551.03</v>
      </c>
    </row>
    <row r="473" spans="1:15" x14ac:dyDescent="0.75">
      <c r="A473" s="28">
        <v>202</v>
      </c>
      <c r="B473" s="28" t="s">
        <v>559</v>
      </c>
      <c r="C473" s="28" t="s">
        <v>560</v>
      </c>
      <c r="D473" s="29">
        <v>-16000</v>
      </c>
      <c r="E473" s="29">
        <v>-16000</v>
      </c>
      <c r="F473" s="29">
        <v>-16000</v>
      </c>
      <c r="G473" s="29">
        <v>-16000</v>
      </c>
      <c r="H473" s="29">
        <v>-16000</v>
      </c>
      <c r="I473" s="29">
        <v>-16875.2</v>
      </c>
      <c r="J473" s="29">
        <v>-16000</v>
      </c>
      <c r="K473" s="29">
        <v>-16000</v>
      </c>
      <c r="L473" s="29">
        <v>-16000</v>
      </c>
      <c r="M473" s="29">
        <v>-16000</v>
      </c>
      <c r="N473" s="29">
        <v>-16000</v>
      </c>
      <c r="O473" s="29">
        <v>-18752.599999999999</v>
      </c>
    </row>
    <row r="474" spans="1:15" x14ac:dyDescent="0.75">
      <c r="A474">
        <v>984</v>
      </c>
      <c r="B474" t="s">
        <v>882</v>
      </c>
      <c r="C474" t="s">
        <v>883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-1877.4</v>
      </c>
    </row>
    <row r="475" spans="1:15" x14ac:dyDescent="0.75">
      <c r="A475">
        <v>1389</v>
      </c>
      <c r="B475" t="s">
        <v>884</v>
      </c>
      <c r="C475" t="s">
        <v>885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-875.2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-875.2</v>
      </c>
    </row>
    <row r="476" spans="1:15" x14ac:dyDescent="0.75">
      <c r="A476">
        <v>1313</v>
      </c>
      <c r="B476" t="s">
        <v>561</v>
      </c>
      <c r="C476" t="s">
        <v>562</v>
      </c>
      <c r="D476" s="15">
        <v>-16000</v>
      </c>
      <c r="E476" s="15">
        <v>-16000</v>
      </c>
      <c r="F476" s="15">
        <v>-16000</v>
      </c>
      <c r="G476" s="15">
        <v>-16000</v>
      </c>
      <c r="H476" s="15">
        <v>-16000</v>
      </c>
      <c r="I476" s="15">
        <v>-16000</v>
      </c>
      <c r="J476" s="15">
        <v>-16000</v>
      </c>
      <c r="K476" s="15">
        <v>-16000</v>
      </c>
      <c r="L476" s="15">
        <v>-16000</v>
      </c>
      <c r="M476" s="15">
        <v>-16000</v>
      </c>
      <c r="N476" s="15">
        <v>-16000</v>
      </c>
      <c r="O476" s="15">
        <v>-16000</v>
      </c>
    </row>
    <row r="477" spans="1:15" x14ac:dyDescent="0.75">
      <c r="A477" s="28">
        <v>203</v>
      </c>
      <c r="B477" s="28" t="s">
        <v>563</v>
      </c>
      <c r="C477" s="28" t="s">
        <v>564</v>
      </c>
      <c r="D477" s="29">
        <v>0</v>
      </c>
      <c r="E477" s="29">
        <v>0</v>
      </c>
      <c r="F477" s="29">
        <v>0</v>
      </c>
      <c r="G477" s="29">
        <v>0</v>
      </c>
      <c r="H477" s="29">
        <v>0</v>
      </c>
      <c r="I477" s="29">
        <v>-3572.68</v>
      </c>
      <c r="J477" s="29">
        <v>-3909.85</v>
      </c>
      <c r="K477" s="29">
        <v>-3863.22</v>
      </c>
      <c r="L477" s="29">
        <v>-4032.51</v>
      </c>
      <c r="M477" s="29">
        <v>-4711.24</v>
      </c>
      <c r="N477" s="29">
        <v>-4985.08</v>
      </c>
      <c r="O477" s="29">
        <v>-5431.67</v>
      </c>
    </row>
    <row r="478" spans="1:15" x14ac:dyDescent="0.75">
      <c r="A478">
        <v>1378</v>
      </c>
      <c r="B478" t="s">
        <v>565</v>
      </c>
      <c r="C478" t="s">
        <v>566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-2923.91</v>
      </c>
      <c r="J478" s="15">
        <v>-3069.59</v>
      </c>
      <c r="K478" s="15">
        <v>-3229.18</v>
      </c>
      <c r="L478" s="15">
        <v>-3162.79</v>
      </c>
      <c r="M478" s="15">
        <v>-4018.28</v>
      </c>
      <c r="N478" s="15">
        <v>-3879.68</v>
      </c>
      <c r="O478" s="15">
        <v>-3486.66</v>
      </c>
    </row>
    <row r="479" spans="1:15" x14ac:dyDescent="0.75">
      <c r="A479">
        <v>1379</v>
      </c>
      <c r="B479" t="s">
        <v>567</v>
      </c>
      <c r="C479" t="s">
        <v>568</v>
      </c>
      <c r="D479" s="15">
        <v>0</v>
      </c>
      <c r="E479" s="15">
        <v>0</v>
      </c>
      <c r="F479" s="15">
        <v>0</v>
      </c>
      <c r="G479" s="15">
        <v>0</v>
      </c>
      <c r="H479" s="15">
        <v>0</v>
      </c>
      <c r="I479" s="15">
        <v>-648.77</v>
      </c>
      <c r="J479" s="15">
        <v>-840.26</v>
      </c>
      <c r="K479" s="15">
        <v>-634.04</v>
      </c>
      <c r="L479" s="15">
        <v>-869.72</v>
      </c>
      <c r="M479" s="15">
        <v>-692.96</v>
      </c>
      <c r="N479" s="15">
        <v>-1105.4000000000001</v>
      </c>
      <c r="O479" s="15">
        <v>-1945.01</v>
      </c>
    </row>
    <row r="480" spans="1:15" x14ac:dyDescent="0.75">
      <c r="A480" s="28">
        <v>207</v>
      </c>
      <c r="B480" s="28" t="s">
        <v>1094</v>
      </c>
      <c r="C480" s="28" t="s">
        <v>1095</v>
      </c>
      <c r="D480" s="29">
        <v>0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v>-25500</v>
      </c>
      <c r="L480" s="29">
        <v>-9819.69</v>
      </c>
      <c r="M480" s="29">
        <v>0</v>
      </c>
      <c r="N480" s="29">
        <v>0</v>
      </c>
      <c r="O480" s="29">
        <v>0</v>
      </c>
    </row>
    <row r="481" spans="1:15" x14ac:dyDescent="0.75">
      <c r="A481" s="28">
        <v>215</v>
      </c>
      <c r="B481" s="28" t="s">
        <v>1096</v>
      </c>
      <c r="C481" s="28" t="s">
        <v>1067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-25500</v>
      </c>
      <c r="L481" s="29">
        <v>-9819.69</v>
      </c>
      <c r="M481" s="29">
        <v>0</v>
      </c>
      <c r="N481" s="29">
        <v>0</v>
      </c>
      <c r="O481" s="29">
        <v>0</v>
      </c>
    </row>
    <row r="482" spans="1:15" x14ac:dyDescent="0.75">
      <c r="A482">
        <v>216</v>
      </c>
      <c r="B482" t="s">
        <v>1097</v>
      </c>
      <c r="C482" t="s">
        <v>1066</v>
      </c>
      <c r="D482" s="15">
        <v>0</v>
      </c>
      <c r="E482" s="15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-25500</v>
      </c>
      <c r="L482" s="15">
        <v>-9819.69</v>
      </c>
      <c r="M482" s="15">
        <v>0</v>
      </c>
      <c r="N482" s="15">
        <v>0</v>
      </c>
      <c r="O482" s="15">
        <v>0</v>
      </c>
    </row>
    <row r="483" spans="1:15" x14ac:dyDescent="0.75">
      <c r="A483" s="28">
        <v>503</v>
      </c>
      <c r="B483" s="28" t="s">
        <v>569</v>
      </c>
      <c r="C483" s="28" t="s">
        <v>570</v>
      </c>
      <c r="D483" s="29">
        <v>-77670.42</v>
      </c>
      <c r="E483" s="29">
        <v>-77670.42</v>
      </c>
      <c r="F483" s="29">
        <v>-75074.28</v>
      </c>
      <c r="G483" s="29">
        <v>-69202.240000000005</v>
      </c>
      <c r="H483" s="29">
        <v>-69081.279999999999</v>
      </c>
      <c r="I483" s="29">
        <v>-69081.279999999999</v>
      </c>
      <c r="J483" s="29">
        <v>-69081.279999999999</v>
      </c>
      <c r="K483" s="29">
        <v>-69081.279999999999</v>
      </c>
      <c r="L483" s="29">
        <v>-69081.279999999999</v>
      </c>
      <c r="M483" s="29">
        <v>-69081.279999999999</v>
      </c>
      <c r="N483" s="29">
        <v>0</v>
      </c>
      <c r="O483" s="29">
        <v>-41171</v>
      </c>
    </row>
    <row r="484" spans="1:15" x14ac:dyDescent="0.75">
      <c r="A484" s="28">
        <v>217</v>
      </c>
      <c r="B484" s="28" t="s">
        <v>571</v>
      </c>
      <c r="C484" s="28" t="s">
        <v>572</v>
      </c>
      <c r="D484" s="29">
        <v>-77670.42</v>
      </c>
      <c r="E484" s="29">
        <v>-77670.42</v>
      </c>
      <c r="F484" s="29">
        <v>-75074.28</v>
      </c>
      <c r="G484" s="29">
        <v>-69202.240000000005</v>
      </c>
      <c r="H484" s="29">
        <v>-69081.279999999999</v>
      </c>
      <c r="I484" s="29">
        <v>-69081.279999999999</v>
      </c>
      <c r="J484" s="29">
        <v>-69081.279999999999</v>
      </c>
      <c r="K484" s="29">
        <v>-69081.279999999999</v>
      </c>
      <c r="L484" s="29">
        <v>-69081.279999999999</v>
      </c>
      <c r="M484" s="29">
        <v>-69081.279999999999</v>
      </c>
      <c r="N484" s="29">
        <v>0</v>
      </c>
      <c r="O484" s="29">
        <v>-41171</v>
      </c>
    </row>
    <row r="485" spans="1:15" x14ac:dyDescent="0.75">
      <c r="A485" s="28">
        <v>219</v>
      </c>
      <c r="B485" s="28" t="s">
        <v>573</v>
      </c>
      <c r="C485" s="28" t="s">
        <v>239</v>
      </c>
      <c r="D485" s="29">
        <v>-77670.42</v>
      </c>
      <c r="E485" s="29">
        <v>-77670.42</v>
      </c>
      <c r="F485" s="29">
        <v>-69081.279999999999</v>
      </c>
      <c r="G485" s="29">
        <v>-69081.279999999999</v>
      </c>
      <c r="H485" s="29">
        <v>-69081.279999999999</v>
      </c>
      <c r="I485" s="29">
        <v>-69081.279999999999</v>
      </c>
      <c r="J485" s="29">
        <v>-69081.279999999999</v>
      </c>
      <c r="K485" s="29">
        <v>-69081.279999999999</v>
      </c>
      <c r="L485" s="29">
        <v>-69081.279999999999</v>
      </c>
      <c r="M485" s="29">
        <v>-69081.279999999999</v>
      </c>
      <c r="N485" s="29">
        <v>0</v>
      </c>
      <c r="O485" s="29">
        <v>-41171</v>
      </c>
    </row>
    <row r="486" spans="1:15" x14ac:dyDescent="0.75">
      <c r="A486">
        <v>1439</v>
      </c>
      <c r="B486" t="s">
        <v>574</v>
      </c>
      <c r="C486" t="s">
        <v>242</v>
      </c>
      <c r="D486" s="15">
        <v>-18533.91</v>
      </c>
      <c r="E486" s="15">
        <v>-18533.91</v>
      </c>
      <c r="F486" s="15">
        <v>-18533.91</v>
      </c>
      <c r="G486" s="15">
        <v>-18533.91</v>
      </c>
      <c r="H486" s="15">
        <v>-18533.91</v>
      </c>
      <c r="I486" s="15">
        <v>-18533.91</v>
      </c>
      <c r="J486" s="15">
        <v>-18533.91</v>
      </c>
      <c r="K486" s="15">
        <v>-18533.91</v>
      </c>
      <c r="L486" s="15">
        <v>-18533.91</v>
      </c>
      <c r="M486" s="15">
        <v>-18533.91</v>
      </c>
      <c r="N486" s="15">
        <v>0</v>
      </c>
      <c r="O486" s="15">
        <v>0</v>
      </c>
    </row>
    <row r="487" spans="1:15" x14ac:dyDescent="0.75">
      <c r="A487">
        <v>1609</v>
      </c>
      <c r="B487" t="s">
        <v>575</v>
      </c>
      <c r="C487" t="s">
        <v>244</v>
      </c>
      <c r="D487" s="15">
        <v>-59136.51</v>
      </c>
      <c r="E487" s="15">
        <v>-59136.51</v>
      </c>
      <c r="F487" s="15">
        <v>-53181.83</v>
      </c>
      <c r="G487" s="15">
        <v>-53181.83</v>
      </c>
      <c r="H487" s="15">
        <v>-53181.83</v>
      </c>
      <c r="I487" s="15">
        <v>-53181.83</v>
      </c>
      <c r="J487" s="15">
        <v>-53181.83</v>
      </c>
      <c r="K487" s="15">
        <v>-53181.83</v>
      </c>
      <c r="L487" s="15">
        <v>-53181.83</v>
      </c>
      <c r="M487" s="15">
        <v>-53181.83</v>
      </c>
      <c r="N487" s="15">
        <v>0</v>
      </c>
      <c r="O487" s="15">
        <v>0</v>
      </c>
    </row>
    <row r="488" spans="1:15" x14ac:dyDescent="0.75">
      <c r="A488">
        <v>1840</v>
      </c>
      <c r="B488" t="s">
        <v>576</v>
      </c>
      <c r="C488" t="s">
        <v>246</v>
      </c>
      <c r="D488" s="15">
        <v>0</v>
      </c>
      <c r="E488" s="15">
        <v>0</v>
      </c>
      <c r="F488" s="15">
        <v>379.16</v>
      </c>
      <c r="G488" s="15">
        <v>379.16</v>
      </c>
      <c r="H488" s="15">
        <v>379.16</v>
      </c>
      <c r="I488" s="15">
        <v>379.16</v>
      </c>
      <c r="J488" s="15">
        <v>379.16</v>
      </c>
      <c r="K488" s="15">
        <v>379.16</v>
      </c>
      <c r="L488" s="15">
        <v>379.16</v>
      </c>
      <c r="M488" s="15">
        <v>379.16</v>
      </c>
      <c r="N488" s="15">
        <v>0</v>
      </c>
      <c r="O488" s="15">
        <v>0</v>
      </c>
    </row>
    <row r="489" spans="1:15" x14ac:dyDescent="0.75">
      <c r="A489">
        <v>1841</v>
      </c>
      <c r="B489" t="s">
        <v>577</v>
      </c>
      <c r="C489" t="s">
        <v>248</v>
      </c>
      <c r="D489" s="15">
        <v>0</v>
      </c>
      <c r="E489" s="15">
        <v>0</v>
      </c>
      <c r="F489" s="15">
        <v>2255.3000000000002</v>
      </c>
      <c r="G489" s="15">
        <v>2255.3000000000002</v>
      </c>
      <c r="H489" s="15">
        <v>2255.3000000000002</v>
      </c>
      <c r="I489" s="15">
        <v>2255.3000000000002</v>
      </c>
      <c r="J489" s="15">
        <v>2255.3000000000002</v>
      </c>
      <c r="K489" s="15">
        <v>2255.3000000000002</v>
      </c>
      <c r="L489" s="15">
        <v>2255.3000000000002</v>
      </c>
      <c r="M489" s="15">
        <v>2255.3000000000002</v>
      </c>
      <c r="N489" s="15">
        <v>0</v>
      </c>
      <c r="O489" s="15">
        <v>0</v>
      </c>
    </row>
    <row r="490" spans="1:15" x14ac:dyDescent="0.75">
      <c r="A490">
        <v>1984</v>
      </c>
      <c r="B490" t="s">
        <v>1363</v>
      </c>
      <c r="C490" t="s">
        <v>1364</v>
      </c>
      <c r="D490" s="15">
        <v>0</v>
      </c>
      <c r="E490" s="15">
        <v>0</v>
      </c>
      <c r="F490" s="15">
        <v>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-42857.14</v>
      </c>
    </row>
    <row r="491" spans="1:15" x14ac:dyDescent="0.75">
      <c r="A491">
        <v>1985</v>
      </c>
      <c r="B491" t="s">
        <v>1365</v>
      </c>
      <c r="C491" t="s">
        <v>1342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0</v>
      </c>
      <c r="J491" s="15">
        <v>0</v>
      </c>
      <c r="K491" s="15">
        <v>0</v>
      </c>
      <c r="L491" s="15">
        <v>0</v>
      </c>
      <c r="M491" s="15">
        <v>0</v>
      </c>
      <c r="N491" s="15">
        <v>0</v>
      </c>
      <c r="O491" s="15">
        <v>1686.14</v>
      </c>
    </row>
    <row r="492" spans="1:15" x14ac:dyDescent="0.75">
      <c r="A492" s="28">
        <v>227</v>
      </c>
      <c r="B492" s="28" t="s">
        <v>578</v>
      </c>
      <c r="C492" s="28" t="s">
        <v>579</v>
      </c>
      <c r="D492" s="29">
        <v>0</v>
      </c>
      <c r="E492" s="29">
        <v>0</v>
      </c>
      <c r="F492" s="29">
        <v>-5993</v>
      </c>
      <c r="G492" s="29">
        <v>-120.96</v>
      </c>
      <c r="H492" s="29">
        <v>0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  <c r="N492" s="29">
        <v>0</v>
      </c>
      <c r="O492" s="29">
        <v>0</v>
      </c>
    </row>
    <row r="493" spans="1:15" x14ac:dyDescent="0.75">
      <c r="A493">
        <v>229</v>
      </c>
      <c r="B493" t="s">
        <v>580</v>
      </c>
      <c r="C493" t="s">
        <v>581</v>
      </c>
      <c r="D493" s="15">
        <v>0</v>
      </c>
      <c r="E493" s="15">
        <v>0</v>
      </c>
      <c r="F493" s="15">
        <v>-5993</v>
      </c>
      <c r="G493" s="15">
        <v>-120.96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  <c r="N493" s="15">
        <v>0</v>
      </c>
      <c r="O493" s="15">
        <v>0</v>
      </c>
    </row>
    <row r="494" spans="1:15" x14ac:dyDescent="0.75">
      <c r="A494" s="28">
        <v>242</v>
      </c>
      <c r="B494" s="28" t="s">
        <v>582</v>
      </c>
      <c r="C494" s="28" t="s">
        <v>583</v>
      </c>
      <c r="D494" s="29">
        <v>109276.8</v>
      </c>
      <c r="E494" s="29">
        <v>-70777.2</v>
      </c>
      <c r="F494" s="29">
        <v>-20281.66</v>
      </c>
      <c r="G494" s="29">
        <v>-21454.560000000001</v>
      </c>
      <c r="H494" s="29">
        <v>-340834.17</v>
      </c>
      <c r="I494" s="29">
        <v>-334362.17</v>
      </c>
      <c r="J494" s="29">
        <v>-334929.89</v>
      </c>
      <c r="K494" s="29">
        <v>-672697.59</v>
      </c>
      <c r="L494" s="29">
        <v>-659425.4</v>
      </c>
      <c r="M494" s="29">
        <v>-630954.04</v>
      </c>
      <c r="N494" s="29">
        <v>-651928.89</v>
      </c>
      <c r="O494" s="29">
        <v>-631928.89</v>
      </c>
    </row>
    <row r="495" spans="1:15" x14ac:dyDescent="0.75">
      <c r="A495" s="28">
        <v>243</v>
      </c>
      <c r="B495" s="28" t="s">
        <v>584</v>
      </c>
      <c r="C495" s="28" t="s">
        <v>585</v>
      </c>
      <c r="D495" s="29">
        <v>-400000</v>
      </c>
      <c r="E495" s="29">
        <v>-400000</v>
      </c>
      <c r="F495" s="29">
        <v>-400000</v>
      </c>
      <c r="G495" s="29">
        <v>-400000</v>
      </c>
      <c r="H495" s="29">
        <v>-400000</v>
      </c>
      <c r="I495" s="29">
        <v>-400000</v>
      </c>
      <c r="J495" s="29">
        <v>-400000</v>
      </c>
      <c r="K495" s="29">
        <v>-400000</v>
      </c>
      <c r="L495" s="29">
        <v>-400000</v>
      </c>
      <c r="M495" s="29">
        <v>-400000</v>
      </c>
      <c r="N495" s="29">
        <v>-400000</v>
      </c>
      <c r="O495" s="29">
        <v>-400000</v>
      </c>
    </row>
    <row r="496" spans="1:15" x14ac:dyDescent="0.75">
      <c r="A496" s="28">
        <v>244</v>
      </c>
      <c r="B496" s="28" t="s">
        <v>586</v>
      </c>
      <c r="C496" s="28" t="s">
        <v>587</v>
      </c>
      <c r="D496" s="29">
        <v>-400000</v>
      </c>
      <c r="E496" s="29">
        <v>-400000</v>
      </c>
      <c r="F496" s="29">
        <v>-400000</v>
      </c>
      <c r="G496" s="29">
        <v>-400000</v>
      </c>
      <c r="H496" s="29">
        <v>-400000</v>
      </c>
      <c r="I496" s="29">
        <v>-400000</v>
      </c>
      <c r="J496" s="29">
        <v>-400000</v>
      </c>
      <c r="K496" s="29">
        <v>-400000</v>
      </c>
      <c r="L496" s="29">
        <v>-400000</v>
      </c>
      <c r="M496" s="29">
        <v>-400000</v>
      </c>
      <c r="N496" s="29">
        <v>-400000</v>
      </c>
      <c r="O496" s="29">
        <v>-400000</v>
      </c>
    </row>
    <row r="497" spans="1:15" x14ac:dyDescent="0.75">
      <c r="A497">
        <v>245</v>
      </c>
      <c r="B497" t="s">
        <v>588</v>
      </c>
      <c r="C497" t="s">
        <v>581</v>
      </c>
      <c r="D497" s="15">
        <v>-200000</v>
      </c>
      <c r="E497" s="15">
        <v>-200000</v>
      </c>
      <c r="F497" s="15">
        <v>-200000</v>
      </c>
      <c r="G497" s="15">
        <v>-200000</v>
      </c>
      <c r="H497" s="15">
        <v>-200000</v>
      </c>
      <c r="I497" s="15">
        <v>-200000</v>
      </c>
      <c r="J497" s="15">
        <v>-200000</v>
      </c>
      <c r="K497" s="15">
        <v>-200000</v>
      </c>
      <c r="L497" s="15">
        <v>-200000</v>
      </c>
      <c r="M497" s="15">
        <v>-200000</v>
      </c>
      <c r="N497" s="15">
        <v>-200000</v>
      </c>
      <c r="O497" s="15">
        <v>-200000</v>
      </c>
    </row>
    <row r="498" spans="1:15" x14ac:dyDescent="0.75">
      <c r="A498">
        <v>739</v>
      </c>
      <c r="B498" t="s">
        <v>589</v>
      </c>
      <c r="C498" t="s">
        <v>590</v>
      </c>
      <c r="D498" s="15">
        <v>-200000</v>
      </c>
      <c r="E498" s="15">
        <v>-200000</v>
      </c>
      <c r="F498" s="15">
        <v>-200000</v>
      </c>
      <c r="G498" s="15">
        <v>-200000</v>
      </c>
      <c r="H498" s="15">
        <v>-200000</v>
      </c>
      <c r="I498" s="15">
        <v>-200000</v>
      </c>
      <c r="J498" s="15">
        <v>-200000</v>
      </c>
      <c r="K498" s="15">
        <v>-200000</v>
      </c>
      <c r="L498" s="15">
        <v>-200000</v>
      </c>
      <c r="M498" s="15">
        <v>-200000</v>
      </c>
      <c r="N498" s="15">
        <v>-200000</v>
      </c>
      <c r="O498" s="15">
        <v>-200000</v>
      </c>
    </row>
    <row r="499" spans="1:15" x14ac:dyDescent="0.75">
      <c r="A499" s="28">
        <v>264</v>
      </c>
      <c r="B499" s="28" t="s">
        <v>591</v>
      </c>
      <c r="C499" s="28" t="s">
        <v>592</v>
      </c>
      <c r="D499" s="29">
        <v>509276.8</v>
      </c>
      <c r="E499" s="29">
        <v>329222.8</v>
      </c>
      <c r="F499" s="29">
        <v>379718.34</v>
      </c>
      <c r="G499" s="29">
        <v>378545.44</v>
      </c>
      <c r="H499" s="29">
        <v>59165.83</v>
      </c>
      <c r="I499" s="29">
        <v>65637.83</v>
      </c>
      <c r="J499" s="29">
        <v>65070.11</v>
      </c>
      <c r="K499" s="29">
        <v>-272697.59000000003</v>
      </c>
      <c r="L499" s="29">
        <v>-259425.4</v>
      </c>
      <c r="M499" s="29">
        <v>-255978.85</v>
      </c>
      <c r="N499" s="29">
        <v>-274853.7</v>
      </c>
      <c r="O499" s="29">
        <v>-274853.7</v>
      </c>
    </row>
    <row r="500" spans="1:15" x14ac:dyDescent="0.75">
      <c r="A500" s="28">
        <v>265</v>
      </c>
      <c r="B500" s="28" t="s">
        <v>593</v>
      </c>
      <c r="C500" s="28" t="s">
        <v>592</v>
      </c>
      <c r="D500" s="29">
        <v>509276.8</v>
      </c>
      <c r="E500" s="29">
        <v>329222.8</v>
      </c>
      <c r="F500" s="29">
        <v>379718.34</v>
      </c>
      <c r="G500" s="29">
        <v>378545.44</v>
      </c>
      <c r="H500" s="29">
        <v>59165.83</v>
      </c>
      <c r="I500" s="29">
        <v>65637.83</v>
      </c>
      <c r="J500" s="29">
        <v>65070.11</v>
      </c>
      <c r="K500" s="29">
        <v>-272697.59000000003</v>
      </c>
      <c r="L500" s="29">
        <v>-259425.4</v>
      </c>
      <c r="M500" s="29">
        <v>-255978.85</v>
      </c>
      <c r="N500" s="29">
        <v>-274853.7</v>
      </c>
      <c r="O500" s="29">
        <v>-274853.7</v>
      </c>
    </row>
    <row r="501" spans="1:15" x14ac:dyDescent="0.75">
      <c r="A501">
        <v>266</v>
      </c>
      <c r="B501" t="s">
        <v>594</v>
      </c>
      <c r="C501" t="s">
        <v>595</v>
      </c>
      <c r="D501" s="15">
        <v>509276.8</v>
      </c>
      <c r="E501" s="15">
        <v>594106.53</v>
      </c>
      <c r="F501" s="15">
        <v>644602.06999999995</v>
      </c>
      <c r="G501" s="15">
        <v>643429.17000000004</v>
      </c>
      <c r="H501" s="15">
        <v>636819.36</v>
      </c>
      <c r="I501" s="15">
        <v>643291.36</v>
      </c>
      <c r="J501" s="15">
        <v>642723.64</v>
      </c>
      <c r="K501" s="15">
        <v>637120.93999999994</v>
      </c>
      <c r="L501" s="15">
        <v>650393.13</v>
      </c>
      <c r="M501" s="15">
        <v>653839.68000000005</v>
      </c>
      <c r="N501" s="15">
        <v>653772.46</v>
      </c>
      <c r="O501" s="15">
        <v>653772.46</v>
      </c>
    </row>
    <row r="502" spans="1:15" x14ac:dyDescent="0.75">
      <c r="A502">
        <v>1832</v>
      </c>
      <c r="B502" t="s">
        <v>596</v>
      </c>
      <c r="C502" t="s">
        <v>597</v>
      </c>
      <c r="D502" s="15">
        <v>0</v>
      </c>
      <c r="E502" s="15">
        <v>-264883.73</v>
      </c>
      <c r="F502" s="15">
        <v>-264883.73</v>
      </c>
      <c r="G502" s="15">
        <v>-264883.73</v>
      </c>
      <c r="H502" s="15">
        <v>-264883.73</v>
      </c>
      <c r="I502" s="15">
        <v>-264883.73</v>
      </c>
      <c r="J502" s="15">
        <v>-264883.73</v>
      </c>
      <c r="K502" s="15">
        <v>-264883.73</v>
      </c>
      <c r="L502" s="15">
        <v>-264883.73</v>
      </c>
      <c r="M502" s="15">
        <v>-264883.73</v>
      </c>
      <c r="N502" s="15">
        <v>-264883.73</v>
      </c>
      <c r="O502" s="15">
        <v>-264883.73</v>
      </c>
    </row>
    <row r="503" spans="1:15" x14ac:dyDescent="0.75">
      <c r="A503">
        <v>1894</v>
      </c>
      <c r="B503" t="s">
        <v>886</v>
      </c>
      <c r="C503" t="s">
        <v>887</v>
      </c>
      <c r="D503" s="15">
        <v>0</v>
      </c>
      <c r="E503" s="15">
        <v>0</v>
      </c>
      <c r="F503" s="15">
        <v>0</v>
      </c>
      <c r="G503" s="15">
        <v>0</v>
      </c>
      <c r="H503" s="15">
        <v>-312769.8</v>
      </c>
      <c r="I503" s="15">
        <v>-312769.8</v>
      </c>
      <c r="J503" s="15">
        <v>-312769.8</v>
      </c>
      <c r="K503" s="15">
        <v>-312769.8</v>
      </c>
      <c r="L503" s="15">
        <v>-312769.8</v>
      </c>
      <c r="M503" s="15">
        <v>-312769.8</v>
      </c>
      <c r="N503" s="15">
        <v>-312769.8</v>
      </c>
      <c r="O503" s="15">
        <v>-312769.8</v>
      </c>
    </row>
    <row r="504" spans="1:15" x14ac:dyDescent="0.75">
      <c r="A504">
        <v>1943</v>
      </c>
      <c r="B504" t="s">
        <v>1289</v>
      </c>
      <c r="C504" t="s">
        <v>1217</v>
      </c>
      <c r="D504" s="15">
        <v>0</v>
      </c>
      <c r="E504" s="15">
        <v>0</v>
      </c>
      <c r="F504" s="15">
        <v>0</v>
      </c>
      <c r="G504" s="15">
        <v>0</v>
      </c>
      <c r="H504" s="15">
        <v>0</v>
      </c>
      <c r="I504" s="15">
        <v>0</v>
      </c>
      <c r="J504" s="15">
        <v>0</v>
      </c>
      <c r="K504" s="15">
        <v>-332165</v>
      </c>
      <c r="L504" s="15">
        <v>-332165</v>
      </c>
      <c r="M504" s="15">
        <v>-332165</v>
      </c>
      <c r="N504" s="15">
        <v>-332165</v>
      </c>
      <c r="O504" s="15">
        <v>-332165</v>
      </c>
    </row>
    <row r="505" spans="1:15" x14ac:dyDescent="0.75">
      <c r="A505">
        <v>1971</v>
      </c>
      <c r="B505" t="s">
        <v>1366</v>
      </c>
      <c r="C505" t="s">
        <v>1367</v>
      </c>
      <c r="D505" s="15">
        <v>0</v>
      </c>
      <c r="E505" s="15">
        <v>0</v>
      </c>
      <c r="F505" s="15">
        <v>0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  <c r="N505" s="15">
        <v>-18807.63</v>
      </c>
      <c r="O505" s="15">
        <v>-18807.63</v>
      </c>
    </row>
    <row r="506" spans="1:15" x14ac:dyDescent="0.75">
      <c r="A506" s="28">
        <v>248</v>
      </c>
      <c r="B506" s="28" t="s">
        <v>1290</v>
      </c>
      <c r="C506" s="28" t="s">
        <v>1291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</v>
      </c>
      <c r="M506" s="29">
        <v>25024.81</v>
      </c>
      <c r="N506" s="29">
        <v>22924.81</v>
      </c>
      <c r="O506" s="29">
        <v>42924.81</v>
      </c>
    </row>
    <row r="507" spans="1:15" x14ac:dyDescent="0.75">
      <c r="A507" s="28">
        <v>827</v>
      </c>
      <c r="B507" s="28" t="s">
        <v>1292</v>
      </c>
      <c r="C507" s="28" t="s">
        <v>1291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</v>
      </c>
      <c r="M507" s="29">
        <v>25024.81</v>
      </c>
      <c r="N507" s="29">
        <v>22924.81</v>
      </c>
      <c r="O507" s="29">
        <v>42924.81</v>
      </c>
    </row>
    <row r="508" spans="1:15" x14ac:dyDescent="0.75">
      <c r="A508">
        <v>828</v>
      </c>
      <c r="B508" t="s">
        <v>1293</v>
      </c>
      <c r="C508" t="s">
        <v>590</v>
      </c>
      <c r="D508" s="15">
        <v>0</v>
      </c>
      <c r="E508" s="15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25024.81</v>
      </c>
      <c r="N508" s="15">
        <v>22924.81</v>
      </c>
      <c r="O508" s="15">
        <v>42924.81</v>
      </c>
    </row>
  </sheetData>
  <autoFilter ref="A1:O508" xr:uid="{C8109AB3-73CF-4CE6-ADE0-3CDA13CECDA3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1D96-0ADC-4B1A-BC10-103D77393688}">
  <dimension ref="A1:Q129"/>
  <sheetViews>
    <sheetView showGridLines="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N6" sqref="N6"/>
    </sheetView>
  </sheetViews>
  <sheetFormatPr defaultRowHeight="14.75" x14ac:dyDescent="0.75"/>
  <cols>
    <col min="1" max="1" width="11.7265625" style="47" bestFit="1" customWidth="1"/>
    <col min="2" max="2" width="16.7265625" style="21" bestFit="1" customWidth="1"/>
    <col min="3" max="3" width="51" style="21" bestFit="1" customWidth="1"/>
    <col min="4" max="10" width="15.86328125" style="48" bestFit="1" customWidth="1"/>
    <col min="11" max="13" width="15.86328125" style="15" bestFit="1" customWidth="1"/>
    <col min="14" max="14" width="16.40625" style="15" bestFit="1" customWidth="1"/>
    <col min="15" max="15" width="16.1328125" style="15" bestFit="1" customWidth="1"/>
    <col min="16" max="16" width="14.26953125" bestFit="1" customWidth="1"/>
    <col min="17" max="17" width="12.1328125" bestFit="1" customWidth="1"/>
  </cols>
  <sheetData>
    <row r="1" spans="1:15" x14ac:dyDescent="0.75">
      <c r="A1" s="26" t="s">
        <v>0</v>
      </c>
      <c r="B1" s="26" t="s">
        <v>1</v>
      </c>
      <c r="C1" s="26" t="s">
        <v>789</v>
      </c>
      <c r="D1" s="27" t="s">
        <v>791</v>
      </c>
      <c r="E1" s="27" t="s">
        <v>792</v>
      </c>
      <c r="F1" s="27" t="s">
        <v>793</v>
      </c>
      <c r="G1" s="27" t="s">
        <v>794</v>
      </c>
      <c r="H1" s="27" t="s">
        <v>795</v>
      </c>
      <c r="I1" s="27" t="s">
        <v>950</v>
      </c>
      <c r="J1" s="27" t="s">
        <v>1009</v>
      </c>
      <c r="K1" s="27" t="s">
        <v>1043</v>
      </c>
      <c r="L1" s="27" t="s">
        <v>1297</v>
      </c>
      <c r="M1" s="27" t="s">
        <v>1298</v>
      </c>
      <c r="N1" s="27" t="s">
        <v>1299</v>
      </c>
      <c r="O1" s="27" t="s">
        <v>790</v>
      </c>
    </row>
    <row r="2" spans="1:15" x14ac:dyDescent="0.75">
      <c r="A2" s="28">
        <v>269</v>
      </c>
      <c r="B2" s="28" t="s">
        <v>598</v>
      </c>
      <c r="C2" s="28" t="s">
        <v>599</v>
      </c>
      <c r="D2" s="29">
        <v>1839790.53</v>
      </c>
      <c r="E2" s="29">
        <v>1979115.03</v>
      </c>
      <c r="F2" s="29">
        <v>1751275.82</v>
      </c>
      <c r="G2" s="29">
        <v>1764005</v>
      </c>
      <c r="H2" s="29">
        <v>1830801.01</v>
      </c>
      <c r="I2" s="29">
        <v>1657324.26</v>
      </c>
      <c r="J2" s="29">
        <v>1834834.69</v>
      </c>
      <c r="K2" s="29">
        <v>1962378.94</v>
      </c>
      <c r="L2" s="29">
        <v>1432743.64</v>
      </c>
      <c r="M2" s="29">
        <v>1444082.74</v>
      </c>
      <c r="N2" s="29">
        <v>1463859.59</v>
      </c>
      <c r="O2" s="29">
        <v>1345654.26</v>
      </c>
    </row>
    <row r="3" spans="1:15" x14ac:dyDescent="0.75">
      <c r="A3" s="28">
        <v>500</v>
      </c>
      <c r="B3" s="28" t="s">
        <v>600</v>
      </c>
      <c r="C3" s="28" t="s">
        <v>601</v>
      </c>
      <c r="D3" s="29">
        <v>1356967.3</v>
      </c>
      <c r="E3" s="29">
        <v>1387252.82</v>
      </c>
      <c r="F3" s="29">
        <v>1287021.55</v>
      </c>
      <c r="G3" s="29">
        <v>1238957.98</v>
      </c>
      <c r="H3" s="29">
        <v>1210112.99</v>
      </c>
      <c r="I3" s="29">
        <v>1153542.7</v>
      </c>
      <c r="J3" s="29">
        <v>1328556.93</v>
      </c>
      <c r="K3" s="29">
        <v>1298986.8400000001</v>
      </c>
      <c r="L3" s="29">
        <v>944033.48</v>
      </c>
      <c r="M3" s="29">
        <v>884083.9</v>
      </c>
      <c r="N3" s="29">
        <v>948051.57</v>
      </c>
      <c r="O3" s="29">
        <v>861980.57</v>
      </c>
    </row>
    <row r="4" spans="1:15" x14ac:dyDescent="0.75">
      <c r="A4" s="28">
        <v>270</v>
      </c>
      <c r="B4" s="28" t="s">
        <v>602</v>
      </c>
      <c r="C4" s="28" t="s">
        <v>603</v>
      </c>
      <c r="D4" s="29">
        <v>155824.44</v>
      </c>
      <c r="E4" s="29">
        <v>171734.42</v>
      </c>
      <c r="F4" s="29">
        <v>165333.26999999999</v>
      </c>
      <c r="G4" s="29">
        <v>149924.43</v>
      </c>
      <c r="H4" s="29">
        <v>158944.37</v>
      </c>
      <c r="I4" s="29">
        <v>167041.32999999999</v>
      </c>
      <c r="J4" s="29">
        <v>173671.29</v>
      </c>
      <c r="K4" s="29">
        <v>172388.9</v>
      </c>
      <c r="L4" s="29">
        <v>168767.25</v>
      </c>
      <c r="M4" s="29">
        <v>164834.46</v>
      </c>
      <c r="N4" s="29">
        <v>154415.01</v>
      </c>
      <c r="O4" s="29">
        <v>158081.35</v>
      </c>
    </row>
    <row r="5" spans="1:15" x14ac:dyDescent="0.75">
      <c r="A5" s="28">
        <v>273</v>
      </c>
      <c r="B5" s="28" t="s">
        <v>604</v>
      </c>
      <c r="C5" s="28" t="s">
        <v>969</v>
      </c>
      <c r="D5" s="29">
        <v>155824.44</v>
      </c>
      <c r="E5" s="29">
        <v>171734.42</v>
      </c>
      <c r="F5" s="29">
        <v>165333.26999999999</v>
      </c>
      <c r="G5" s="29">
        <v>149924.43</v>
      </c>
      <c r="H5" s="29">
        <v>158944.37</v>
      </c>
      <c r="I5" s="29">
        <v>101163.58</v>
      </c>
      <c r="J5" s="29">
        <v>98054.01</v>
      </c>
      <c r="K5" s="29">
        <v>84019.22</v>
      </c>
      <c r="L5" s="29">
        <v>94963.75</v>
      </c>
      <c r="M5" s="29">
        <v>87792.36</v>
      </c>
      <c r="N5" s="29">
        <v>84834.75</v>
      </c>
      <c r="O5" s="29">
        <v>88963.07</v>
      </c>
    </row>
    <row r="6" spans="1:15" x14ac:dyDescent="0.75">
      <c r="A6">
        <v>274</v>
      </c>
      <c r="B6" t="s">
        <v>605</v>
      </c>
      <c r="C6" t="s">
        <v>606</v>
      </c>
      <c r="D6" s="15">
        <v>71806.86</v>
      </c>
      <c r="E6" s="15">
        <v>72747.48</v>
      </c>
      <c r="F6" s="15">
        <v>69290.559999999998</v>
      </c>
      <c r="G6" s="15">
        <v>69552.31</v>
      </c>
      <c r="H6" s="15">
        <v>69774.600000000006</v>
      </c>
      <c r="I6" s="15">
        <v>34042.18</v>
      </c>
      <c r="J6" s="15">
        <v>35468.129999999997</v>
      </c>
      <c r="K6" s="15">
        <v>31540.81</v>
      </c>
      <c r="L6" s="15">
        <v>36452.75</v>
      </c>
      <c r="M6" s="15">
        <v>34621.769999999997</v>
      </c>
      <c r="N6" s="15">
        <v>34396.57</v>
      </c>
      <c r="O6" s="15">
        <v>34250.94</v>
      </c>
    </row>
    <row r="7" spans="1:15" x14ac:dyDescent="0.75">
      <c r="A7">
        <v>276</v>
      </c>
      <c r="B7" t="s">
        <v>607</v>
      </c>
      <c r="C7" t="s">
        <v>608</v>
      </c>
      <c r="D7" s="15">
        <v>3250</v>
      </c>
      <c r="E7" s="15">
        <v>2950</v>
      </c>
      <c r="F7" s="15">
        <v>3950</v>
      </c>
      <c r="G7" s="15">
        <v>3407</v>
      </c>
      <c r="H7" s="15">
        <v>2850</v>
      </c>
      <c r="I7" s="15">
        <v>1277</v>
      </c>
      <c r="J7" s="15">
        <v>1100</v>
      </c>
      <c r="K7" s="15">
        <v>1200</v>
      </c>
      <c r="L7" s="15">
        <v>1700</v>
      </c>
      <c r="M7" s="15">
        <v>1200</v>
      </c>
      <c r="N7" s="15">
        <v>1000</v>
      </c>
      <c r="O7" s="15">
        <v>2900</v>
      </c>
    </row>
    <row r="8" spans="1:15" x14ac:dyDescent="0.75">
      <c r="A8">
        <v>277</v>
      </c>
      <c r="B8" t="s">
        <v>609</v>
      </c>
      <c r="C8" t="s">
        <v>610</v>
      </c>
      <c r="D8" s="15">
        <v>7036.16</v>
      </c>
      <c r="E8" s="15">
        <v>7071.1</v>
      </c>
      <c r="F8" s="15">
        <v>6760.53</v>
      </c>
      <c r="G8" s="15">
        <v>6080.02</v>
      </c>
      <c r="H8" s="15">
        <v>6916.71</v>
      </c>
      <c r="I8" s="15">
        <v>3769.34</v>
      </c>
      <c r="J8" s="15">
        <v>4107.6899999999996</v>
      </c>
      <c r="K8" s="15">
        <v>3411.68</v>
      </c>
      <c r="L8" s="15">
        <v>3434.47</v>
      </c>
      <c r="M8" s="15">
        <v>3364.82</v>
      </c>
      <c r="N8" s="15">
        <v>3342.93</v>
      </c>
      <c r="O8" s="15">
        <v>3380.48</v>
      </c>
    </row>
    <row r="9" spans="1:15" x14ac:dyDescent="0.75">
      <c r="A9">
        <v>278</v>
      </c>
      <c r="B9" t="s">
        <v>611</v>
      </c>
      <c r="C9" t="s">
        <v>612</v>
      </c>
      <c r="D9" s="15">
        <v>8591.73</v>
      </c>
      <c r="E9" s="15">
        <v>9679.2099999999991</v>
      </c>
      <c r="F9" s="15">
        <v>8475.6</v>
      </c>
      <c r="G9" s="15">
        <v>9625.4599999999991</v>
      </c>
      <c r="H9" s="15">
        <v>8838.2999999999993</v>
      </c>
      <c r="I9" s="15">
        <v>4029.02</v>
      </c>
      <c r="J9" s="15">
        <v>5697.15</v>
      </c>
      <c r="K9" s="15">
        <v>3997.36</v>
      </c>
      <c r="L9" s="15">
        <v>4531.55</v>
      </c>
      <c r="M9" s="15">
        <v>4103.47</v>
      </c>
      <c r="N9" s="15">
        <v>4076.77</v>
      </c>
      <c r="O9" s="15">
        <v>4544.6099999999997</v>
      </c>
    </row>
    <row r="10" spans="1:15" x14ac:dyDescent="0.75">
      <c r="A10">
        <v>279</v>
      </c>
      <c r="B10" t="s">
        <v>613</v>
      </c>
      <c r="C10" t="s">
        <v>970</v>
      </c>
      <c r="D10" s="15">
        <v>19137.21</v>
      </c>
      <c r="E10" s="15">
        <v>16829.63</v>
      </c>
      <c r="F10" s="15">
        <v>16617.89</v>
      </c>
      <c r="G10" s="15">
        <v>18553.05</v>
      </c>
      <c r="H10" s="15">
        <v>18112.55</v>
      </c>
      <c r="I10" s="15">
        <v>10472.879999999999</v>
      </c>
      <c r="J10" s="15">
        <v>12331.37</v>
      </c>
      <c r="K10" s="15">
        <v>9182.84</v>
      </c>
      <c r="L10" s="15">
        <v>9734.43</v>
      </c>
      <c r="M10" s="15">
        <v>9245.48</v>
      </c>
      <c r="N10" s="15">
        <v>10318.799999999999</v>
      </c>
      <c r="O10" s="15">
        <v>10275.11</v>
      </c>
    </row>
    <row r="11" spans="1:15" x14ac:dyDescent="0.75">
      <c r="A11">
        <v>280</v>
      </c>
      <c r="B11" t="s">
        <v>614</v>
      </c>
      <c r="C11" t="s">
        <v>615</v>
      </c>
      <c r="D11" s="15">
        <v>6635.85</v>
      </c>
      <c r="E11" s="15">
        <v>6115.41</v>
      </c>
      <c r="F11" s="15">
        <v>5846.82</v>
      </c>
      <c r="G11" s="15">
        <v>5869.9</v>
      </c>
      <c r="H11" s="15">
        <v>5888.66</v>
      </c>
      <c r="I11" s="15">
        <v>3498.01</v>
      </c>
      <c r="J11" s="15">
        <v>3613.15</v>
      </c>
      <c r="K11" s="15">
        <v>3047.62</v>
      </c>
      <c r="L11" s="15">
        <v>3607.24</v>
      </c>
      <c r="M11" s="15">
        <v>3564.34</v>
      </c>
      <c r="N11" s="15">
        <v>4075.49</v>
      </c>
      <c r="O11" s="15">
        <v>3483.01</v>
      </c>
    </row>
    <row r="12" spans="1:15" x14ac:dyDescent="0.75">
      <c r="A12">
        <v>281</v>
      </c>
      <c r="B12" t="s">
        <v>616</v>
      </c>
      <c r="C12" t="s">
        <v>617</v>
      </c>
      <c r="D12" s="15">
        <v>50.16</v>
      </c>
      <c r="E12" s="15">
        <v>2302.17</v>
      </c>
      <c r="F12" s="15">
        <v>10486.94</v>
      </c>
      <c r="G12" s="15">
        <v>204.47</v>
      </c>
      <c r="H12" s="15">
        <v>36.06</v>
      </c>
      <c r="I12" s="15">
        <v>2818.08</v>
      </c>
      <c r="J12" s="15">
        <v>4289.41</v>
      </c>
      <c r="K12" s="15">
        <v>2904.07</v>
      </c>
      <c r="L12" s="15">
        <v>3509.03</v>
      </c>
      <c r="M12" s="15">
        <v>1311.75</v>
      </c>
      <c r="N12" s="15">
        <v>0</v>
      </c>
      <c r="O12" s="66">
        <v>2005.46</v>
      </c>
    </row>
    <row r="13" spans="1:15" x14ac:dyDescent="0.75">
      <c r="A13">
        <v>282</v>
      </c>
      <c r="B13" t="s">
        <v>618</v>
      </c>
      <c r="C13" t="s">
        <v>619</v>
      </c>
      <c r="D13" s="15">
        <v>8980.19</v>
      </c>
      <c r="E13" s="15">
        <v>9249.6</v>
      </c>
      <c r="F13" s="15">
        <v>9330.86</v>
      </c>
      <c r="G13" s="15">
        <v>8967.5300000000007</v>
      </c>
      <c r="H13" s="15">
        <v>8967.5300000000007</v>
      </c>
      <c r="I13" s="15">
        <v>4510.4799999999996</v>
      </c>
      <c r="J13" s="15">
        <v>4169</v>
      </c>
      <c r="K13" s="15">
        <v>4150.5600000000004</v>
      </c>
      <c r="L13" s="15">
        <v>4489.3</v>
      </c>
      <c r="M13" s="15">
        <v>4831.0200000000004</v>
      </c>
      <c r="N13" s="15">
        <v>3987.46</v>
      </c>
      <c r="O13" s="15">
        <v>4845.3500000000004</v>
      </c>
    </row>
    <row r="14" spans="1:15" x14ac:dyDescent="0.75">
      <c r="A14">
        <v>776</v>
      </c>
      <c r="B14" t="s">
        <v>618</v>
      </c>
      <c r="C14" t="s">
        <v>620</v>
      </c>
      <c r="D14" s="15">
        <v>1323.1</v>
      </c>
      <c r="E14" s="15">
        <v>2692.34</v>
      </c>
      <c r="F14" s="15">
        <v>3488.05</v>
      </c>
      <c r="G14" s="15">
        <v>2725.92</v>
      </c>
      <c r="H14" s="15">
        <v>2655.75</v>
      </c>
      <c r="I14" s="15">
        <v>2596.41</v>
      </c>
      <c r="J14" s="15">
        <v>2787.26</v>
      </c>
      <c r="K14" s="15">
        <v>2437.7199999999998</v>
      </c>
      <c r="L14" s="15">
        <v>3012.02</v>
      </c>
      <c r="M14" s="15">
        <v>3232.05</v>
      </c>
      <c r="N14" s="15">
        <v>3181.01</v>
      </c>
      <c r="O14" s="15">
        <v>3172.44</v>
      </c>
    </row>
    <row r="15" spans="1:15" x14ac:dyDescent="0.75">
      <c r="A15">
        <v>647</v>
      </c>
      <c r="B15" t="s">
        <v>621</v>
      </c>
      <c r="C15" t="s">
        <v>622</v>
      </c>
      <c r="D15" s="15">
        <v>14948</v>
      </c>
      <c r="E15" s="15">
        <v>27515.63</v>
      </c>
      <c r="F15" s="15">
        <v>15977.98</v>
      </c>
      <c r="G15" s="15">
        <v>11142.35</v>
      </c>
      <c r="H15" s="15">
        <v>20491.669999999998</v>
      </c>
      <c r="I15" s="15">
        <v>24316.69</v>
      </c>
      <c r="J15" s="15">
        <v>16689.32</v>
      </c>
      <c r="K15" s="15">
        <v>13785.42</v>
      </c>
      <c r="L15" s="15">
        <v>14074.73</v>
      </c>
      <c r="M15" s="15">
        <v>13681.93</v>
      </c>
      <c r="N15" s="15">
        <v>12935</v>
      </c>
      <c r="O15" s="15">
        <v>13977.79</v>
      </c>
    </row>
    <row r="16" spans="1:15" x14ac:dyDescent="0.75">
      <c r="A16">
        <v>650</v>
      </c>
      <c r="B16" t="s">
        <v>623</v>
      </c>
      <c r="C16" t="s">
        <v>193</v>
      </c>
      <c r="D16" s="15">
        <v>3963.48</v>
      </c>
      <c r="E16" s="15">
        <v>5758.36</v>
      </c>
      <c r="F16" s="15">
        <v>5157.1099999999997</v>
      </c>
      <c r="G16" s="15">
        <v>4895.67</v>
      </c>
      <c r="H16" s="15">
        <v>5427.67</v>
      </c>
      <c r="I16" s="15">
        <v>7397.93</v>
      </c>
      <c r="J16" s="15">
        <v>6022.94</v>
      </c>
      <c r="K16" s="15">
        <v>5848.49</v>
      </c>
      <c r="L16" s="15">
        <v>5904.27</v>
      </c>
      <c r="M16" s="15">
        <v>5282.59</v>
      </c>
      <c r="N16" s="15">
        <v>5011.87</v>
      </c>
      <c r="O16" s="15">
        <v>4410.33</v>
      </c>
    </row>
    <row r="17" spans="1:15" x14ac:dyDescent="0.75">
      <c r="A17">
        <v>1361</v>
      </c>
      <c r="B17" t="s">
        <v>624</v>
      </c>
      <c r="C17" t="s">
        <v>1250</v>
      </c>
      <c r="D17" s="15">
        <v>118.5</v>
      </c>
      <c r="E17" s="15">
        <v>283.5</v>
      </c>
      <c r="F17" s="15">
        <v>1530</v>
      </c>
      <c r="G17" s="15">
        <v>448</v>
      </c>
      <c r="H17" s="15">
        <v>360</v>
      </c>
      <c r="I17" s="15">
        <v>810</v>
      </c>
      <c r="J17" s="15">
        <v>0</v>
      </c>
      <c r="K17" s="15">
        <v>931</v>
      </c>
      <c r="L17" s="15">
        <v>2686</v>
      </c>
      <c r="M17" s="15">
        <v>1617</v>
      </c>
      <c r="N17" s="15">
        <v>784</v>
      </c>
      <c r="O17" s="15">
        <v>0</v>
      </c>
    </row>
    <row r="18" spans="1:15" x14ac:dyDescent="0.75">
      <c r="A18">
        <v>1809</v>
      </c>
      <c r="B18" t="s">
        <v>625</v>
      </c>
      <c r="C18" t="s">
        <v>626</v>
      </c>
      <c r="D18" s="15">
        <v>1239.1400000000001</v>
      </c>
      <c r="E18" s="15">
        <v>905.11</v>
      </c>
      <c r="F18" s="15">
        <v>1121.3699999999999</v>
      </c>
      <c r="G18" s="15">
        <v>1125.6099999999999</v>
      </c>
      <c r="H18" s="15">
        <v>1326.01</v>
      </c>
      <c r="I18" s="15">
        <v>375.27</v>
      </c>
      <c r="J18" s="15">
        <v>410.6</v>
      </c>
      <c r="K18" s="15">
        <v>365.14</v>
      </c>
      <c r="L18" s="15">
        <v>422</v>
      </c>
      <c r="M18" s="15">
        <v>400.8</v>
      </c>
      <c r="N18" s="15">
        <v>398.19</v>
      </c>
      <c r="O18" s="15">
        <v>396.5</v>
      </c>
    </row>
    <row r="19" spans="1:15" x14ac:dyDescent="0.75">
      <c r="A19">
        <v>1811</v>
      </c>
      <c r="B19" t="s">
        <v>627</v>
      </c>
      <c r="C19" t="s">
        <v>628</v>
      </c>
      <c r="D19" s="15">
        <v>4227.97</v>
      </c>
      <c r="E19" s="15">
        <v>3089.07</v>
      </c>
      <c r="F19" s="15">
        <v>2953.4</v>
      </c>
      <c r="G19" s="15">
        <v>2964.56</v>
      </c>
      <c r="H19" s="15">
        <v>2982.34</v>
      </c>
      <c r="I19" s="15">
        <v>1250.29</v>
      </c>
      <c r="J19" s="15">
        <v>1367.99</v>
      </c>
      <c r="K19" s="15">
        <v>1216.51</v>
      </c>
      <c r="L19" s="15">
        <v>1405.96</v>
      </c>
      <c r="M19" s="15">
        <v>1335.34</v>
      </c>
      <c r="N19" s="15">
        <v>1326.66</v>
      </c>
      <c r="O19" s="15">
        <v>1321.05</v>
      </c>
    </row>
    <row r="20" spans="1:15" x14ac:dyDescent="0.75">
      <c r="A20">
        <v>1812</v>
      </c>
      <c r="B20" t="s">
        <v>1027</v>
      </c>
      <c r="C20" t="s">
        <v>970</v>
      </c>
      <c r="D20" s="15">
        <v>4516.09</v>
      </c>
      <c r="E20" s="15">
        <v>4545.8100000000004</v>
      </c>
      <c r="F20" s="15">
        <v>4346.16</v>
      </c>
      <c r="G20" s="15">
        <v>4362.58</v>
      </c>
      <c r="H20" s="15">
        <v>4316.5200000000004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</row>
    <row r="21" spans="1:15" x14ac:dyDescent="0.75">
      <c r="A21" s="28">
        <v>1867</v>
      </c>
      <c r="B21" s="28" t="s">
        <v>971</v>
      </c>
      <c r="C21" s="28" t="s">
        <v>972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65877.75</v>
      </c>
      <c r="J21" s="29">
        <v>75617.279999999999</v>
      </c>
      <c r="K21" s="29">
        <v>88369.68</v>
      </c>
      <c r="L21" s="29">
        <v>73803.5</v>
      </c>
      <c r="M21" s="29">
        <v>77042.100000000006</v>
      </c>
      <c r="N21" s="29">
        <v>69580.259999999995</v>
      </c>
      <c r="O21" s="29">
        <v>69118.28</v>
      </c>
    </row>
    <row r="22" spans="1:15" x14ac:dyDescent="0.75">
      <c r="A22">
        <v>1868</v>
      </c>
      <c r="B22" t="s">
        <v>973</v>
      </c>
      <c r="C22" t="s">
        <v>606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34941.699999999997</v>
      </c>
      <c r="J22" s="15">
        <v>41571.129999999997</v>
      </c>
      <c r="K22" s="15">
        <v>44190.25</v>
      </c>
      <c r="L22" s="15">
        <v>38461.15</v>
      </c>
      <c r="M22" s="15">
        <v>38340.230000000003</v>
      </c>
      <c r="N22" s="15">
        <v>36209.5</v>
      </c>
      <c r="O22" s="15">
        <v>36309.050000000003</v>
      </c>
    </row>
    <row r="23" spans="1:15" x14ac:dyDescent="0.75">
      <c r="A23">
        <v>1870</v>
      </c>
      <c r="B23" t="s">
        <v>974</v>
      </c>
      <c r="C23" t="s">
        <v>608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1500</v>
      </c>
      <c r="J23" s="15">
        <v>1145</v>
      </c>
      <c r="K23" s="15">
        <v>2136</v>
      </c>
      <c r="L23" s="15">
        <v>1934.9</v>
      </c>
      <c r="M23" s="15">
        <v>1032.6500000000001</v>
      </c>
      <c r="N23" s="15">
        <v>1250</v>
      </c>
      <c r="O23" s="15">
        <v>1200</v>
      </c>
    </row>
    <row r="24" spans="1:15" x14ac:dyDescent="0.75">
      <c r="A24">
        <v>1871</v>
      </c>
      <c r="B24" t="s">
        <v>975</v>
      </c>
      <c r="C24" t="s">
        <v>610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3844.26</v>
      </c>
      <c r="J24" s="15">
        <v>4138.9799999999996</v>
      </c>
      <c r="K24" s="15">
        <v>4386.6099999999997</v>
      </c>
      <c r="L24" s="15">
        <v>3744.05</v>
      </c>
      <c r="M24" s="15">
        <v>4114.99</v>
      </c>
      <c r="N24" s="15">
        <v>4499.3</v>
      </c>
      <c r="O24" s="15">
        <v>4511.67</v>
      </c>
    </row>
    <row r="25" spans="1:15" x14ac:dyDescent="0.75">
      <c r="A25">
        <v>1872</v>
      </c>
      <c r="B25" t="s">
        <v>976</v>
      </c>
      <c r="C25" t="s">
        <v>612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3763.66</v>
      </c>
      <c r="J25" s="15">
        <v>5999.57</v>
      </c>
      <c r="K25" s="15">
        <v>5631.9</v>
      </c>
      <c r="L25" s="15">
        <v>4858.59</v>
      </c>
      <c r="M25" s="15">
        <v>5990.16</v>
      </c>
      <c r="N25" s="15">
        <v>5657.26</v>
      </c>
      <c r="O25" s="15">
        <v>4820.7700000000004</v>
      </c>
    </row>
    <row r="26" spans="1:15" x14ac:dyDescent="0.75">
      <c r="A26">
        <v>1873</v>
      </c>
      <c r="B26" t="s">
        <v>977</v>
      </c>
      <c r="C26" t="s">
        <v>970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12879.5</v>
      </c>
      <c r="J26" s="15">
        <v>14014.67</v>
      </c>
      <c r="K26" s="15">
        <v>14310.87</v>
      </c>
      <c r="L26" s="15">
        <v>13003.46</v>
      </c>
      <c r="M26" s="15">
        <v>12849.1</v>
      </c>
      <c r="N26" s="15">
        <v>13517.03</v>
      </c>
      <c r="O26" s="15">
        <v>12909.98</v>
      </c>
    </row>
    <row r="27" spans="1:15" x14ac:dyDescent="0.75">
      <c r="A27">
        <v>1874</v>
      </c>
      <c r="B27" t="s">
        <v>978</v>
      </c>
      <c r="C27" t="s">
        <v>615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3680.63</v>
      </c>
      <c r="J27" s="15">
        <v>4090.21</v>
      </c>
      <c r="K27" s="15">
        <v>3593.51</v>
      </c>
      <c r="L27" s="15">
        <v>3531.63</v>
      </c>
      <c r="M27" s="15">
        <v>3605.45</v>
      </c>
      <c r="N27" s="15">
        <v>3961.04</v>
      </c>
      <c r="O27" s="15">
        <v>3782.99</v>
      </c>
    </row>
    <row r="28" spans="1:15" x14ac:dyDescent="0.75">
      <c r="A28">
        <v>1875</v>
      </c>
      <c r="B28" t="s">
        <v>979</v>
      </c>
      <c r="C28" t="s">
        <v>617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70.22</v>
      </c>
      <c r="J28" s="15">
        <v>23.41</v>
      </c>
      <c r="K28" s="15">
        <v>9135.14</v>
      </c>
      <c r="L28" s="15">
        <v>3069.17</v>
      </c>
      <c r="M28" s="15">
        <v>6352.61</v>
      </c>
      <c r="N28" s="15">
        <v>0</v>
      </c>
      <c r="O28" s="15">
        <v>0</v>
      </c>
    </row>
    <row r="29" spans="1:15" x14ac:dyDescent="0.75">
      <c r="A29">
        <v>1876</v>
      </c>
      <c r="B29" t="s">
        <v>980</v>
      </c>
      <c r="C29" t="s">
        <v>619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4611.7</v>
      </c>
      <c r="J29" s="15">
        <v>4235.54</v>
      </c>
      <c r="K29" s="15">
        <v>4216.8100000000004</v>
      </c>
      <c r="L29" s="15">
        <v>4207.1499999999996</v>
      </c>
      <c r="M29" s="15">
        <v>4114.3900000000003</v>
      </c>
      <c r="N29" s="15">
        <v>4207.1499999999996</v>
      </c>
      <c r="O29" s="15">
        <v>5112.32</v>
      </c>
    </row>
    <row r="30" spans="1:15" x14ac:dyDescent="0.75">
      <c r="A30">
        <v>1877</v>
      </c>
      <c r="B30" t="s">
        <v>981</v>
      </c>
      <c r="C30" t="s">
        <v>620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586.08000000000004</v>
      </c>
      <c r="J30" s="15">
        <v>398.77</v>
      </c>
      <c r="K30" s="15">
        <v>768.59</v>
      </c>
      <c r="L30" s="15">
        <v>993.4</v>
      </c>
      <c r="M30" s="15">
        <v>642.52</v>
      </c>
      <c r="N30" s="15">
        <v>278.98</v>
      </c>
      <c r="O30" s="15">
        <v>471.5</v>
      </c>
    </row>
    <row r="31" spans="1:15" x14ac:dyDescent="0.75">
      <c r="A31" s="28">
        <v>514</v>
      </c>
      <c r="B31" s="28" t="s">
        <v>629</v>
      </c>
      <c r="C31" s="28" t="s">
        <v>630</v>
      </c>
      <c r="D31" s="29">
        <v>710.32</v>
      </c>
      <c r="E31" s="29">
        <v>459.04</v>
      </c>
      <c r="F31" s="29">
        <v>352.54</v>
      </c>
      <c r="G31" s="29">
        <v>8374.4500000000007</v>
      </c>
      <c r="H31" s="29">
        <v>238.68</v>
      </c>
      <c r="I31" s="29">
        <v>81.010000000000005</v>
      </c>
      <c r="J31" s="29">
        <v>406.53</v>
      </c>
      <c r="K31" s="29">
        <v>255.62</v>
      </c>
      <c r="L31" s="29">
        <v>238.67</v>
      </c>
      <c r="M31" s="29">
        <v>488.14</v>
      </c>
      <c r="N31" s="29">
        <v>236.6</v>
      </c>
      <c r="O31" s="29">
        <v>324.64</v>
      </c>
    </row>
    <row r="32" spans="1:15" x14ac:dyDescent="0.75">
      <c r="A32" s="28">
        <v>515</v>
      </c>
      <c r="B32" s="28" t="s">
        <v>631</v>
      </c>
      <c r="C32" s="28" t="s">
        <v>632</v>
      </c>
      <c r="D32" s="29">
        <v>710.32</v>
      </c>
      <c r="E32" s="29">
        <v>459.04</v>
      </c>
      <c r="F32" s="29">
        <v>352.54</v>
      </c>
      <c r="G32" s="29">
        <v>8374.4500000000007</v>
      </c>
      <c r="H32" s="29">
        <v>238.68</v>
      </c>
      <c r="I32" s="29">
        <v>81.010000000000005</v>
      </c>
      <c r="J32" s="29">
        <v>406.53</v>
      </c>
      <c r="K32" s="29">
        <v>255.62</v>
      </c>
      <c r="L32" s="29">
        <v>238.67</v>
      </c>
      <c r="M32" s="29">
        <v>488.14</v>
      </c>
      <c r="N32" s="29">
        <v>236.6</v>
      </c>
      <c r="O32" s="29">
        <v>324.64</v>
      </c>
    </row>
    <row r="33" spans="1:16" x14ac:dyDescent="0.75">
      <c r="A33">
        <v>518</v>
      </c>
      <c r="B33" t="s">
        <v>633</v>
      </c>
      <c r="C33" t="s">
        <v>634</v>
      </c>
      <c r="D33" s="15">
        <v>710.32</v>
      </c>
      <c r="E33" s="15">
        <v>459.04</v>
      </c>
      <c r="F33" s="15">
        <v>352.54</v>
      </c>
      <c r="G33" s="15">
        <v>8374.4500000000007</v>
      </c>
      <c r="H33" s="15">
        <v>238.68</v>
      </c>
      <c r="I33" s="15">
        <v>81.010000000000005</v>
      </c>
      <c r="J33" s="15">
        <v>406.53</v>
      </c>
      <c r="K33" s="15">
        <v>255.62</v>
      </c>
      <c r="L33" s="15">
        <v>238.67</v>
      </c>
      <c r="M33" s="15">
        <v>488.14</v>
      </c>
      <c r="N33" s="15">
        <v>236.6</v>
      </c>
      <c r="O33" s="15">
        <v>324.64</v>
      </c>
    </row>
    <row r="34" spans="1:16" x14ac:dyDescent="0.75">
      <c r="A34" s="28">
        <v>468</v>
      </c>
      <c r="B34" s="28" t="s">
        <v>635</v>
      </c>
      <c r="C34" s="28" t="s">
        <v>636</v>
      </c>
      <c r="D34" s="29">
        <v>1200432.54</v>
      </c>
      <c r="E34" s="29">
        <v>1215059.3600000001</v>
      </c>
      <c r="F34" s="29">
        <v>1121335.74</v>
      </c>
      <c r="G34" s="29">
        <v>1080659.1000000001</v>
      </c>
      <c r="H34" s="29">
        <v>1050929.94</v>
      </c>
      <c r="I34" s="29">
        <v>986420.36</v>
      </c>
      <c r="J34" s="29">
        <v>1154479.1100000001</v>
      </c>
      <c r="K34" s="29">
        <v>1126342.32</v>
      </c>
      <c r="L34" s="29">
        <v>775027.56</v>
      </c>
      <c r="M34" s="29">
        <v>718761.3</v>
      </c>
      <c r="N34" s="29">
        <v>793399.96</v>
      </c>
      <c r="O34" s="29">
        <v>703574.58</v>
      </c>
    </row>
    <row r="35" spans="1:16" x14ac:dyDescent="0.75">
      <c r="A35" s="28">
        <v>469</v>
      </c>
      <c r="B35" s="28" t="s">
        <v>637</v>
      </c>
      <c r="C35" s="28" t="s">
        <v>636</v>
      </c>
      <c r="D35" s="29">
        <v>1200432.54</v>
      </c>
      <c r="E35" s="29">
        <v>1215059.3600000001</v>
      </c>
      <c r="F35" s="29">
        <v>1121335.74</v>
      </c>
      <c r="G35" s="29">
        <v>1080659.1000000001</v>
      </c>
      <c r="H35" s="29">
        <v>1050929.94</v>
      </c>
      <c r="I35" s="29">
        <v>986420.36</v>
      </c>
      <c r="J35" s="29">
        <v>1154479.1100000001</v>
      </c>
      <c r="K35" s="29">
        <v>1126342.32</v>
      </c>
      <c r="L35" s="29">
        <v>775027.56</v>
      </c>
      <c r="M35" s="29">
        <v>718761.3</v>
      </c>
      <c r="N35" s="29">
        <v>793399.96</v>
      </c>
      <c r="O35" s="29">
        <v>703574.58</v>
      </c>
    </row>
    <row r="36" spans="1:16" x14ac:dyDescent="0.75">
      <c r="A36">
        <v>470</v>
      </c>
      <c r="B36" t="s">
        <v>638</v>
      </c>
      <c r="C36" t="s">
        <v>636</v>
      </c>
      <c r="D36" s="15">
        <v>1112847.33</v>
      </c>
      <c r="E36" s="15">
        <v>1123705.28</v>
      </c>
      <c r="F36" s="15">
        <v>1073578.43</v>
      </c>
      <c r="G36" s="15">
        <v>999495.24</v>
      </c>
      <c r="H36" s="15">
        <v>1006390.77</v>
      </c>
      <c r="I36" s="15">
        <v>920028.58</v>
      </c>
      <c r="J36" s="15">
        <v>1088497.78</v>
      </c>
      <c r="K36" s="15">
        <v>1073094.06</v>
      </c>
      <c r="L36" s="15">
        <v>746986.28</v>
      </c>
      <c r="M36" s="15">
        <v>682468.82</v>
      </c>
      <c r="N36" s="15">
        <v>753027.03</v>
      </c>
      <c r="O36" s="15">
        <v>656017.27</v>
      </c>
    </row>
    <row r="37" spans="1:16" x14ac:dyDescent="0.75">
      <c r="A37">
        <v>1646</v>
      </c>
      <c r="B37" t="s">
        <v>639</v>
      </c>
      <c r="C37" t="s">
        <v>640</v>
      </c>
      <c r="D37" s="15">
        <v>87585.21</v>
      </c>
      <c r="E37" s="15">
        <v>91354.08</v>
      </c>
      <c r="F37" s="15">
        <v>47757.31</v>
      </c>
      <c r="G37" s="15">
        <v>81163.86</v>
      </c>
      <c r="H37" s="15">
        <v>44539.17</v>
      </c>
      <c r="I37" s="15">
        <v>66391.78</v>
      </c>
      <c r="J37" s="15">
        <v>65981.33</v>
      </c>
      <c r="K37" s="15">
        <v>53248.26</v>
      </c>
      <c r="L37" s="15">
        <v>28041.279999999999</v>
      </c>
      <c r="M37" s="15">
        <v>36292.480000000003</v>
      </c>
      <c r="N37" s="15">
        <v>40372.93</v>
      </c>
      <c r="O37" s="15">
        <v>47557.31</v>
      </c>
    </row>
    <row r="38" spans="1:16" x14ac:dyDescent="0.75">
      <c r="A38" s="28">
        <v>295</v>
      </c>
      <c r="B38" s="28" t="s">
        <v>641</v>
      </c>
      <c r="C38" s="28" t="s">
        <v>642</v>
      </c>
      <c r="D38" s="29">
        <v>482823.23</v>
      </c>
      <c r="E38" s="29">
        <v>506232.29</v>
      </c>
      <c r="F38" s="29">
        <v>464254.27</v>
      </c>
      <c r="G38" s="29">
        <v>525047.02</v>
      </c>
      <c r="H38" s="29">
        <v>517480.18</v>
      </c>
      <c r="I38" s="29">
        <v>503781.56</v>
      </c>
      <c r="J38" s="29">
        <v>506277.76</v>
      </c>
      <c r="K38" s="29">
        <v>509554.9</v>
      </c>
      <c r="L38" s="29">
        <v>488710.16</v>
      </c>
      <c r="M38" s="29">
        <v>559998.84</v>
      </c>
      <c r="N38" s="29">
        <v>505634.69</v>
      </c>
      <c r="O38" s="29">
        <v>484198.84</v>
      </c>
      <c r="P38" s="15"/>
    </row>
    <row r="39" spans="1:16" x14ac:dyDescent="0.75">
      <c r="A39" s="28">
        <v>296</v>
      </c>
      <c r="B39" s="28" t="s">
        <v>643</v>
      </c>
      <c r="C39" s="28" t="s">
        <v>644</v>
      </c>
      <c r="D39" s="29">
        <v>359370.54</v>
      </c>
      <c r="E39" s="29">
        <v>367307.93</v>
      </c>
      <c r="F39" s="29">
        <v>333416.67</v>
      </c>
      <c r="G39" s="29">
        <v>390635.01</v>
      </c>
      <c r="H39" s="29">
        <v>376714.05</v>
      </c>
      <c r="I39" s="29">
        <v>361589.57</v>
      </c>
      <c r="J39" s="29">
        <v>345309.78</v>
      </c>
      <c r="K39" s="29">
        <v>334564</v>
      </c>
      <c r="L39" s="29">
        <v>320117.05</v>
      </c>
      <c r="M39" s="29">
        <v>351836.76</v>
      </c>
      <c r="N39" s="29">
        <v>317414.15999999997</v>
      </c>
      <c r="O39" s="29">
        <v>314316.59999999998</v>
      </c>
    </row>
    <row r="40" spans="1:16" x14ac:dyDescent="0.75">
      <c r="A40" s="28">
        <v>311</v>
      </c>
      <c r="B40" s="28" t="s">
        <v>645</v>
      </c>
      <c r="C40" s="28" t="s">
        <v>646</v>
      </c>
      <c r="D40" s="29">
        <v>359370.54</v>
      </c>
      <c r="E40" s="29">
        <v>367307.93</v>
      </c>
      <c r="F40" s="29">
        <v>333416.67</v>
      </c>
      <c r="G40" s="29">
        <v>390635.01</v>
      </c>
      <c r="H40" s="29">
        <v>376714.05</v>
      </c>
      <c r="I40" s="29">
        <v>361589.57</v>
      </c>
      <c r="J40" s="29">
        <v>345309.78</v>
      </c>
      <c r="K40" s="29">
        <v>334564</v>
      </c>
      <c r="L40" s="29">
        <v>320117.05</v>
      </c>
      <c r="M40" s="29">
        <v>351836.76</v>
      </c>
      <c r="N40" s="29">
        <v>317414.15999999997</v>
      </c>
      <c r="O40" s="29">
        <v>314316.59999999998</v>
      </c>
    </row>
    <row r="41" spans="1:16" x14ac:dyDescent="0.75">
      <c r="A41">
        <v>312</v>
      </c>
      <c r="B41" t="s">
        <v>647</v>
      </c>
      <c r="C41" t="s">
        <v>648</v>
      </c>
      <c r="D41" s="15">
        <v>123712.24</v>
      </c>
      <c r="E41" s="15">
        <v>117004.39</v>
      </c>
      <c r="F41" s="15">
        <v>106459.87</v>
      </c>
      <c r="G41" s="15">
        <v>115531.6</v>
      </c>
      <c r="H41" s="15">
        <v>108219.27</v>
      </c>
      <c r="I41" s="15">
        <v>111701.24</v>
      </c>
      <c r="J41" s="15">
        <v>116986.62</v>
      </c>
      <c r="K41" s="15">
        <v>113459.9</v>
      </c>
      <c r="L41" s="15">
        <v>130456.84</v>
      </c>
      <c r="M41" s="15">
        <v>111009.25</v>
      </c>
      <c r="N41" s="15">
        <v>106275.92</v>
      </c>
      <c r="O41" s="15">
        <v>97672.04</v>
      </c>
    </row>
    <row r="42" spans="1:16" x14ac:dyDescent="0.75">
      <c r="A42">
        <v>677</v>
      </c>
      <c r="B42" t="s">
        <v>649</v>
      </c>
      <c r="C42" t="s">
        <v>650</v>
      </c>
      <c r="D42" s="15">
        <v>25298.9</v>
      </c>
      <c r="E42" s="15">
        <v>29989.3</v>
      </c>
      <c r="F42" s="15">
        <v>31167.66</v>
      </c>
      <c r="G42" s="15">
        <v>33804.79</v>
      </c>
      <c r="H42" s="15">
        <v>34047.85</v>
      </c>
      <c r="I42" s="15">
        <v>32971.96</v>
      </c>
      <c r="J42" s="15">
        <v>33553.019999999997</v>
      </c>
      <c r="K42" s="15">
        <v>31483.279999999999</v>
      </c>
      <c r="L42" s="15">
        <v>31069.37</v>
      </c>
      <c r="M42" s="15">
        <v>24104.31</v>
      </c>
      <c r="N42" s="15">
        <v>30205.85</v>
      </c>
      <c r="O42" s="15">
        <v>28606.33</v>
      </c>
    </row>
    <row r="43" spans="1:16" x14ac:dyDescent="0.75">
      <c r="A43">
        <v>1316</v>
      </c>
      <c r="B43" t="s">
        <v>651</v>
      </c>
      <c r="C43" t="s">
        <v>652</v>
      </c>
      <c r="D43" s="15">
        <v>266.57</v>
      </c>
      <c r="E43" s="15">
        <v>1275.23</v>
      </c>
      <c r="F43" s="15">
        <v>4937</v>
      </c>
      <c r="G43" s="15">
        <v>2365.21</v>
      </c>
      <c r="H43" s="15">
        <v>611</v>
      </c>
      <c r="I43" s="15">
        <v>338.76</v>
      </c>
      <c r="J43" s="15">
        <v>261.69</v>
      </c>
      <c r="K43" s="15">
        <v>601.96</v>
      </c>
      <c r="L43" s="15">
        <v>223.1</v>
      </c>
      <c r="M43" s="15">
        <v>4177.5200000000004</v>
      </c>
      <c r="N43" s="15">
        <v>1649.07</v>
      </c>
      <c r="O43" s="15">
        <v>3326.74</v>
      </c>
    </row>
    <row r="44" spans="1:16" x14ac:dyDescent="0.75">
      <c r="A44">
        <v>1353</v>
      </c>
      <c r="B44" t="s">
        <v>653</v>
      </c>
      <c r="C44" t="s">
        <v>654</v>
      </c>
      <c r="D44" s="15">
        <v>4514.13</v>
      </c>
      <c r="E44" s="15">
        <v>8261.2800000000007</v>
      </c>
      <c r="F44" s="15">
        <v>10366.07</v>
      </c>
      <c r="G44" s="15">
        <v>9523.57</v>
      </c>
      <c r="H44" s="15">
        <v>8844.8700000000008</v>
      </c>
      <c r="I44" s="15">
        <v>7981.75</v>
      </c>
      <c r="J44" s="15">
        <v>8289.0499999999993</v>
      </c>
      <c r="K44" s="15">
        <v>12043.41</v>
      </c>
      <c r="L44" s="15">
        <v>8128.73</v>
      </c>
      <c r="M44" s="15">
        <v>8411.99</v>
      </c>
      <c r="N44" s="15">
        <v>7486.09</v>
      </c>
      <c r="O44" s="15">
        <v>9587.15</v>
      </c>
    </row>
    <row r="45" spans="1:16" x14ac:dyDescent="0.75">
      <c r="A45">
        <v>1385</v>
      </c>
      <c r="B45" t="s">
        <v>655</v>
      </c>
      <c r="C45" t="s">
        <v>656</v>
      </c>
      <c r="D45" s="15">
        <v>21472.5</v>
      </c>
      <c r="E45" s="15">
        <v>21340.53</v>
      </c>
      <c r="F45" s="15">
        <v>21761.200000000001</v>
      </c>
      <c r="G45" s="15">
        <v>20421.88</v>
      </c>
      <c r="H45" s="15">
        <v>19211.080000000002</v>
      </c>
      <c r="I45" s="15">
        <v>18232.79</v>
      </c>
      <c r="J45" s="15">
        <v>11351.61</v>
      </c>
      <c r="K45" s="15">
        <v>9889.36</v>
      </c>
      <c r="L45" s="15">
        <v>10848.26</v>
      </c>
      <c r="M45" s="15">
        <v>16314.92</v>
      </c>
      <c r="N45" s="15">
        <v>2566.5700000000002</v>
      </c>
      <c r="O45" s="15">
        <v>12775.49</v>
      </c>
    </row>
    <row r="46" spans="1:16" x14ac:dyDescent="0.75">
      <c r="A46">
        <v>1596</v>
      </c>
      <c r="B46" t="s">
        <v>657</v>
      </c>
      <c r="C46" t="s">
        <v>658</v>
      </c>
      <c r="D46" s="15">
        <v>419.07</v>
      </c>
      <c r="E46" s="15">
        <v>419.07</v>
      </c>
      <c r="F46" s="15">
        <v>419.07</v>
      </c>
      <c r="G46" s="15">
        <v>419.07</v>
      </c>
      <c r="H46" s="15">
        <v>419.07</v>
      </c>
      <c r="I46" s="15">
        <v>419.07</v>
      </c>
      <c r="J46" s="15">
        <v>419.07</v>
      </c>
      <c r="K46" s="15">
        <v>419.07</v>
      </c>
      <c r="L46" s="15">
        <v>419.07</v>
      </c>
      <c r="M46" s="15">
        <v>419.07</v>
      </c>
      <c r="N46" s="15">
        <v>1366.14</v>
      </c>
      <c r="O46" s="15">
        <v>419.07</v>
      </c>
    </row>
    <row r="47" spans="1:16" x14ac:dyDescent="0.75">
      <c r="A47">
        <v>1639</v>
      </c>
      <c r="B47" t="s">
        <v>659</v>
      </c>
      <c r="C47" t="s">
        <v>660</v>
      </c>
      <c r="D47" s="15">
        <v>183687.13</v>
      </c>
      <c r="E47" s="15">
        <v>189018.13</v>
      </c>
      <c r="F47" s="15">
        <v>158305.79999999999</v>
      </c>
      <c r="G47" s="15">
        <v>208568.89</v>
      </c>
      <c r="H47" s="15">
        <v>205360.91</v>
      </c>
      <c r="I47" s="15">
        <v>189944</v>
      </c>
      <c r="J47" s="15">
        <v>174448.72</v>
      </c>
      <c r="K47" s="15">
        <v>166667.01999999999</v>
      </c>
      <c r="L47" s="15">
        <v>138971.68</v>
      </c>
      <c r="M47" s="15">
        <v>187399.7</v>
      </c>
      <c r="N47" s="15">
        <v>167864.52</v>
      </c>
      <c r="O47" s="15">
        <v>161929.78</v>
      </c>
    </row>
    <row r="48" spans="1:16" x14ac:dyDescent="0.75">
      <c r="A48" s="28">
        <v>329</v>
      </c>
      <c r="B48" s="28" t="s">
        <v>661</v>
      </c>
      <c r="C48" s="28" t="s">
        <v>662</v>
      </c>
      <c r="D48" s="29">
        <v>123452.69</v>
      </c>
      <c r="E48" s="29">
        <v>138924.35999999999</v>
      </c>
      <c r="F48" s="29">
        <v>130837.6</v>
      </c>
      <c r="G48" s="29">
        <v>134412.01</v>
      </c>
      <c r="H48" s="29">
        <v>140766.13</v>
      </c>
      <c r="I48" s="29">
        <v>142191.99</v>
      </c>
      <c r="J48" s="29">
        <v>160967.98000000001</v>
      </c>
      <c r="K48" s="29">
        <v>174990.9</v>
      </c>
      <c r="L48" s="29">
        <v>168593.11</v>
      </c>
      <c r="M48" s="29">
        <v>208162.08</v>
      </c>
      <c r="N48" s="29">
        <v>188220.53</v>
      </c>
      <c r="O48" s="29">
        <v>169882.23999999999</v>
      </c>
      <c r="P48" s="15"/>
    </row>
    <row r="49" spans="1:17" x14ac:dyDescent="0.75">
      <c r="A49" s="28">
        <v>330</v>
      </c>
      <c r="B49" s="28" t="s">
        <v>663</v>
      </c>
      <c r="C49" s="28" t="s">
        <v>982</v>
      </c>
      <c r="D49" s="29">
        <v>32366.77</v>
      </c>
      <c r="E49" s="29">
        <v>29123.08</v>
      </c>
      <c r="F49" s="29">
        <v>29671.57</v>
      </c>
      <c r="G49" s="29">
        <v>26719.200000000001</v>
      </c>
      <c r="H49" s="29">
        <v>28726.14</v>
      </c>
      <c r="I49" s="29">
        <v>24893.61</v>
      </c>
      <c r="J49" s="29">
        <v>33242.019999999997</v>
      </c>
      <c r="K49" s="29">
        <v>28043.64</v>
      </c>
      <c r="L49" s="29">
        <v>28254</v>
      </c>
      <c r="M49" s="29">
        <v>30230.52</v>
      </c>
      <c r="N49" s="29">
        <v>32550.5</v>
      </c>
      <c r="O49" s="29">
        <v>31722.65</v>
      </c>
      <c r="P49" s="15"/>
    </row>
    <row r="50" spans="1:17" x14ac:dyDescent="0.75">
      <c r="A50">
        <v>298</v>
      </c>
      <c r="B50" t="s">
        <v>664</v>
      </c>
      <c r="C50" t="s">
        <v>606</v>
      </c>
      <c r="D50" s="15">
        <v>15869.43</v>
      </c>
      <c r="E50" s="15">
        <v>15987.16</v>
      </c>
      <c r="F50" s="15">
        <v>16102.44</v>
      </c>
      <c r="G50" s="15">
        <v>14932.04</v>
      </c>
      <c r="H50" s="15">
        <v>15598.86</v>
      </c>
      <c r="I50" s="15">
        <v>9951.82</v>
      </c>
      <c r="J50" s="15">
        <v>16373.89</v>
      </c>
      <c r="K50" s="15">
        <v>12944.24</v>
      </c>
      <c r="L50" s="15">
        <v>12558.74</v>
      </c>
      <c r="M50" s="15">
        <v>13932.18</v>
      </c>
      <c r="N50" s="15">
        <v>15081.76</v>
      </c>
      <c r="O50" s="15">
        <v>14491.76</v>
      </c>
    </row>
    <row r="51" spans="1:17" x14ac:dyDescent="0.75">
      <c r="A51">
        <v>301</v>
      </c>
      <c r="B51" t="s">
        <v>665</v>
      </c>
      <c r="C51" t="s">
        <v>610</v>
      </c>
      <c r="D51" s="15">
        <v>1502.88</v>
      </c>
      <c r="E51" s="15">
        <v>1433.54</v>
      </c>
      <c r="F51" s="15">
        <v>1563.7</v>
      </c>
      <c r="G51" s="15">
        <v>1042.18</v>
      </c>
      <c r="H51" s="15">
        <v>1254.4000000000001</v>
      </c>
      <c r="I51" s="15">
        <v>1391.47</v>
      </c>
      <c r="J51" s="15">
        <v>1835.64</v>
      </c>
      <c r="K51" s="15">
        <v>1229.49</v>
      </c>
      <c r="L51" s="15">
        <v>1229.49</v>
      </c>
      <c r="M51" s="15">
        <v>1061.22</v>
      </c>
      <c r="N51" s="15">
        <v>1148.78</v>
      </c>
      <c r="O51" s="15">
        <v>1257.1099999999999</v>
      </c>
    </row>
    <row r="52" spans="1:17" x14ac:dyDescent="0.75">
      <c r="A52">
        <v>302</v>
      </c>
      <c r="B52" t="s">
        <v>666</v>
      </c>
      <c r="C52" t="s">
        <v>612</v>
      </c>
      <c r="D52" s="15">
        <v>4210.55</v>
      </c>
      <c r="E52" s="15">
        <v>3240.22</v>
      </c>
      <c r="F52" s="15">
        <v>3163.04</v>
      </c>
      <c r="G52" s="15">
        <v>2810.44</v>
      </c>
      <c r="H52" s="15">
        <v>3033.91</v>
      </c>
      <c r="I52" s="15">
        <v>3937.96</v>
      </c>
      <c r="J52" s="15">
        <v>4670.34</v>
      </c>
      <c r="K52" s="15">
        <v>4428.3900000000003</v>
      </c>
      <c r="L52" s="15">
        <v>5174.99</v>
      </c>
      <c r="M52" s="15">
        <v>5740.94</v>
      </c>
      <c r="N52" s="15">
        <v>6214.64</v>
      </c>
      <c r="O52" s="15">
        <v>5971.52</v>
      </c>
    </row>
    <row r="53" spans="1:17" x14ac:dyDescent="0.75">
      <c r="A53">
        <v>303</v>
      </c>
      <c r="B53" t="s">
        <v>667</v>
      </c>
      <c r="C53" t="s">
        <v>1007</v>
      </c>
      <c r="D53" s="15">
        <v>5517.31</v>
      </c>
      <c r="E53" s="15">
        <v>3508.23</v>
      </c>
      <c r="F53" s="15">
        <v>3533.53</v>
      </c>
      <c r="G53" s="15">
        <v>2559.91</v>
      </c>
      <c r="H53" s="15">
        <v>2485.3200000000002</v>
      </c>
      <c r="I53" s="15">
        <v>1945.2</v>
      </c>
      <c r="J53" s="15">
        <v>1245.29</v>
      </c>
      <c r="K53" s="15">
        <v>1342.39</v>
      </c>
      <c r="L53" s="15">
        <v>1115.79</v>
      </c>
      <c r="M53" s="15">
        <v>1237.81</v>
      </c>
      <c r="N53" s="15">
        <v>1339.94</v>
      </c>
      <c r="O53" s="15">
        <v>1287.52</v>
      </c>
      <c r="Q53" s="15"/>
    </row>
    <row r="54" spans="1:17" x14ac:dyDescent="0.75">
      <c r="A54">
        <v>304</v>
      </c>
      <c r="B54" t="s">
        <v>668</v>
      </c>
      <c r="C54" t="s">
        <v>615</v>
      </c>
      <c r="D54" s="15">
        <v>1425.59</v>
      </c>
      <c r="E54" s="15">
        <v>1088.83</v>
      </c>
      <c r="F54" s="15">
        <v>1131.78</v>
      </c>
      <c r="G54" s="15">
        <v>1049.53</v>
      </c>
      <c r="H54" s="15">
        <v>2257.88</v>
      </c>
      <c r="I54" s="15">
        <v>4283.55</v>
      </c>
      <c r="J54" s="15">
        <v>5790.4</v>
      </c>
      <c r="K54" s="15">
        <v>5024.53</v>
      </c>
      <c r="L54" s="15">
        <v>4885.21</v>
      </c>
      <c r="M54" s="15">
        <v>4819.01</v>
      </c>
      <c r="N54" s="15">
        <v>5701.06</v>
      </c>
      <c r="O54" s="15">
        <v>5548.41</v>
      </c>
      <c r="Q54" s="15"/>
    </row>
    <row r="55" spans="1:17" x14ac:dyDescent="0.75">
      <c r="A55">
        <v>338</v>
      </c>
      <c r="B55" t="s">
        <v>669</v>
      </c>
      <c r="C55" t="s">
        <v>617</v>
      </c>
      <c r="D55" s="15">
        <v>0</v>
      </c>
      <c r="E55" s="15">
        <v>0</v>
      </c>
      <c r="F55" s="15">
        <v>423.66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</row>
    <row r="56" spans="1:17" x14ac:dyDescent="0.75">
      <c r="A56">
        <v>306</v>
      </c>
      <c r="B56" t="s">
        <v>670</v>
      </c>
      <c r="C56" t="s">
        <v>619</v>
      </c>
      <c r="D56" s="15">
        <v>173.97</v>
      </c>
      <c r="E56" s="15">
        <v>254</v>
      </c>
      <c r="F56" s="15">
        <v>359.5</v>
      </c>
      <c r="G56" s="15">
        <v>491.71</v>
      </c>
      <c r="H56" s="15">
        <v>524.46</v>
      </c>
      <c r="I56" s="15">
        <v>1312.46</v>
      </c>
      <c r="J56" s="15">
        <v>1205.33</v>
      </c>
      <c r="K56" s="15">
        <v>1200</v>
      </c>
      <c r="L56" s="15">
        <v>1507.76</v>
      </c>
      <c r="M56" s="15">
        <v>1641.64</v>
      </c>
      <c r="N56" s="15">
        <v>1372.76</v>
      </c>
      <c r="O56" s="15">
        <v>1668.32</v>
      </c>
    </row>
    <row r="57" spans="1:17" x14ac:dyDescent="0.75">
      <c r="A57">
        <v>649</v>
      </c>
      <c r="B57" t="s">
        <v>671</v>
      </c>
      <c r="C57" t="s">
        <v>193</v>
      </c>
      <c r="D57" s="15">
        <v>601.65</v>
      </c>
      <c r="E57" s="15">
        <v>1211.94</v>
      </c>
      <c r="F57" s="15">
        <v>902.33</v>
      </c>
      <c r="G57" s="15">
        <v>963.36</v>
      </c>
      <c r="H57" s="15">
        <v>1232.28</v>
      </c>
      <c r="I57" s="15">
        <v>1419.32</v>
      </c>
      <c r="J57" s="15">
        <v>975.78</v>
      </c>
      <c r="K57" s="15">
        <v>969.15</v>
      </c>
      <c r="L57" s="15">
        <v>903.54</v>
      </c>
      <c r="M57" s="15">
        <v>778.85</v>
      </c>
      <c r="N57" s="15">
        <v>588.62</v>
      </c>
      <c r="O57" s="15">
        <v>438.22</v>
      </c>
    </row>
    <row r="58" spans="1:17" x14ac:dyDescent="0.75">
      <c r="A58">
        <v>566</v>
      </c>
      <c r="B58" t="s">
        <v>672</v>
      </c>
      <c r="C58" t="s">
        <v>626</v>
      </c>
      <c r="D58" s="15">
        <v>215.84</v>
      </c>
      <c r="E58" s="15">
        <v>265.13</v>
      </c>
      <c r="F58" s="15">
        <v>267.8</v>
      </c>
      <c r="G58" s="15">
        <v>248.34</v>
      </c>
      <c r="H58" s="15">
        <v>258.68</v>
      </c>
      <c r="I58" s="15">
        <v>147.69999999999999</v>
      </c>
      <c r="J58" s="15">
        <v>259.52999999999997</v>
      </c>
      <c r="K58" s="15">
        <v>205.17</v>
      </c>
      <c r="L58" s="15">
        <v>199.06</v>
      </c>
      <c r="M58" s="15">
        <v>265.14999999999998</v>
      </c>
      <c r="N58" s="15">
        <v>287.02999999999997</v>
      </c>
      <c r="O58" s="15">
        <v>275.8</v>
      </c>
    </row>
    <row r="59" spans="1:17" x14ac:dyDescent="0.75">
      <c r="A59">
        <v>778</v>
      </c>
      <c r="B59" t="s">
        <v>673</v>
      </c>
      <c r="C59" t="s">
        <v>620</v>
      </c>
      <c r="D59" s="15">
        <v>831.6</v>
      </c>
      <c r="E59" s="15">
        <v>0</v>
      </c>
      <c r="F59" s="15">
        <v>0</v>
      </c>
      <c r="G59" s="15">
        <v>560.46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</row>
    <row r="60" spans="1:17" x14ac:dyDescent="0.75">
      <c r="A60">
        <v>567</v>
      </c>
      <c r="B60" t="s">
        <v>673</v>
      </c>
      <c r="C60" t="s">
        <v>628</v>
      </c>
      <c r="D60" s="15">
        <v>787.19</v>
      </c>
      <c r="E60" s="15">
        <v>955.77</v>
      </c>
      <c r="F60" s="15">
        <v>952.18</v>
      </c>
      <c r="G60" s="15">
        <v>882.04</v>
      </c>
      <c r="H60" s="15">
        <v>848.5</v>
      </c>
      <c r="I60" s="15">
        <v>504.13</v>
      </c>
      <c r="J60" s="15">
        <v>885.82</v>
      </c>
      <c r="K60" s="15">
        <v>700.28</v>
      </c>
      <c r="L60" s="15">
        <v>679.42</v>
      </c>
      <c r="M60" s="15">
        <v>753.72</v>
      </c>
      <c r="N60" s="15">
        <v>815.91</v>
      </c>
      <c r="O60" s="15">
        <v>783.99</v>
      </c>
    </row>
    <row r="61" spans="1:17" x14ac:dyDescent="0.75">
      <c r="A61">
        <v>1813</v>
      </c>
      <c r="B61" t="s">
        <v>1028</v>
      </c>
      <c r="C61" t="s">
        <v>970</v>
      </c>
      <c r="D61" s="15">
        <v>1230.76</v>
      </c>
      <c r="E61" s="15">
        <v>1178.26</v>
      </c>
      <c r="F61" s="15">
        <v>1271.6099999999999</v>
      </c>
      <c r="G61" s="15">
        <v>1179.19</v>
      </c>
      <c r="H61" s="15">
        <v>1231.8499999999999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</row>
    <row r="62" spans="1:17" x14ac:dyDescent="0.75">
      <c r="A62" s="28">
        <v>345</v>
      </c>
      <c r="B62" s="28" t="s">
        <v>674</v>
      </c>
      <c r="C62" s="28" t="s">
        <v>675</v>
      </c>
      <c r="D62" s="29">
        <v>1212.67</v>
      </c>
      <c r="E62" s="29">
        <v>302.31</v>
      </c>
      <c r="F62" s="29">
        <v>914.31</v>
      </c>
      <c r="G62" s="29">
        <v>302.31</v>
      </c>
      <c r="H62" s="29">
        <v>717.03</v>
      </c>
      <c r="I62" s="29">
        <v>302.35000000000002</v>
      </c>
      <c r="J62" s="29">
        <v>2116.54</v>
      </c>
      <c r="K62" s="29">
        <v>682.35</v>
      </c>
      <c r="L62" s="29">
        <v>302.35000000000002</v>
      </c>
      <c r="M62" s="29">
        <v>302.35000000000002</v>
      </c>
      <c r="N62" s="29">
        <v>622.15</v>
      </c>
      <c r="O62" s="29">
        <v>1235.69</v>
      </c>
    </row>
    <row r="63" spans="1:17" x14ac:dyDescent="0.75">
      <c r="A63">
        <v>349</v>
      </c>
      <c r="B63" t="s">
        <v>676</v>
      </c>
      <c r="C63" t="s">
        <v>191</v>
      </c>
      <c r="D63" s="15">
        <v>156.44999999999999</v>
      </c>
      <c r="E63" s="15">
        <v>156.44999999999999</v>
      </c>
      <c r="F63" s="15">
        <v>156.44999999999999</v>
      </c>
      <c r="G63" s="15">
        <v>156.44999999999999</v>
      </c>
      <c r="H63" s="15">
        <v>156.44999999999999</v>
      </c>
      <c r="I63" s="15">
        <v>156.44999999999999</v>
      </c>
      <c r="J63" s="15">
        <v>156.44999999999999</v>
      </c>
      <c r="K63" s="15">
        <v>156.44999999999999</v>
      </c>
      <c r="L63" s="15">
        <v>156.44999999999999</v>
      </c>
      <c r="M63" s="15">
        <v>156.44999999999999</v>
      </c>
      <c r="N63" s="15">
        <v>156.44999999999999</v>
      </c>
      <c r="O63" s="15">
        <v>156.44999999999999</v>
      </c>
    </row>
    <row r="64" spans="1:17" x14ac:dyDescent="0.75">
      <c r="A64">
        <v>350</v>
      </c>
      <c r="B64" t="s">
        <v>677</v>
      </c>
      <c r="C64" t="s">
        <v>678</v>
      </c>
      <c r="D64" s="15">
        <v>910.36</v>
      </c>
      <c r="E64" s="15">
        <v>0</v>
      </c>
      <c r="F64" s="15">
        <v>612</v>
      </c>
      <c r="G64" s="15">
        <v>0</v>
      </c>
      <c r="H64" s="15">
        <v>414.68</v>
      </c>
      <c r="I64" s="15">
        <v>0</v>
      </c>
      <c r="J64" s="15">
        <v>0</v>
      </c>
      <c r="K64" s="15">
        <v>380</v>
      </c>
      <c r="L64" s="15">
        <v>0</v>
      </c>
      <c r="M64" s="15">
        <v>0</v>
      </c>
      <c r="N64" s="15">
        <v>320</v>
      </c>
      <c r="O64" s="15">
        <v>933.38</v>
      </c>
    </row>
    <row r="65" spans="1:15" x14ac:dyDescent="0.75">
      <c r="A65">
        <v>678</v>
      </c>
      <c r="B65" t="s">
        <v>679</v>
      </c>
      <c r="C65" t="s">
        <v>680</v>
      </c>
      <c r="D65" s="15">
        <v>145.86000000000001</v>
      </c>
      <c r="E65" s="15">
        <v>145.86000000000001</v>
      </c>
      <c r="F65" s="15">
        <v>145.86000000000001</v>
      </c>
      <c r="G65" s="15">
        <v>145.86000000000001</v>
      </c>
      <c r="H65" s="15">
        <v>145.9</v>
      </c>
      <c r="I65" s="15">
        <v>145.9</v>
      </c>
      <c r="J65" s="15">
        <v>145.9</v>
      </c>
      <c r="K65" s="15">
        <v>145.9</v>
      </c>
      <c r="L65" s="15">
        <v>145.9</v>
      </c>
      <c r="M65" s="15">
        <v>145.9</v>
      </c>
      <c r="N65" s="15">
        <v>145.69999999999999</v>
      </c>
      <c r="O65" s="15">
        <v>145.86000000000001</v>
      </c>
    </row>
    <row r="66" spans="1:15" x14ac:dyDescent="0.75">
      <c r="A66">
        <v>1911</v>
      </c>
      <c r="B66" t="s">
        <v>1024</v>
      </c>
      <c r="C66" t="s">
        <v>1015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1814.19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</row>
    <row r="67" spans="1:15" x14ac:dyDescent="0.75">
      <c r="A67" s="28">
        <v>353</v>
      </c>
      <c r="B67" s="28" t="s">
        <v>681</v>
      </c>
      <c r="C67" s="28" t="s">
        <v>682</v>
      </c>
      <c r="D67" s="29">
        <v>49491.85</v>
      </c>
      <c r="E67" s="29">
        <v>56730.66</v>
      </c>
      <c r="F67" s="29">
        <v>53829.83</v>
      </c>
      <c r="G67" s="29">
        <v>56808.54</v>
      </c>
      <c r="H67" s="29">
        <v>58171.93</v>
      </c>
      <c r="I67" s="29">
        <v>91186.17</v>
      </c>
      <c r="J67" s="29">
        <v>84600.06</v>
      </c>
      <c r="K67" s="29">
        <v>89358.96</v>
      </c>
      <c r="L67" s="29">
        <v>114366.38</v>
      </c>
      <c r="M67" s="29">
        <v>165600.94</v>
      </c>
      <c r="N67" s="29">
        <v>107900.35</v>
      </c>
      <c r="O67" s="29">
        <v>112034.8</v>
      </c>
    </row>
    <row r="68" spans="1:15" x14ac:dyDescent="0.75">
      <c r="A68">
        <v>354</v>
      </c>
      <c r="B68" t="s">
        <v>683</v>
      </c>
      <c r="C68" t="s">
        <v>684</v>
      </c>
      <c r="D68" s="15">
        <v>3592.59</v>
      </c>
      <c r="E68" s="15">
        <v>3598.94</v>
      </c>
      <c r="F68" s="15">
        <v>4526.3100000000004</v>
      </c>
      <c r="G68" s="15">
        <v>3780.28</v>
      </c>
      <c r="H68" s="15">
        <v>3700.81</v>
      </c>
      <c r="I68" s="15">
        <v>6455.04</v>
      </c>
      <c r="J68" s="15">
        <v>3069.59</v>
      </c>
      <c r="K68" s="15">
        <v>3229.18</v>
      </c>
      <c r="L68" s="15">
        <v>3162.79</v>
      </c>
      <c r="M68" s="15">
        <v>4018.28</v>
      </c>
      <c r="N68" s="15">
        <v>3879.68</v>
      </c>
      <c r="O68" s="15">
        <v>3486.66</v>
      </c>
    </row>
    <row r="69" spans="1:15" x14ac:dyDescent="0.75">
      <c r="A69">
        <v>355</v>
      </c>
      <c r="B69" t="s">
        <v>685</v>
      </c>
      <c r="C69" t="s">
        <v>686</v>
      </c>
      <c r="D69" s="15">
        <v>74.3</v>
      </c>
      <c r="E69" s="15">
        <v>74.3</v>
      </c>
      <c r="F69" s="15">
        <v>74.3</v>
      </c>
      <c r="G69" s="15">
        <v>663.5</v>
      </c>
      <c r="H69" s="15">
        <v>133.22</v>
      </c>
      <c r="I69" s="15">
        <v>2004.58</v>
      </c>
      <c r="J69" s="15">
        <v>840.26</v>
      </c>
      <c r="K69" s="15">
        <v>634.04</v>
      </c>
      <c r="L69" s="15">
        <v>869.72</v>
      </c>
      <c r="M69" s="15">
        <v>692.96</v>
      </c>
      <c r="N69" s="15">
        <v>1105.4000000000001</v>
      </c>
      <c r="O69" s="15">
        <v>1945.01</v>
      </c>
    </row>
    <row r="70" spans="1:15" x14ac:dyDescent="0.75">
      <c r="A70">
        <v>356</v>
      </c>
      <c r="B70" t="s">
        <v>687</v>
      </c>
      <c r="C70" t="s">
        <v>688</v>
      </c>
      <c r="D70" s="15">
        <v>1039.31</v>
      </c>
      <c r="E70" s="15">
        <v>1054.3699999999999</v>
      </c>
      <c r="F70" s="15">
        <v>1046.03</v>
      </c>
      <c r="G70" s="15">
        <v>1039.31</v>
      </c>
      <c r="H70" s="15">
        <v>1039.31</v>
      </c>
      <c r="I70" s="15">
        <v>1058.02</v>
      </c>
      <c r="J70" s="15">
        <v>1125.3900000000001</v>
      </c>
      <c r="K70" s="15">
        <v>1035.43</v>
      </c>
      <c r="L70" s="15">
        <v>915.47</v>
      </c>
      <c r="M70" s="15">
        <v>927.45</v>
      </c>
      <c r="N70" s="15">
        <v>961.47</v>
      </c>
      <c r="O70" s="15">
        <v>935.44</v>
      </c>
    </row>
    <row r="71" spans="1:15" x14ac:dyDescent="0.75">
      <c r="A71">
        <v>359</v>
      </c>
      <c r="B71" t="s">
        <v>689</v>
      </c>
      <c r="C71" t="s">
        <v>690</v>
      </c>
      <c r="D71" s="15">
        <v>351.04</v>
      </c>
      <c r="E71" s="15">
        <v>608.91999999999996</v>
      </c>
      <c r="F71" s="15">
        <v>110.29</v>
      </c>
      <c r="G71" s="15">
        <v>167.81</v>
      </c>
      <c r="H71" s="15">
        <v>299.67</v>
      </c>
      <c r="I71" s="15">
        <v>0</v>
      </c>
      <c r="J71" s="15">
        <v>33.409999999999997</v>
      </c>
      <c r="K71" s="15">
        <v>114.71</v>
      </c>
      <c r="L71" s="15">
        <v>813.15</v>
      </c>
      <c r="M71" s="15">
        <v>0</v>
      </c>
      <c r="N71" s="15">
        <v>21.89</v>
      </c>
      <c r="O71" s="15">
        <v>0</v>
      </c>
    </row>
    <row r="72" spans="1:15" x14ac:dyDescent="0.75">
      <c r="A72">
        <v>360</v>
      </c>
      <c r="B72" t="s">
        <v>691</v>
      </c>
      <c r="C72" t="s">
        <v>692</v>
      </c>
      <c r="D72" s="15">
        <v>993.17</v>
      </c>
      <c r="E72" s="15">
        <v>479.14</v>
      </c>
      <c r="F72" s="15">
        <v>471.37</v>
      </c>
      <c r="G72" s="15">
        <v>393.18</v>
      </c>
      <c r="H72" s="15">
        <v>718.09</v>
      </c>
      <c r="I72" s="15">
        <v>303.74</v>
      </c>
      <c r="J72" s="15">
        <v>649.12</v>
      </c>
      <c r="K72" s="15">
        <v>343.09</v>
      </c>
      <c r="L72" s="15">
        <v>354.34</v>
      </c>
      <c r="M72" s="15">
        <v>290.54000000000002</v>
      </c>
      <c r="N72" s="15">
        <v>187.39</v>
      </c>
      <c r="O72" s="15">
        <v>140.85</v>
      </c>
    </row>
    <row r="73" spans="1:15" x14ac:dyDescent="0.75">
      <c r="A73">
        <v>361</v>
      </c>
      <c r="B73" t="s">
        <v>693</v>
      </c>
      <c r="C73" t="s">
        <v>694</v>
      </c>
      <c r="D73" s="15">
        <v>4290</v>
      </c>
      <c r="E73" s="15">
        <v>4290</v>
      </c>
      <c r="F73" s="15">
        <v>4290</v>
      </c>
      <c r="G73" s="15">
        <v>4290</v>
      </c>
      <c r="H73" s="15">
        <v>4840</v>
      </c>
      <c r="I73" s="15">
        <v>4290</v>
      </c>
      <c r="J73" s="15">
        <v>4290</v>
      </c>
      <c r="K73" s="15">
        <v>4290</v>
      </c>
      <c r="L73" s="15">
        <v>4290</v>
      </c>
      <c r="M73" s="15">
        <v>4290</v>
      </c>
      <c r="N73" s="15">
        <v>4290</v>
      </c>
      <c r="O73" s="15">
        <v>4548.8</v>
      </c>
    </row>
    <row r="74" spans="1:15" x14ac:dyDescent="0.75">
      <c r="A74">
        <v>363</v>
      </c>
      <c r="B74" t="s">
        <v>695</v>
      </c>
      <c r="C74" t="s">
        <v>696</v>
      </c>
      <c r="D74" s="15">
        <v>2894.1</v>
      </c>
      <c r="E74" s="15">
        <v>2922.43</v>
      </c>
      <c r="F74" s="15">
        <v>3011.1</v>
      </c>
      <c r="G74" s="15">
        <v>3119.1</v>
      </c>
      <c r="H74" s="15">
        <v>3119.1</v>
      </c>
      <c r="I74" s="15">
        <v>3119.1</v>
      </c>
      <c r="J74" s="15">
        <v>3119.1</v>
      </c>
      <c r="K74" s="15">
        <v>3119.1</v>
      </c>
      <c r="L74" s="15">
        <v>2967.07</v>
      </c>
      <c r="M74" s="15">
        <v>3009.57</v>
      </c>
      <c r="N74" s="15">
        <v>3009.57</v>
      </c>
      <c r="O74" s="15">
        <v>3009.57</v>
      </c>
    </row>
    <row r="75" spans="1:15" x14ac:dyDescent="0.75">
      <c r="A75">
        <v>557</v>
      </c>
      <c r="B75" t="s">
        <v>697</v>
      </c>
      <c r="C75" t="s">
        <v>698</v>
      </c>
      <c r="D75" s="15">
        <v>602.67999999999995</v>
      </c>
      <c r="E75" s="15">
        <v>584.58000000000004</v>
      </c>
      <c r="F75" s="15">
        <v>566.85</v>
      </c>
      <c r="G75" s="15">
        <v>781.22</v>
      </c>
      <c r="H75" s="15">
        <v>149.99</v>
      </c>
      <c r="I75" s="15">
        <v>143</v>
      </c>
      <c r="J75" s="15">
        <v>143</v>
      </c>
      <c r="K75" s="15">
        <v>143</v>
      </c>
      <c r="L75" s="15">
        <v>143</v>
      </c>
      <c r="M75" s="15">
        <v>40</v>
      </c>
      <c r="N75" s="15">
        <v>48</v>
      </c>
      <c r="O75" s="15">
        <v>4</v>
      </c>
    </row>
    <row r="76" spans="1:15" x14ac:dyDescent="0.75">
      <c r="A76">
        <v>585</v>
      </c>
      <c r="B76" t="s">
        <v>699</v>
      </c>
      <c r="C76" t="s">
        <v>700</v>
      </c>
      <c r="D76" s="15">
        <v>402.81</v>
      </c>
      <c r="E76" s="15">
        <v>3795.99</v>
      </c>
      <c r="F76" s="15">
        <v>4436.3999999999996</v>
      </c>
      <c r="G76" s="15">
        <v>3335</v>
      </c>
      <c r="H76" s="15">
        <v>2490</v>
      </c>
      <c r="I76" s="15">
        <v>1795</v>
      </c>
      <c r="J76" s="15">
        <v>2256</v>
      </c>
      <c r="K76" s="15">
        <v>1477.7</v>
      </c>
      <c r="L76" s="15">
        <v>2480.0300000000002</v>
      </c>
      <c r="M76" s="15">
        <v>2061.35</v>
      </c>
      <c r="N76" s="15">
        <v>4258</v>
      </c>
      <c r="O76" s="15">
        <v>3247.57</v>
      </c>
    </row>
    <row r="77" spans="1:15" x14ac:dyDescent="0.75">
      <c r="A77">
        <v>659</v>
      </c>
      <c r="B77" t="s">
        <v>701</v>
      </c>
      <c r="C77" t="s">
        <v>702</v>
      </c>
      <c r="D77" s="15">
        <v>345</v>
      </c>
      <c r="E77" s="15">
        <v>345</v>
      </c>
      <c r="F77" s="15">
        <v>345</v>
      </c>
      <c r="G77" s="15">
        <v>345</v>
      </c>
      <c r="H77" s="15">
        <v>345</v>
      </c>
      <c r="I77" s="15">
        <v>345</v>
      </c>
      <c r="J77" s="15">
        <v>1845</v>
      </c>
      <c r="K77" s="15">
        <v>345</v>
      </c>
      <c r="L77" s="15">
        <v>360</v>
      </c>
      <c r="M77" s="15">
        <v>396.05</v>
      </c>
      <c r="N77" s="15">
        <v>381.05</v>
      </c>
      <c r="O77" s="15">
        <v>381.05</v>
      </c>
    </row>
    <row r="78" spans="1:15" x14ac:dyDescent="0.75">
      <c r="A78">
        <v>660</v>
      </c>
      <c r="B78" t="s">
        <v>703</v>
      </c>
      <c r="C78" t="s">
        <v>704</v>
      </c>
      <c r="D78" s="15">
        <v>361</v>
      </c>
      <c r="E78" s="15">
        <v>361</v>
      </c>
      <c r="F78" s="15">
        <v>361</v>
      </c>
      <c r="G78" s="15">
        <v>361</v>
      </c>
      <c r="H78" s="15">
        <v>361</v>
      </c>
      <c r="I78" s="15">
        <v>361</v>
      </c>
      <c r="J78" s="15">
        <v>400</v>
      </c>
      <c r="K78" s="15">
        <v>400</v>
      </c>
      <c r="L78" s="15">
        <v>400</v>
      </c>
      <c r="M78" s="15">
        <v>400</v>
      </c>
      <c r="N78" s="15">
        <v>80</v>
      </c>
      <c r="O78" s="15">
        <v>720</v>
      </c>
    </row>
    <row r="79" spans="1:15" x14ac:dyDescent="0.75">
      <c r="A79">
        <v>662</v>
      </c>
      <c r="B79" t="s">
        <v>705</v>
      </c>
      <c r="C79" t="s">
        <v>706</v>
      </c>
      <c r="D79" s="15">
        <v>9500</v>
      </c>
      <c r="E79" s="15">
        <v>12450</v>
      </c>
      <c r="F79" s="15">
        <v>10450</v>
      </c>
      <c r="G79" s="15">
        <v>13250</v>
      </c>
      <c r="H79" s="15">
        <v>12350</v>
      </c>
      <c r="I79" s="15">
        <v>21043.33</v>
      </c>
      <c r="J79" s="15">
        <v>33060</v>
      </c>
      <c r="K79" s="15">
        <v>42282.04</v>
      </c>
      <c r="L79" s="15">
        <v>57189.81</v>
      </c>
      <c r="M79" s="15">
        <v>52348</v>
      </c>
      <c r="N79" s="15">
        <v>45815.18</v>
      </c>
      <c r="O79" s="15">
        <v>61551.35</v>
      </c>
    </row>
    <row r="80" spans="1:15" x14ac:dyDescent="0.75">
      <c r="A80">
        <v>664</v>
      </c>
      <c r="B80" t="s">
        <v>707</v>
      </c>
      <c r="C80" t="s">
        <v>1252</v>
      </c>
      <c r="D80" s="15">
        <v>3700.8</v>
      </c>
      <c r="E80" s="15">
        <v>3014.1</v>
      </c>
      <c r="F80" s="15">
        <v>2151.8000000000002</v>
      </c>
      <c r="G80" s="15">
        <v>2226.8000000000002</v>
      </c>
      <c r="H80" s="15">
        <v>6979.49</v>
      </c>
      <c r="I80" s="15">
        <v>2531.8000000000002</v>
      </c>
      <c r="J80" s="15">
        <v>3052.73</v>
      </c>
      <c r="K80" s="15">
        <v>2675.43</v>
      </c>
      <c r="L80" s="15">
        <v>9909.42</v>
      </c>
      <c r="M80" s="15">
        <v>8859.34</v>
      </c>
      <c r="N80" s="15">
        <v>4860</v>
      </c>
      <c r="O80" s="15">
        <v>4568.46</v>
      </c>
    </row>
    <row r="81" spans="1:15" x14ac:dyDescent="0.75">
      <c r="A81">
        <v>792</v>
      </c>
      <c r="B81" t="s">
        <v>708</v>
      </c>
      <c r="C81" t="s">
        <v>709</v>
      </c>
      <c r="D81" s="15">
        <v>3565.99</v>
      </c>
      <c r="E81" s="15">
        <v>3888.11</v>
      </c>
      <c r="F81" s="15">
        <v>3277.18</v>
      </c>
      <c r="G81" s="15">
        <v>2810.5</v>
      </c>
      <c r="H81" s="15">
        <v>3270.27</v>
      </c>
      <c r="I81" s="15">
        <v>1923.61</v>
      </c>
      <c r="J81" s="15">
        <v>1580.85</v>
      </c>
      <c r="K81" s="15">
        <v>946.11</v>
      </c>
      <c r="L81" s="15">
        <v>295</v>
      </c>
      <c r="M81" s="15">
        <v>1603.94</v>
      </c>
      <c r="N81" s="15">
        <v>10479.91</v>
      </c>
      <c r="O81" s="15">
        <v>808.96</v>
      </c>
    </row>
    <row r="82" spans="1:15" x14ac:dyDescent="0.75">
      <c r="A82">
        <v>794</v>
      </c>
      <c r="B82" t="s">
        <v>710</v>
      </c>
      <c r="C82" t="s">
        <v>711</v>
      </c>
      <c r="D82" s="15">
        <v>776.52</v>
      </c>
      <c r="E82" s="15">
        <v>1308.92</v>
      </c>
      <c r="F82" s="15">
        <v>772.92</v>
      </c>
      <c r="G82" s="15">
        <v>1682.92</v>
      </c>
      <c r="H82" s="15">
        <v>696.13</v>
      </c>
      <c r="I82" s="15">
        <v>487.2</v>
      </c>
      <c r="J82" s="15">
        <v>810.92</v>
      </c>
      <c r="K82" s="15">
        <v>589.77</v>
      </c>
      <c r="L82" s="15">
        <v>744.92</v>
      </c>
      <c r="M82" s="15">
        <v>431.2</v>
      </c>
      <c r="N82" s="15">
        <v>400.75</v>
      </c>
      <c r="O82" s="15">
        <v>302.69</v>
      </c>
    </row>
    <row r="83" spans="1:15" x14ac:dyDescent="0.75">
      <c r="A83">
        <v>992</v>
      </c>
      <c r="B83" t="s">
        <v>712</v>
      </c>
      <c r="C83" t="s">
        <v>713</v>
      </c>
      <c r="D83" s="15">
        <v>390</v>
      </c>
      <c r="E83" s="15">
        <v>390</v>
      </c>
      <c r="F83" s="15">
        <v>390</v>
      </c>
      <c r="G83" s="15">
        <v>390</v>
      </c>
      <c r="H83" s="15">
        <v>390</v>
      </c>
      <c r="I83" s="15">
        <v>390</v>
      </c>
      <c r="J83" s="15">
        <v>390</v>
      </c>
      <c r="K83" s="15">
        <v>390</v>
      </c>
      <c r="L83" s="15">
        <v>543</v>
      </c>
      <c r="M83" s="15">
        <v>390</v>
      </c>
      <c r="N83" s="15">
        <v>390</v>
      </c>
      <c r="O83" s="15">
        <v>390</v>
      </c>
    </row>
    <row r="84" spans="1:15" x14ac:dyDescent="0.75">
      <c r="A84">
        <v>1027</v>
      </c>
      <c r="B84" t="s">
        <v>714</v>
      </c>
      <c r="C84" t="s">
        <v>715</v>
      </c>
      <c r="D84" s="15">
        <v>0</v>
      </c>
      <c r="E84" s="15">
        <v>0</v>
      </c>
      <c r="F84" s="15">
        <v>0</v>
      </c>
      <c r="G84" s="15">
        <v>0</v>
      </c>
      <c r="H84" s="15">
        <v>749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</row>
    <row r="85" spans="1:15" x14ac:dyDescent="0.75">
      <c r="A85">
        <v>1311</v>
      </c>
      <c r="B85" t="s">
        <v>716</v>
      </c>
      <c r="C85" t="s">
        <v>717</v>
      </c>
      <c r="D85" s="15">
        <v>318.33999999999997</v>
      </c>
      <c r="E85" s="15">
        <v>300</v>
      </c>
      <c r="F85" s="15">
        <v>315</v>
      </c>
      <c r="G85" s="15">
        <v>315</v>
      </c>
      <c r="H85" s="15">
        <v>144</v>
      </c>
      <c r="I85" s="15">
        <v>324</v>
      </c>
      <c r="J85" s="15">
        <v>0</v>
      </c>
      <c r="K85" s="15">
        <v>0</v>
      </c>
      <c r="L85" s="15">
        <v>1268</v>
      </c>
      <c r="M85" s="15">
        <v>660</v>
      </c>
      <c r="N85" s="15">
        <v>0</v>
      </c>
      <c r="O85" s="15">
        <v>0</v>
      </c>
    </row>
    <row r="86" spans="1:15" x14ac:dyDescent="0.75">
      <c r="A86">
        <v>1283</v>
      </c>
      <c r="B86" t="s">
        <v>716</v>
      </c>
      <c r="C86" t="s">
        <v>718</v>
      </c>
      <c r="D86" s="15">
        <v>1529.26</v>
      </c>
      <c r="E86" s="15">
        <v>2321.64</v>
      </c>
      <c r="F86" s="15">
        <v>2558.36</v>
      </c>
      <c r="G86" s="15">
        <v>3075.92</v>
      </c>
      <c r="H86" s="15">
        <v>1322.11</v>
      </c>
      <c r="I86" s="15">
        <v>3077.9</v>
      </c>
      <c r="J86" s="15">
        <v>3532.34</v>
      </c>
      <c r="K86" s="15">
        <v>2942.01</v>
      </c>
      <c r="L86" s="15">
        <v>3225.31</v>
      </c>
      <c r="M86" s="15">
        <v>3169.41</v>
      </c>
      <c r="N86" s="15">
        <v>3144.08</v>
      </c>
      <c r="O86" s="15">
        <v>1406.41</v>
      </c>
    </row>
    <row r="87" spans="1:15" x14ac:dyDescent="0.75">
      <c r="A87">
        <v>1380</v>
      </c>
      <c r="B87" t="s">
        <v>719</v>
      </c>
      <c r="C87" t="s">
        <v>720</v>
      </c>
      <c r="D87" s="15">
        <v>234.94</v>
      </c>
      <c r="E87" s="15">
        <v>396.22</v>
      </c>
      <c r="F87" s="15">
        <v>145.41999999999999</v>
      </c>
      <c r="G87" s="15">
        <v>262</v>
      </c>
      <c r="H87" s="15">
        <v>460.24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</row>
    <row r="88" spans="1:15" x14ac:dyDescent="0.75">
      <c r="A88">
        <v>1465</v>
      </c>
      <c r="B88" t="s">
        <v>721</v>
      </c>
      <c r="C88" t="s">
        <v>722</v>
      </c>
      <c r="D88" s="15">
        <v>10</v>
      </c>
      <c r="E88" s="15">
        <v>27</v>
      </c>
      <c r="F88" s="15">
        <v>10.5</v>
      </c>
      <c r="G88" s="15">
        <v>0</v>
      </c>
      <c r="H88" s="15">
        <v>94.5</v>
      </c>
      <c r="I88" s="15">
        <v>31.5</v>
      </c>
      <c r="J88" s="15">
        <v>0</v>
      </c>
      <c r="K88" s="15">
        <v>0</v>
      </c>
      <c r="L88" s="15">
        <v>33</v>
      </c>
      <c r="M88" s="15">
        <v>10.5</v>
      </c>
      <c r="N88" s="15">
        <v>0</v>
      </c>
      <c r="O88" s="15">
        <v>0</v>
      </c>
    </row>
    <row r="89" spans="1:15" x14ac:dyDescent="0.75">
      <c r="A89">
        <v>1314</v>
      </c>
      <c r="B89" t="s">
        <v>723</v>
      </c>
      <c r="C89" t="s">
        <v>724</v>
      </c>
      <c r="D89" s="15">
        <v>14520</v>
      </c>
      <c r="E89" s="15">
        <v>14520</v>
      </c>
      <c r="F89" s="15">
        <v>14520</v>
      </c>
      <c r="G89" s="15">
        <v>14520</v>
      </c>
      <c r="H89" s="15">
        <v>14520</v>
      </c>
      <c r="I89" s="15">
        <v>14520</v>
      </c>
      <c r="J89" s="15">
        <v>14520</v>
      </c>
      <c r="K89" s="15">
        <v>14520</v>
      </c>
      <c r="L89" s="15">
        <v>14520</v>
      </c>
      <c r="M89" s="15">
        <v>14520</v>
      </c>
      <c r="N89" s="15">
        <v>14520</v>
      </c>
      <c r="O89" s="15">
        <v>14520</v>
      </c>
    </row>
    <row r="90" spans="1:15" x14ac:dyDescent="0.75">
      <c r="A90">
        <v>1916</v>
      </c>
      <c r="B90" t="s">
        <v>1025</v>
      </c>
      <c r="C90" t="s">
        <v>1026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17100</v>
      </c>
      <c r="J90" s="15">
        <v>0</v>
      </c>
      <c r="K90" s="15">
        <v>0</v>
      </c>
      <c r="L90" s="15">
        <v>0</v>
      </c>
      <c r="M90" s="15">
        <v>56000</v>
      </c>
      <c r="N90" s="15">
        <v>0</v>
      </c>
      <c r="O90" s="15">
        <v>0</v>
      </c>
    </row>
    <row r="91" spans="1:15" x14ac:dyDescent="0.75">
      <c r="A91">
        <v>1942</v>
      </c>
      <c r="B91" t="s">
        <v>1294</v>
      </c>
      <c r="C91" t="s">
        <v>1253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9882.35</v>
      </c>
      <c r="J91" s="15">
        <v>9882.35</v>
      </c>
      <c r="K91" s="15">
        <v>9882.35</v>
      </c>
      <c r="L91" s="15">
        <v>9882.35</v>
      </c>
      <c r="M91" s="15">
        <v>9882.35</v>
      </c>
      <c r="N91" s="15">
        <v>10067.98</v>
      </c>
      <c r="O91" s="15">
        <v>10067.98</v>
      </c>
    </row>
    <row r="92" spans="1:15" x14ac:dyDescent="0.75">
      <c r="A92">
        <v>1953</v>
      </c>
      <c r="B92" t="s">
        <v>1295</v>
      </c>
      <c r="C92" t="s">
        <v>1296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1600</v>
      </c>
      <c r="N92" s="15">
        <v>0</v>
      </c>
      <c r="O92" s="15">
        <v>0</v>
      </c>
    </row>
    <row r="93" spans="1:15" x14ac:dyDescent="0.75">
      <c r="A93" s="28">
        <v>367</v>
      </c>
      <c r="B93" s="28" t="s">
        <v>725</v>
      </c>
      <c r="C93" s="28" t="s">
        <v>726</v>
      </c>
      <c r="D93" s="29">
        <v>29330.32</v>
      </c>
      <c r="E93" s="29">
        <v>42099.29</v>
      </c>
      <c r="F93" s="29">
        <v>34796.58</v>
      </c>
      <c r="G93" s="29">
        <v>36747.839999999997</v>
      </c>
      <c r="H93" s="29">
        <v>35731.67</v>
      </c>
      <c r="I93" s="29">
        <v>17493.75</v>
      </c>
      <c r="J93" s="29">
        <v>34177.06</v>
      </c>
      <c r="K93" s="29">
        <v>49465.3</v>
      </c>
      <c r="L93" s="29">
        <v>22924.76</v>
      </c>
      <c r="M93" s="29">
        <v>7978.87</v>
      </c>
      <c r="N93" s="29">
        <v>40534.620000000003</v>
      </c>
      <c r="O93" s="29">
        <v>17947.419999999998</v>
      </c>
    </row>
    <row r="94" spans="1:15" x14ac:dyDescent="0.75">
      <c r="A94">
        <v>368</v>
      </c>
      <c r="B94" t="s">
        <v>727</v>
      </c>
      <c r="C94" t="s">
        <v>728</v>
      </c>
      <c r="D94" s="15">
        <v>714.5</v>
      </c>
      <c r="E94" s="15">
        <v>919.32</v>
      </c>
      <c r="F94" s="15">
        <v>476.69</v>
      </c>
      <c r="G94" s="15">
        <v>486.47</v>
      </c>
      <c r="H94" s="15">
        <v>498.61</v>
      </c>
      <c r="I94" s="15">
        <v>510.68</v>
      </c>
      <c r="J94" s="15">
        <v>619.19000000000005</v>
      </c>
      <c r="K94" s="15">
        <v>745.81</v>
      </c>
      <c r="L94" s="15">
        <v>536.70000000000005</v>
      </c>
      <c r="M94" s="15">
        <v>143.16</v>
      </c>
      <c r="N94" s="15">
        <v>284.88</v>
      </c>
      <c r="O94" s="15">
        <v>73.319999999999993</v>
      </c>
    </row>
    <row r="95" spans="1:15" x14ac:dyDescent="0.75">
      <c r="A95">
        <v>1388</v>
      </c>
      <c r="B95" t="s">
        <v>729</v>
      </c>
      <c r="C95" t="s">
        <v>730</v>
      </c>
      <c r="D95" s="15">
        <v>22239.67</v>
      </c>
      <c r="E95" s="15">
        <v>35205.47</v>
      </c>
      <c r="F95" s="15">
        <v>27434.03</v>
      </c>
      <c r="G95" s="15">
        <v>28793.96</v>
      </c>
      <c r="H95" s="15">
        <v>27669.85</v>
      </c>
      <c r="I95" s="15">
        <v>12876.18</v>
      </c>
      <c r="J95" s="15">
        <v>28613.62</v>
      </c>
      <c r="K95" s="15">
        <v>15504.88</v>
      </c>
      <c r="L95" s="15">
        <v>19820.39</v>
      </c>
      <c r="M95" s="15">
        <v>5378.44</v>
      </c>
      <c r="N95" s="15">
        <v>11452.65</v>
      </c>
      <c r="O95" s="15">
        <v>13074.29</v>
      </c>
    </row>
    <row r="96" spans="1:15" x14ac:dyDescent="0.75">
      <c r="A96">
        <v>371</v>
      </c>
      <c r="B96" t="s">
        <v>731</v>
      </c>
      <c r="C96" t="s">
        <v>732</v>
      </c>
      <c r="D96" s="15">
        <v>6.51</v>
      </c>
      <c r="E96" s="15">
        <v>835</v>
      </c>
      <c r="F96" s="15">
        <v>508.1</v>
      </c>
      <c r="G96" s="15">
        <v>0</v>
      </c>
      <c r="H96" s="15">
        <v>330</v>
      </c>
      <c r="I96" s="15">
        <v>0</v>
      </c>
      <c r="J96" s="15">
        <v>133.66</v>
      </c>
      <c r="K96" s="15">
        <v>206.5</v>
      </c>
      <c r="L96" s="15">
        <v>258.7</v>
      </c>
      <c r="M96" s="15">
        <v>99.02</v>
      </c>
      <c r="N96" s="15">
        <v>0</v>
      </c>
      <c r="O96" s="15">
        <v>0</v>
      </c>
    </row>
    <row r="97" spans="1:15" x14ac:dyDescent="0.75">
      <c r="A97">
        <v>372</v>
      </c>
      <c r="B97" t="s">
        <v>733</v>
      </c>
      <c r="C97" t="s">
        <v>734</v>
      </c>
      <c r="D97" s="15">
        <v>0</v>
      </c>
      <c r="E97" s="15">
        <v>0</v>
      </c>
      <c r="F97" s="15">
        <v>50</v>
      </c>
      <c r="G97" s="15">
        <v>204.78</v>
      </c>
      <c r="H97" s="15">
        <v>514.97</v>
      </c>
      <c r="I97" s="15">
        <v>32.590000000000003</v>
      </c>
      <c r="J97" s="15">
        <v>252.46</v>
      </c>
      <c r="K97" s="15">
        <v>537.44000000000005</v>
      </c>
      <c r="L97" s="15">
        <v>297</v>
      </c>
      <c r="M97" s="15">
        <v>377.67</v>
      </c>
      <c r="N97" s="15">
        <v>750.95</v>
      </c>
      <c r="O97" s="15">
        <v>0</v>
      </c>
    </row>
    <row r="98" spans="1:15" x14ac:dyDescent="0.75">
      <c r="A98">
        <v>373</v>
      </c>
      <c r="B98" t="s">
        <v>1098</v>
      </c>
      <c r="C98" t="s">
        <v>1067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30000</v>
      </c>
      <c r="L98" s="15">
        <v>0</v>
      </c>
      <c r="M98" s="15">
        <v>0</v>
      </c>
      <c r="N98" s="15">
        <v>26000</v>
      </c>
      <c r="O98" s="15">
        <v>0</v>
      </c>
    </row>
    <row r="99" spans="1:15" x14ac:dyDescent="0.75">
      <c r="A99">
        <v>374</v>
      </c>
      <c r="B99" t="s">
        <v>735</v>
      </c>
      <c r="C99" t="s">
        <v>736</v>
      </c>
      <c r="D99" s="15">
        <v>2332.5100000000002</v>
      </c>
      <c r="E99" s="15">
        <v>1868.89</v>
      </c>
      <c r="F99" s="15">
        <v>1705.76</v>
      </c>
      <c r="G99" s="15">
        <v>1412.23</v>
      </c>
      <c r="H99" s="15">
        <v>2475.1</v>
      </c>
      <c r="I99" s="15">
        <v>1286.6300000000001</v>
      </c>
      <c r="J99" s="15">
        <v>1530.39</v>
      </c>
      <c r="K99" s="15">
        <v>1108.04</v>
      </c>
      <c r="L99" s="15">
        <v>1226.69</v>
      </c>
      <c r="M99" s="15">
        <v>1339.67</v>
      </c>
      <c r="N99" s="15">
        <v>1430.31</v>
      </c>
      <c r="O99" s="15">
        <v>2683.81</v>
      </c>
    </row>
    <row r="100" spans="1:15" x14ac:dyDescent="0.75">
      <c r="A100">
        <v>375</v>
      </c>
      <c r="B100" t="s">
        <v>737</v>
      </c>
      <c r="C100" t="s">
        <v>738</v>
      </c>
      <c r="D100" s="15">
        <v>4037.13</v>
      </c>
      <c r="E100" s="15">
        <v>3270.61</v>
      </c>
      <c r="F100" s="15">
        <v>4622</v>
      </c>
      <c r="G100" s="15">
        <v>5850.4</v>
      </c>
      <c r="H100" s="15">
        <v>4243.1400000000003</v>
      </c>
      <c r="I100" s="15">
        <v>2787.67</v>
      </c>
      <c r="J100" s="15">
        <v>3027.74</v>
      </c>
      <c r="K100" s="15">
        <v>1362.63</v>
      </c>
      <c r="L100" s="15">
        <v>785.28</v>
      </c>
      <c r="M100" s="15">
        <v>640.91</v>
      </c>
      <c r="N100" s="15">
        <v>615.83000000000004</v>
      </c>
      <c r="O100" s="15">
        <v>2116</v>
      </c>
    </row>
    <row r="101" spans="1:15" x14ac:dyDescent="0.75">
      <c r="A101" s="28">
        <v>376</v>
      </c>
      <c r="B101" s="28" t="s">
        <v>739</v>
      </c>
      <c r="C101" s="28" t="s">
        <v>740</v>
      </c>
      <c r="D101" s="29">
        <v>11051.08</v>
      </c>
      <c r="E101" s="29">
        <v>10669.02</v>
      </c>
      <c r="F101" s="29">
        <v>11625.31</v>
      </c>
      <c r="G101" s="29">
        <v>13834.12</v>
      </c>
      <c r="H101" s="29">
        <v>17419.36</v>
      </c>
      <c r="I101" s="29">
        <v>8316.11</v>
      </c>
      <c r="J101" s="29">
        <v>6832.3</v>
      </c>
      <c r="K101" s="29">
        <v>7440.65</v>
      </c>
      <c r="L101" s="29">
        <v>2745.62</v>
      </c>
      <c r="M101" s="29">
        <v>4049.4</v>
      </c>
      <c r="N101" s="29">
        <v>6612.91</v>
      </c>
      <c r="O101" s="29">
        <v>6941.68</v>
      </c>
    </row>
    <row r="102" spans="1:15" x14ac:dyDescent="0.75">
      <c r="A102">
        <v>788</v>
      </c>
      <c r="B102" t="s">
        <v>741</v>
      </c>
      <c r="C102" t="s">
        <v>742</v>
      </c>
      <c r="D102" s="15">
        <v>11051.08</v>
      </c>
      <c r="E102" s="15">
        <v>10669.02</v>
      </c>
      <c r="F102" s="15">
        <v>11625.31</v>
      </c>
      <c r="G102" s="15">
        <v>13834.12</v>
      </c>
      <c r="H102" s="15">
        <v>17419.36</v>
      </c>
      <c r="I102" s="15">
        <v>8316.11</v>
      </c>
      <c r="J102" s="15">
        <v>6832.3</v>
      </c>
      <c r="K102" s="15">
        <v>7440.65</v>
      </c>
      <c r="L102" s="15">
        <v>2745.62</v>
      </c>
      <c r="M102" s="15">
        <v>4049.4</v>
      </c>
      <c r="N102" s="15">
        <v>6612.91</v>
      </c>
      <c r="O102" s="15">
        <v>6941.68</v>
      </c>
    </row>
    <row r="103" spans="1:15" x14ac:dyDescent="0.75">
      <c r="A103" s="28">
        <v>380</v>
      </c>
      <c r="B103" s="28" t="s">
        <v>743</v>
      </c>
      <c r="C103" s="28" t="s">
        <v>744</v>
      </c>
      <c r="D103" s="29">
        <v>0</v>
      </c>
      <c r="E103" s="29">
        <v>85629.92</v>
      </c>
      <c r="F103" s="29">
        <v>0</v>
      </c>
      <c r="G103" s="29">
        <v>0</v>
      </c>
      <c r="H103" s="29">
        <v>103207.84</v>
      </c>
      <c r="I103" s="29">
        <v>0</v>
      </c>
      <c r="J103" s="29">
        <v>0</v>
      </c>
      <c r="K103" s="29">
        <v>153837.20000000001</v>
      </c>
      <c r="L103" s="29">
        <v>0</v>
      </c>
      <c r="M103" s="29">
        <v>0</v>
      </c>
      <c r="N103" s="29">
        <v>10173.33</v>
      </c>
      <c r="O103" s="29">
        <v>0</v>
      </c>
    </row>
    <row r="104" spans="1:15" x14ac:dyDescent="0.75">
      <c r="A104" s="28">
        <v>381</v>
      </c>
      <c r="B104" s="28" t="s">
        <v>745</v>
      </c>
      <c r="C104" s="28" t="s">
        <v>746</v>
      </c>
      <c r="D104" s="29">
        <v>0</v>
      </c>
      <c r="E104" s="29">
        <v>85629.92</v>
      </c>
      <c r="F104" s="29">
        <v>0</v>
      </c>
      <c r="G104" s="29">
        <v>0</v>
      </c>
      <c r="H104" s="29">
        <v>103207.84</v>
      </c>
      <c r="I104" s="29">
        <v>0</v>
      </c>
      <c r="J104" s="29">
        <v>0</v>
      </c>
      <c r="K104" s="29">
        <v>153837.20000000001</v>
      </c>
      <c r="L104" s="29">
        <v>0</v>
      </c>
      <c r="M104" s="29">
        <v>0</v>
      </c>
      <c r="N104" s="29">
        <v>10173.33</v>
      </c>
      <c r="O104" s="29">
        <v>0</v>
      </c>
    </row>
    <row r="105" spans="1:15" x14ac:dyDescent="0.75">
      <c r="A105">
        <v>477</v>
      </c>
      <c r="B105" t="s">
        <v>747</v>
      </c>
      <c r="C105" t="s">
        <v>748</v>
      </c>
      <c r="D105" s="15">
        <v>0</v>
      </c>
      <c r="E105" s="15">
        <v>24254.98</v>
      </c>
      <c r="F105" s="15">
        <v>0</v>
      </c>
      <c r="G105" s="15">
        <v>0</v>
      </c>
      <c r="H105" s="15">
        <v>28907.96</v>
      </c>
      <c r="I105" s="15">
        <v>0</v>
      </c>
      <c r="J105" s="15">
        <v>0</v>
      </c>
      <c r="K105" s="15">
        <v>42309.85</v>
      </c>
      <c r="L105" s="15">
        <v>0</v>
      </c>
      <c r="M105" s="15">
        <v>0</v>
      </c>
      <c r="N105" s="15">
        <v>3815</v>
      </c>
      <c r="O105" s="15">
        <v>0</v>
      </c>
    </row>
    <row r="106" spans="1:15" x14ac:dyDescent="0.75">
      <c r="A106">
        <v>478</v>
      </c>
      <c r="B106" t="s">
        <v>749</v>
      </c>
      <c r="C106" t="s">
        <v>750</v>
      </c>
      <c r="D106" s="15">
        <v>0</v>
      </c>
      <c r="E106" s="15">
        <v>61374.94</v>
      </c>
      <c r="F106" s="15">
        <v>0</v>
      </c>
      <c r="G106" s="15">
        <v>0</v>
      </c>
      <c r="H106" s="15">
        <v>74299.88</v>
      </c>
      <c r="I106" s="15">
        <v>0</v>
      </c>
      <c r="J106" s="15">
        <v>0</v>
      </c>
      <c r="K106" s="15">
        <v>111527.35</v>
      </c>
      <c r="L106" s="15">
        <v>0</v>
      </c>
      <c r="M106" s="15">
        <v>0</v>
      </c>
      <c r="N106" s="15">
        <v>6358.33</v>
      </c>
      <c r="O106" s="15">
        <v>0</v>
      </c>
    </row>
    <row r="107" spans="1:15" x14ac:dyDescent="0.75">
      <c r="A107" s="28">
        <v>402</v>
      </c>
      <c r="B107" s="28" t="s">
        <v>751</v>
      </c>
      <c r="C107" s="28" t="s">
        <v>752</v>
      </c>
      <c r="D107" s="29">
        <v>-1905846.42</v>
      </c>
      <c r="E107" s="29">
        <v>-2068608.93</v>
      </c>
      <c r="F107" s="29">
        <v>-1786825.22</v>
      </c>
      <c r="G107" s="29">
        <v>-1911173.56</v>
      </c>
      <c r="H107" s="29">
        <v>-1960852.85</v>
      </c>
      <c r="I107" s="29">
        <v>-1834377.07</v>
      </c>
      <c r="J107" s="29">
        <v>-1946219.12</v>
      </c>
      <c r="K107" s="29">
        <v>-2006106.7</v>
      </c>
      <c r="L107" s="29">
        <v>-1489304.79</v>
      </c>
      <c r="M107" s="29">
        <v>-1509629.61</v>
      </c>
      <c r="N107" s="29">
        <v>-1360559.2</v>
      </c>
      <c r="O107" s="29">
        <v>-1233328.8899999999</v>
      </c>
    </row>
    <row r="108" spans="1:15" x14ac:dyDescent="0.75">
      <c r="A108" s="28">
        <v>403</v>
      </c>
      <c r="B108" s="28" t="s">
        <v>753</v>
      </c>
      <c r="C108" s="28" t="s">
        <v>754</v>
      </c>
      <c r="D108" s="29">
        <v>-1905846.42</v>
      </c>
      <c r="E108" s="29">
        <v>-2068608.93</v>
      </c>
      <c r="F108" s="29">
        <v>-1786825.22</v>
      </c>
      <c r="G108" s="29">
        <v>-1911173.56</v>
      </c>
      <c r="H108" s="29">
        <v>-1960852.85</v>
      </c>
      <c r="I108" s="29">
        <v>-1834377.07</v>
      </c>
      <c r="J108" s="29">
        <v>-1946219.12</v>
      </c>
      <c r="K108" s="29">
        <v>-2006106.7</v>
      </c>
      <c r="L108" s="29">
        <v>-1489304.79</v>
      </c>
      <c r="M108" s="29">
        <v>-1509629.61</v>
      </c>
      <c r="N108" s="29">
        <v>-1360559.2</v>
      </c>
      <c r="O108" s="29">
        <v>-1233328.8899999999</v>
      </c>
    </row>
    <row r="109" spans="1:15" x14ac:dyDescent="0.75">
      <c r="A109" s="28">
        <v>404</v>
      </c>
      <c r="B109" s="28" t="s">
        <v>755</v>
      </c>
      <c r="C109" s="28" t="s">
        <v>756</v>
      </c>
      <c r="D109" s="29">
        <v>-2131336.4700000002</v>
      </c>
      <c r="E109" s="29">
        <v>-2257028.31</v>
      </c>
      <c r="F109" s="29">
        <v>-1927351.3</v>
      </c>
      <c r="G109" s="29">
        <v>-2026904.31</v>
      </c>
      <c r="H109" s="29">
        <v>-2080242.12</v>
      </c>
      <c r="I109" s="29">
        <v>-1941682.06</v>
      </c>
      <c r="J109" s="29">
        <v>-2057600.87</v>
      </c>
      <c r="K109" s="29">
        <v>-2175670.46</v>
      </c>
      <c r="L109" s="29">
        <v>-1542878.57</v>
      </c>
      <c r="M109" s="29">
        <v>-1574308.16</v>
      </c>
      <c r="N109" s="29">
        <v>-1451922.47</v>
      </c>
      <c r="O109" s="29">
        <v>-1317254.73</v>
      </c>
    </row>
    <row r="110" spans="1:15" x14ac:dyDescent="0.75">
      <c r="A110" s="28">
        <v>405</v>
      </c>
      <c r="B110" s="28" t="s">
        <v>757</v>
      </c>
      <c r="C110" s="28" t="s">
        <v>758</v>
      </c>
      <c r="D110" s="29">
        <v>-2131336.4700000002</v>
      </c>
      <c r="E110" s="29">
        <v>-2257028.31</v>
      </c>
      <c r="F110" s="29">
        <v>-1927351.3</v>
      </c>
      <c r="G110" s="29">
        <v>-2026904.31</v>
      </c>
      <c r="H110" s="29">
        <v>-2080242.12</v>
      </c>
      <c r="I110" s="29">
        <v>-1941682.06</v>
      </c>
      <c r="J110" s="29">
        <v>-2057600.87</v>
      </c>
      <c r="K110" s="29">
        <v>-2175670.46</v>
      </c>
      <c r="L110" s="29">
        <v>-1542878.57</v>
      </c>
      <c r="M110" s="29">
        <v>-1574308.16</v>
      </c>
      <c r="N110" s="29">
        <v>-1451922.47</v>
      </c>
      <c r="O110" s="29">
        <v>-1317254.73</v>
      </c>
    </row>
    <row r="111" spans="1:15" x14ac:dyDescent="0.75">
      <c r="A111">
        <v>408</v>
      </c>
      <c r="B111" t="s">
        <v>759</v>
      </c>
      <c r="C111" t="s">
        <v>760</v>
      </c>
      <c r="D111" s="15">
        <v>-2131336.4700000002</v>
      </c>
      <c r="E111" s="15">
        <v>-2257028.31</v>
      </c>
      <c r="F111" s="15">
        <v>-1927351.3</v>
      </c>
      <c r="G111" s="15">
        <v>-2026904.31</v>
      </c>
      <c r="H111" s="15">
        <v>-2080242.12</v>
      </c>
      <c r="I111" s="15">
        <v>-1941682.06</v>
      </c>
      <c r="J111" s="15">
        <v>-2057600.87</v>
      </c>
      <c r="K111" s="15">
        <v>-2175670.46</v>
      </c>
      <c r="L111" s="15">
        <v>-1542878.57</v>
      </c>
      <c r="M111" s="15">
        <v>-1574308.16</v>
      </c>
      <c r="N111" s="15">
        <v>-1451922.47</v>
      </c>
      <c r="O111" s="15">
        <v>-1317254.73</v>
      </c>
    </row>
    <row r="112" spans="1:15" x14ac:dyDescent="0.75">
      <c r="A112" s="28">
        <v>413</v>
      </c>
      <c r="B112" s="28" t="s">
        <v>761</v>
      </c>
      <c r="C112" s="28" t="s">
        <v>762</v>
      </c>
      <c r="D112" s="29">
        <v>225788.77</v>
      </c>
      <c r="E112" s="29">
        <v>194714.84</v>
      </c>
      <c r="F112" s="29">
        <v>140886.95000000001</v>
      </c>
      <c r="G112" s="29">
        <v>116123.35</v>
      </c>
      <c r="H112" s="29">
        <v>119743.09</v>
      </c>
      <c r="I112" s="29">
        <v>107996.98</v>
      </c>
      <c r="J112" s="29">
        <v>113762.99</v>
      </c>
      <c r="K112" s="29">
        <v>174453.67</v>
      </c>
      <c r="L112" s="29">
        <v>58027.15</v>
      </c>
      <c r="M112" s="29">
        <v>64852.21</v>
      </c>
      <c r="N112" s="29">
        <v>92410.18</v>
      </c>
      <c r="O112" s="29">
        <v>84797.08</v>
      </c>
    </row>
    <row r="113" spans="1:15" x14ac:dyDescent="0.75">
      <c r="A113" s="28">
        <v>414</v>
      </c>
      <c r="B113" s="28" t="s">
        <v>763</v>
      </c>
      <c r="C113" s="28" t="s">
        <v>764</v>
      </c>
      <c r="D113" s="29">
        <v>162175.26</v>
      </c>
      <c r="E113" s="29">
        <v>124710.3</v>
      </c>
      <c r="F113" s="29">
        <v>76969.539999999994</v>
      </c>
      <c r="G113" s="29">
        <v>63450.03</v>
      </c>
      <c r="H113" s="29">
        <v>62157.71</v>
      </c>
      <c r="I113" s="29">
        <v>50802.94</v>
      </c>
      <c r="J113" s="29">
        <v>61368.47</v>
      </c>
      <c r="K113" s="29">
        <v>130559.05</v>
      </c>
      <c r="L113" s="29">
        <v>26550.03</v>
      </c>
      <c r="M113" s="29">
        <v>33377.96</v>
      </c>
      <c r="N113" s="29">
        <v>56297.59</v>
      </c>
      <c r="O113" s="29">
        <v>49308.62</v>
      </c>
    </row>
    <row r="114" spans="1:15" x14ac:dyDescent="0.75">
      <c r="A114">
        <v>417</v>
      </c>
      <c r="B114" t="s">
        <v>765</v>
      </c>
      <c r="C114" t="s">
        <v>766</v>
      </c>
      <c r="D114" s="15">
        <v>162175.26</v>
      </c>
      <c r="E114" s="15">
        <v>124710.3</v>
      </c>
      <c r="F114" s="15">
        <v>76969.539999999994</v>
      </c>
      <c r="G114" s="15">
        <v>63450.03</v>
      </c>
      <c r="H114" s="15">
        <v>62157.71</v>
      </c>
      <c r="I114" s="15">
        <v>50802.94</v>
      </c>
      <c r="J114" s="15">
        <v>61368.47</v>
      </c>
      <c r="K114" s="15">
        <v>130559.05</v>
      </c>
      <c r="L114" s="15">
        <v>26550.03</v>
      </c>
      <c r="M114" s="15">
        <v>33377.96</v>
      </c>
      <c r="N114" s="15">
        <v>56297.59</v>
      </c>
      <c r="O114" s="15">
        <v>49308.62</v>
      </c>
    </row>
    <row r="115" spans="1:15" x14ac:dyDescent="0.75">
      <c r="A115" s="28">
        <v>424</v>
      </c>
      <c r="B115" s="28" t="s">
        <v>767</v>
      </c>
      <c r="C115" s="28" t="s">
        <v>768</v>
      </c>
      <c r="D115" s="29">
        <v>63613.51</v>
      </c>
      <c r="E115" s="29">
        <v>70004.539999999994</v>
      </c>
      <c r="F115" s="29">
        <v>63917.41</v>
      </c>
      <c r="G115" s="29">
        <v>52673.32</v>
      </c>
      <c r="H115" s="29">
        <v>57585.38</v>
      </c>
      <c r="I115" s="29">
        <v>57194.04</v>
      </c>
      <c r="J115" s="29">
        <v>52394.52</v>
      </c>
      <c r="K115" s="29">
        <v>43894.62</v>
      </c>
      <c r="L115" s="29">
        <v>31477.119999999999</v>
      </c>
      <c r="M115" s="29">
        <v>31474.25</v>
      </c>
      <c r="N115" s="29">
        <v>36112.589999999997</v>
      </c>
      <c r="O115" s="29">
        <v>35488.46</v>
      </c>
    </row>
    <row r="116" spans="1:15" x14ac:dyDescent="0.75">
      <c r="A116">
        <v>426</v>
      </c>
      <c r="B116" t="s">
        <v>769</v>
      </c>
      <c r="C116" t="s">
        <v>770</v>
      </c>
      <c r="D116" s="15">
        <v>58883.24</v>
      </c>
      <c r="E116" s="15">
        <v>66194.09</v>
      </c>
      <c r="F116" s="15">
        <v>60784.14</v>
      </c>
      <c r="G116" s="15">
        <v>48832.05</v>
      </c>
      <c r="H116" s="15">
        <v>50666.34</v>
      </c>
      <c r="I116" s="15">
        <v>53909.66</v>
      </c>
      <c r="J116" s="15">
        <v>46831.75</v>
      </c>
      <c r="K116" s="15">
        <v>40597.01</v>
      </c>
      <c r="L116" s="15">
        <v>28677.78</v>
      </c>
      <c r="M116" s="15">
        <v>28360.1</v>
      </c>
      <c r="N116" s="15">
        <v>32860.57</v>
      </c>
      <c r="O116" s="15">
        <v>33019.089999999997</v>
      </c>
    </row>
    <row r="117" spans="1:15" x14ac:dyDescent="0.75">
      <c r="A117">
        <v>428</v>
      </c>
      <c r="B117" t="s">
        <v>771</v>
      </c>
      <c r="C117" t="s">
        <v>772</v>
      </c>
      <c r="D117" s="15">
        <v>3886.49</v>
      </c>
      <c r="E117" s="15">
        <v>3130.75</v>
      </c>
      <c r="F117" s="15">
        <v>2574.36</v>
      </c>
      <c r="G117" s="15">
        <v>3156.07</v>
      </c>
      <c r="H117" s="15">
        <v>5684.83</v>
      </c>
      <c r="I117" s="15">
        <v>2698.52</v>
      </c>
      <c r="J117" s="15">
        <v>4570.49</v>
      </c>
      <c r="K117" s="15">
        <v>2709.39</v>
      </c>
      <c r="L117" s="15">
        <v>2300</v>
      </c>
      <c r="M117" s="15">
        <v>2558.65</v>
      </c>
      <c r="N117" s="15">
        <v>2671.93</v>
      </c>
      <c r="O117" s="15">
        <v>2028.89</v>
      </c>
    </row>
    <row r="118" spans="1:15" x14ac:dyDescent="0.75">
      <c r="A118">
        <v>429</v>
      </c>
      <c r="B118" t="s">
        <v>773</v>
      </c>
      <c r="C118" t="s">
        <v>774</v>
      </c>
      <c r="D118" s="15">
        <v>843.78</v>
      </c>
      <c r="E118" s="15">
        <v>679.7</v>
      </c>
      <c r="F118" s="15">
        <v>558.91</v>
      </c>
      <c r="G118" s="15">
        <v>685.2</v>
      </c>
      <c r="H118" s="15">
        <v>1234.21</v>
      </c>
      <c r="I118" s="15">
        <v>585.86</v>
      </c>
      <c r="J118" s="15">
        <v>992.28</v>
      </c>
      <c r="K118" s="15">
        <v>588.22</v>
      </c>
      <c r="L118" s="15">
        <v>499.34</v>
      </c>
      <c r="M118" s="15">
        <v>555.5</v>
      </c>
      <c r="N118" s="15">
        <v>580.09</v>
      </c>
      <c r="O118" s="15">
        <v>440.48</v>
      </c>
    </row>
    <row r="119" spans="1:15" x14ac:dyDescent="0.75">
      <c r="A119" s="28">
        <v>430</v>
      </c>
      <c r="B119" s="28" t="s">
        <v>775</v>
      </c>
      <c r="C119" s="28" t="s">
        <v>776</v>
      </c>
      <c r="D119" s="29">
        <v>-298.72000000000003</v>
      </c>
      <c r="E119" s="29">
        <v>-6295.46</v>
      </c>
      <c r="F119" s="29">
        <v>-360.87</v>
      </c>
      <c r="G119" s="29">
        <v>-247.6</v>
      </c>
      <c r="H119" s="29">
        <v>-353.82</v>
      </c>
      <c r="I119" s="29">
        <v>-373.99</v>
      </c>
      <c r="J119" s="29">
        <v>-691.24</v>
      </c>
      <c r="K119" s="29">
        <v>-1306.9100000000001</v>
      </c>
      <c r="L119" s="29">
        <v>-409.37</v>
      </c>
      <c r="M119" s="29">
        <v>-173.66</v>
      </c>
      <c r="N119" s="29">
        <v>-598.91</v>
      </c>
      <c r="O119" s="29">
        <v>-871.24</v>
      </c>
    </row>
    <row r="120" spans="1:15" x14ac:dyDescent="0.75">
      <c r="A120" s="28">
        <v>431</v>
      </c>
      <c r="B120" s="28" t="s">
        <v>777</v>
      </c>
      <c r="C120" s="28" t="s">
        <v>778</v>
      </c>
      <c r="D120" s="29">
        <v>-298.72000000000003</v>
      </c>
      <c r="E120" s="29">
        <v>-6295.46</v>
      </c>
      <c r="F120" s="29">
        <v>-360.87</v>
      </c>
      <c r="G120" s="29">
        <v>-247.6</v>
      </c>
      <c r="H120" s="29">
        <v>-353.82</v>
      </c>
      <c r="I120" s="29">
        <v>-373.99</v>
      </c>
      <c r="J120" s="29">
        <v>-691.24</v>
      </c>
      <c r="K120" s="29">
        <v>-1306.9100000000001</v>
      </c>
      <c r="L120" s="29">
        <v>-409.37</v>
      </c>
      <c r="M120" s="29">
        <v>-173.66</v>
      </c>
      <c r="N120" s="29">
        <v>-598.91</v>
      </c>
      <c r="O120" s="29">
        <v>-871.24</v>
      </c>
    </row>
    <row r="121" spans="1:15" x14ac:dyDescent="0.75">
      <c r="A121">
        <v>432</v>
      </c>
      <c r="B121" t="s">
        <v>779</v>
      </c>
      <c r="C121" t="s">
        <v>780</v>
      </c>
      <c r="D121" s="15">
        <v>-298.72000000000003</v>
      </c>
      <c r="E121" s="15">
        <v>-373.65</v>
      </c>
      <c r="F121" s="15">
        <v>-360.87</v>
      </c>
      <c r="G121" s="15">
        <v>-247.57</v>
      </c>
      <c r="H121" s="15">
        <v>-353.82</v>
      </c>
      <c r="I121" s="15">
        <v>-373.99</v>
      </c>
      <c r="J121" s="15">
        <v>-450.11</v>
      </c>
      <c r="K121" s="15">
        <v>-575.96</v>
      </c>
      <c r="L121" s="15">
        <v>-394.03</v>
      </c>
      <c r="M121" s="15">
        <v>-70.84</v>
      </c>
      <c r="N121" s="15">
        <v>-495.78</v>
      </c>
      <c r="O121" s="15">
        <v>-871.24</v>
      </c>
    </row>
    <row r="122" spans="1:15" x14ac:dyDescent="0.75">
      <c r="A122">
        <v>433</v>
      </c>
      <c r="B122" t="s">
        <v>1099</v>
      </c>
      <c r="C122" t="s">
        <v>1068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-241.13</v>
      </c>
      <c r="K122" s="15">
        <v>-730.95</v>
      </c>
      <c r="L122" s="15">
        <v>-15.34</v>
      </c>
      <c r="M122" s="15">
        <v>-102.82</v>
      </c>
      <c r="N122" s="15">
        <v>-103.13</v>
      </c>
      <c r="O122" s="15">
        <v>0</v>
      </c>
    </row>
    <row r="123" spans="1:15" x14ac:dyDescent="0.75">
      <c r="A123">
        <v>1814</v>
      </c>
      <c r="B123" t="s">
        <v>781</v>
      </c>
      <c r="C123" t="s">
        <v>782</v>
      </c>
      <c r="D123" s="15">
        <v>0</v>
      </c>
      <c r="E123" s="15">
        <v>-5921.81</v>
      </c>
      <c r="F123" s="15">
        <v>0</v>
      </c>
      <c r="G123" s="15">
        <v>-0.03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</row>
    <row r="124" spans="1:15" x14ac:dyDescent="0.75">
      <c r="A124" s="28">
        <v>442</v>
      </c>
      <c r="B124" s="28" t="s">
        <v>783</v>
      </c>
      <c r="C124" s="28" t="s">
        <v>784</v>
      </c>
      <c r="D124" s="29">
        <v>0</v>
      </c>
      <c r="E124" s="29">
        <v>0</v>
      </c>
      <c r="F124" s="29">
        <v>0</v>
      </c>
      <c r="G124" s="29">
        <v>-145</v>
      </c>
      <c r="H124" s="29">
        <v>0</v>
      </c>
      <c r="I124" s="29">
        <v>-318</v>
      </c>
      <c r="J124" s="29">
        <v>-1690</v>
      </c>
      <c r="K124" s="29">
        <v>-3583</v>
      </c>
      <c r="L124" s="29">
        <v>-4044</v>
      </c>
      <c r="M124" s="29">
        <v>0</v>
      </c>
      <c r="N124" s="29">
        <v>-448</v>
      </c>
      <c r="O124" s="29">
        <v>0</v>
      </c>
    </row>
    <row r="125" spans="1:15" x14ac:dyDescent="0.75">
      <c r="A125" s="28">
        <v>443</v>
      </c>
      <c r="B125" s="28" t="s">
        <v>785</v>
      </c>
      <c r="C125" s="28" t="s">
        <v>786</v>
      </c>
      <c r="D125" s="29">
        <v>0</v>
      </c>
      <c r="E125" s="29">
        <v>0</v>
      </c>
      <c r="F125" s="29">
        <v>0</v>
      </c>
      <c r="G125" s="29">
        <v>-145</v>
      </c>
      <c r="H125" s="29">
        <v>0</v>
      </c>
      <c r="I125" s="29">
        <v>-318</v>
      </c>
      <c r="J125" s="29">
        <v>-1690</v>
      </c>
      <c r="K125" s="29">
        <v>-3583</v>
      </c>
      <c r="L125" s="29">
        <v>-4044</v>
      </c>
      <c r="M125" s="29">
        <v>0</v>
      </c>
      <c r="N125" s="29">
        <v>-448</v>
      </c>
      <c r="O125" s="29">
        <v>0</v>
      </c>
    </row>
    <row r="126" spans="1:15" x14ac:dyDescent="0.75">
      <c r="A126">
        <v>448</v>
      </c>
      <c r="B126" t="s">
        <v>787</v>
      </c>
      <c r="C126" t="s">
        <v>634</v>
      </c>
      <c r="D126" s="15">
        <v>0</v>
      </c>
      <c r="E126" s="15">
        <v>0</v>
      </c>
      <c r="F126" s="15">
        <v>0</v>
      </c>
      <c r="G126" s="15">
        <v>-145</v>
      </c>
      <c r="H126" s="15">
        <v>0</v>
      </c>
      <c r="I126" s="15">
        <v>-318</v>
      </c>
      <c r="J126" s="15">
        <v>-1690</v>
      </c>
      <c r="K126" s="15">
        <v>-3583</v>
      </c>
      <c r="L126" s="15">
        <v>-4044</v>
      </c>
      <c r="M126" s="15">
        <v>0</v>
      </c>
      <c r="N126" s="15">
        <v>-448</v>
      </c>
      <c r="O126" s="15">
        <v>0</v>
      </c>
    </row>
    <row r="128" spans="1:15" x14ac:dyDescent="0.75">
      <c r="A128" s="70" t="s">
        <v>5714</v>
      </c>
      <c r="B128" s="71"/>
      <c r="C128" s="72"/>
      <c r="D128" s="29">
        <f>(D107+D2)*-1</f>
        <v>66055.889999999898</v>
      </c>
      <c r="E128" s="29">
        <f t="shared" ref="E128:O128" si="0">(E107+E2)*-1</f>
        <v>89493.899999999907</v>
      </c>
      <c r="F128" s="29">
        <f t="shared" si="0"/>
        <v>35549.399999999907</v>
      </c>
      <c r="G128" s="29">
        <f t="shared" si="0"/>
        <v>147168.56000000006</v>
      </c>
      <c r="H128" s="29">
        <f t="shared" si="0"/>
        <v>130051.84000000008</v>
      </c>
      <c r="I128" s="29">
        <f t="shared" si="0"/>
        <v>177052.81000000006</v>
      </c>
      <c r="J128" s="29">
        <f t="shared" si="0"/>
        <v>111384.43000000017</v>
      </c>
      <c r="K128" s="29">
        <f t="shared" si="0"/>
        <v>43727.760000000009</v>
      </c>
      <c r="L128" s="29">
        <f t="shared" si="0"/>
        <v>56561.15000000014</v>
      </c>
      <c r="M128" s="29">
        <f t="shared" si="0"/>
        <v>65546.870000000112</v>
      </c>
      <c r="N128" s="29">
        <f t="shared" si="0"/>
        <v>-103300.39000000013</v>
      </c>
      <c r="O128" s="29">
        <f t="shared" si="0"/>
        <v>-112325.37000000011</v>
      </c>
    </row>
    <row r="129" spans="1:15" x14ac:dyDescent="0.75">
      <c r="A129" s="74" t="s">
        <v>5715</v>
      </c>
      <c r="B129" s="74"/>
      <c r="C129" s="74"/>
      <c r="D129" s="73">
        <f t="shared" ref="D129:N129" si="1">-D128/D107</f>
        <v>3.4659608091611026E-2</v>
      </c>
      <c r="E129" s="73">
        <f t="shared" si="1"/>
        <v>4.3262841372341897E-2</v>
      </c>
      <c r="F129" s="73">
        <f t="shared" si="1"/>
        <v>1.9895286680585305E-2</v>
      </c>
      <c r="G129" s="73">
        <f t="shared" si="1"/>
        <v>7.7004288401729487E-2</v>
      </c>
      <c r="H129" s="73">
        <f t="shared" si="1"/>
        <v>6.632412013986673E-2</v>
      </c>
      <c r="I129" s="73">
        <f t="shared" si="1"/>
        <v>9.6519310503592401E-2</v>
      </c>
      <c r="J129" s="73">
        <f t="shared" si="1"/>
        <v>5.7231186794629865E-2</v>
      </c>
      <c r="K129" s="73">
        <f t="shared" si="1"/>
        <v>2.1797325137292056E-2</v>
      </c>
      <c r="L129" s="73">
        <f t="shared" si="1"/>
        <v>3.7978223383005529E-2</v>
      </c>
      <c r="M129" s="73">
        <f t="shared" si="1"/>
        <v>4.3419173528267047E-2</v>
      </c>
      <c r="N129" s="73">
        <f t="shared" si="1"/>
        <v>-7.5924950564444482E-2</v>
      </c>
      <c r="O129" s="73">
        <f>-O128/O107</f>
        <v>-9.1074952440301726E-2</v>
      </c>
    </row>
  </sheetData>
  <autoFilter ref="A1:O126" xr:uid="{74391D96-0ADC-4B1A-BC10-103D77393688}"/>
  <mergeCells count="2">
    <mergeCell ref="A128:C128"/>
    <mergeCell ref="A129:C12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74B8-2598-4EA9-A24D-B0B96E549697}">
  <dimension ref="B1:Q61"/>
  <sheetViews>
    <sheetView showGridLines="0" zoomScaleNormal="10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M35" sqref="M35"/>
    </sheetView>
  </sheetViews>
  <sheetFormatPr defaultRowHeight="14.75" x14ac:dyDescent="0.75"/>
  <cols>
    <col min="1" max="1" width="0.86328125" customWidth="1"/>
    <col min="2" max="2" width="65.86328125" customWidth="1"/>
    <col min="3" max="6" width="17.7265625" customWidth="1"/>
    <col min="7" max="7" width="16.7265625" customWidth="1"/>
    <col min="8" max="14" width="17.7265625" customWidth="1"/>
    <col min="15" max="15" width="17.7265625" style="20" customWidth="1"/>
    <col min="16" max="16" width="15.86328125" bestFit="1" customWidth="1"/>
  </cols>
  <sheetData>
    <row r="1" spans="2:17" ht="7.5" customHeight="1" x14ac:dyDescent="0.75">
      <c r="B1" s="5"/>
    </row>
    <row r="2" spans="2:17" ht="16" x14ac:dyDescent="0.75">
      <c r="B2" s="7" t="s">
        <v>944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7" ht="7.5" customHeight="1" x14ac:dyDescent="0.7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17" ht="16" x14ac:dyDescent="0.75">
      <c r="B4" s="7" t="s">
        <v>888</v>
      </c>
      <c r="C4" s="7" t="s">
        <v>913</v>
      </c>
      <c r="D4" s="7" t="s">
        <v>914</v>
      </c>
      <c r="E4" s="7" t="s">
        <v>915</v>
      </c>
      <c r="F4" s="7" t="s">
        <v>916</v>
      </c>
      <c r="G4" s="7" t="s">
        <v>889</v>
      </c>
      <c r="H4" s="7" t="s">
        <v>949</v>
      </c>
      <c r="I4" s="7" t="s">
        <v>1008</v>
      </c>
      <c r="J4" s="7" t="s">
        <v>1100</v>
      </c>
      <c r="K4" s="7" t="s">
        <v>1308</v>
      </c>
      <c r="L4" s="7" t="s">
        <v>1309</v>
      </c>
      <c r="M4" s="7" t="s">
        <v>1310</v>
      </c>
      <c r="N4" s="7" t="s">
        <v>890</v>
      </c>
      <c r="O4" s="7" t="s">
        <v>917</v>
      </c>
    </row>
    <row r="5" spans="2:17" ht="6.75" customHeight="1" x14ac:dyDescent="0.75"/>
    <row r="6" spans="2:17" x14ac:dyDescent="0.75">
      <c r="B6" s="8" t="s">
        <v>891</v>
      </c>
      <c r="C6" s="9">
        <f>Resultado!D111*-1</f>
        <v>2131336.4700000002</v>
      </c>
      <c r="D6" s="9">
        <f>Resultado!E111*-1</f>
        <v>2257028.31</v>
      </c>
      <c r="E6" s="9">
        <f>Resultado!F111*-1</f>
        <v>1927351.3</v>
      </c>
      <c r="F6" s="9">
        <f>Resultado!G111*-1</f>
        <v>2026904.31</v>
      </c>
      <c r="G6" s="9">
        <f>Resultado!H111*-1</f>
        <v>2080242.12</v>
      </c>
      <c r="H6" s="9">
        <f>Resultado!I111*-1</f>
        <v>1941682.06</v>
      </c>
      <c r="I6" s="9">
        <f>Resultado!J111*-1</f>
        <v>2057600.87</v>
      </c>
      <c r="J6" s="9">
        <f>Resultado!K111*-1</f>
        <v>2175670.46</v>
      </c>
      <c r="K6" s="9">
        <f>Resultado!L111*-1</f>
        <v>1542878.57</v>
      </c>
      <c r="L6" s="9">
        <f>Resultado!M111*-1</f>
        <v>1574308.16</v>
      </c>
      <c r="M6" s="9">
        <f>Resultado!N111*-1</f>
        <v>1451922.47</v>
      </c>
      <c r="N6" s="9">
        <f>Resultado!O111*-1</f>
        <v>1317254.73</v>
      </c>
      <c r="O6" s="25">
        <f>SUM(C6:N6)</f>
        <v>22484179.830000002</v>
      </c>
      <c r="P6" s="38"/>
      <c r="Q6" s="38"/>
    </row>
    <row r="7" spans="2:17" x14ac:dyDescent="0.75">
      <c r="B7" s="8" t="s">
        <v>892</v>
      </c>
      <c r="C7" s="9">
        <f>Resultado!D112*-1</f>
        <v>-225788.77</v>
      </c>
      <c r="D7" s="9">
        <f>Resultado!E112*-1</f>
        <v>-194714.84</v>
      </c>
      <c r="E7" s="9">
        <f>Resultado!F112*-1</f>
        <v>-140886.95000000001</v>
      </c>
      <c r="F7" s="9">
        <f>Resultado!G112*-1</f>
        <v>-116123.35</v>
      </c>
      <c r="G7" s="9">
        <f>Resultado!H112*-1</f>
        <v>-119743.09</v>
      </c>
      <c r="H7" s="9">
        <f>Resultado!I112*-1</f>
        <v>-107996.98</v>
      </c>
      <c r="I7" s="9">
        <f>Resultado!J112*-1</f>
        <v>-113762.99</v>
      </c>
      <c r="J7" s="9">
        <f>Resultado!K112*-1</f>
        <v>-174453.67</v>
      </c>
      <c r="K7" s="9">
        <f>Resultado!L112*-1</f>
        <v>-58027.15</v>
      </c>
      <c r="L7" s="9">
        <f>Resultado!M112*-1</f>
        <v>-64852.21</v>
      </c>
      <c r="M7" s="9">
        <f>Resultado!N112*-1</f>
        <v>-92410.18</v>
      </c>
      <c r="N7" s="9">
        <f>Resultado!O112*-1</f>
        <v>-84797.08</v>
      </c>
      <c r="O7" s="25">
        <f>SUM(C7:N7)</f>
        <v>-1493557.2599999998</v>
      </c>
      <c r="P7" s="38"/>
    </row>
    <row r="8" spans="2:17" x14ac:dyDescent="0.75">
      <c r="B8" s="28" t="s">
        <v>893</v>
      </c>
      <c r="C8" s="29">
        <f t="shared" ref="C8:N8" si="0">C6+C7</f>
        <v>1905547.7000000002</v>
      </c>
      <c r="D8" s="29">
        <f t="shared" si="0"/>
        <v>2062313.47</v>
      </c>
      <c r="E8" s="29">
        <f t="shared" si="0"/>
        <v>1786464.35</v>
      </c>
      <c r="F8" s="29">
        <f t="shared" si="0"/>
        <v>1910780.96</v>
      </c>
      <c r="G8" s="29">
        <f t="shared" si="0"/>
        <v>1960499.03</v>
      </c>
      <c r="H8" s="29">
        <f t="shared" si="0"/>
        <v>1833685.08</v>
      </c>
      <c r="I8" s="29">
        <f t="shared" si="0"/>
        <v>1943837.8800000001</v>
      </c>
      <c r="J8" s="29">
        <f t="shared" si="0"/>
        <v>2001216.79</v>
      </c>
      <c r="K8" s="29">
        <f t="shared" si="0"/>
        <v>1484851.4200000002</v>
      </c>
      <c r="L8" s="29">
        <f t="shared" si="0"/>
        <v>1509455.95</v>
      </c>
      <c r="M8" s="29">
        <f t="shared" si="0"/>
        <v>1359512.29</v>
      </c>
      <c r="N8" s="29">
        <f t="shared" si="0"/>
        <v>1232457.6499999999</v>
      </c>
      <c r="O8" s="27">
        <f>SUM(C8:N8)</f>
        <v>20990622.57</v>
      </c>
      <c r="P8" s="38"/>
    </row>
    <row r="9" spans="2:17" x14ac:dyDescent="0.75">
      <c r="B9" s="8" t="s">
        <v>894</v>
      </c>
      <c r="C9" s="9">
        <f>(Resultado!D31+Resultado!D36)*-1</f>
        <v>-1113557.6500000001</v>
      </c>
      <c r="D9" s="9">
        <f>(Resultado!E31+Resultado!E36)*-1</f>
        <v>-1124164.32</v>
      </c>
      <c r="E9" s="9">
        <f>(Resultado!F31+Resultado!F36)*-1</f>
        <v>-1073930.97</v>
      </c>
      <c r="F9" s="9">
        <f>(Resultado!G31+Resultado!G36)*-1</f>
        <v>-1007869.69</v>
      </c>
      <c r="G9" s="9">
        <f>(Resultado!H31+Resultado!H36)*-1</f>
        <v>-1006629.4500000001</v>
      </c>
      <c r="H9" s="9">
        <f>(Resultado!I31+Resultado!I36)*-1</f>
        <v>-920109.59</v>
      </c>
      <c r="I9" s="9">
        <f>(Resultado!J31+Resultado!J36)*-1</f>
        <v>-1088904.31</v>
      </c>
      <c r="J9" s="9">
        <f>(Resultado!K31+Resultado!K36)*-1</f>
        <v>-1073349.6800000002</v>
      </c>
      <c r="K9" s="9">
        <f>(Resultado!L31+Resultado!L36)*-1</f>
        <v>-747224.95000000007</v>
      </c>
      <c r="L9" s="9">
        <f>(Resultado!M31+Resultado!M36)*-1</f>
        <v>-682956.96</v>
      </c>
      <c r="M9" s="9">
        <f>(Resultado!N31+Resultado!N36)*-1</f>
        <v>-753263.63</v>
      </c>
      <c r="N9" s="9">
        <f>(Resultado!O36+Resultado!O31)*-1</f>
        <v>-656341.91</v>
      </c>
      <c r="O9" s="25">
        <f>SUM(C9:N9)</f>
        <v>-11248303.110000001</v>
      </c>
      <c r="P9" s="38"/>
      <c r="Q9" s="38"/>
    </row>
    <row r="10" spans="2:17" x14ac:dyDescent="0.75">
      <c r="B10" s="8" t="s">
        <v>895</v>
      </c>
      <c r="C10" s="9">
        <f>Resultado!D37*-1</f>
        <v>-87585.21</v>
      </c>
      <c r="D10" s="9">
        <f>Resultado!E37*-1</f>
        <v>-91354.08</v>
      </c>
      <c r="E10" s="9">
        <f>Resultado!F37*-1</f>
        <v>-47757.31</v>
      </c>
      <c r="F10" s="9">
        <f>Resultado!G37*-1</f>
        <v>-81163.86</v>
      </c>
      <c r="G10" s="9">
        <f>Resultado!H37*-1</f>
        <v>-44539.17</v>
      </c>
      <c r="H10" s="9">
        <f>Resultado!I37*-1</f>
        <v>-66391.78</v>
      </c>
      <c r="I10" s="9">
        <f>Resultado!J37*-1</f>
        <v>-65981.33</v>
      </c>
      <c r="J10" s="9">
        <f>Resultado!K37*-1</f>
        <v>-53248.26</v>
      </c>
      <c r="K10" s="9">
        <f>Resultado!L37*-1</f>
        <v>-28041.279999999999</v>
      </c>
      <c r="L10" s="9">
        <f>Resultado!M37*-1</f>
        <v>-36292.480000000003</v>
      </c>
      <c r="M10" s="9">
        <f>Resultado!N37*-1</f>
        <v>-40372.93</v>
      </c>
      <c r="N10" s="9">
        <f>Resultado!O37*-1</f>
        <v>-47557.31</v>
      </c>
      <c r="O10" s="25">
        <f t="shared" ref="O10:O21" si="1">SUM(C10:N10)</f>
        <v>-690285</v>
      </c>
      <c r="P10" s="38"/>
    </row>
    <row r="11" spans="2:17" x14ac:dyDescent="0.75">
      <c r="B11" s="30" t="s">
        <v>896</v>
      </c>
      <c r="C11" s="31">
        <f t="shared" ref="C11:N11" si="2">C8+C9+C10</f>
        <v>704404.84000000008</v>
      </c>
      <c r="D11" s="31">
        <f t="shared" si="2"/>
        <v>846795.07</v>
      </c>
      <c r="E11" s="31">
        <f t="shared" si="2"/>
        <v>664776.07000000007</v>
      </c>
      <c r="F11" s="31">
        <f t="shared" si="2"/>
        <v>821747.41</v>
      </c>
      <c r="G11" s="31">
        <f t="shared" si="2"/>
        <v>909330.40999999992</v>
      </c>
      <c r="H11" s="31">
        <f t="shared" si="2"/>
        <v>847183.71000000008</v>
      </c>
      <c r="I11" s="31">
        <f t="shared" si="2"/>
        <v>788952.24000000011</v>
      </c>
      <c r="J11" s="31">
        <f t="shared" si="2"/>
        <v>874618.84999999986</v>
      </c>
      <c r="K11" s="31">
        <f t="shared" si="2"/>
        <v>709585.19000000006</v>
      </c>
      <c r="L11" s="31">
        <f t="shared" si="2"/>
        <v>790206.51</v>
      </c>
      <c r="M11" s="31">
        <f t="shared" si="2"/>
        <v>565875.73</v>
      </c>
      <c r="N11" s="31">
        <f t="shared" si="2"/>
        <v>528558.42999999993</v>
      </c>
      <c r="O11" s="27">
        <f t="shared" si="1"/>
        <v>9052034.4600000009</v>
      </c>
      <c r="P11" s="38"/>
    </row>
    <row r="12" spans="2:17" x14ac:dyDescent="0.75">
      <c r="B12" s="8" t="s">
        <v>983</v>
      </c>
      <c r="C12" s="9">
        <f>(Resultado!D5+Resultado!D21+Resultado!D40)*-1</f>
        <v>-515194.98</v>
      </c>
      <c r="D12" s="9">
        <f>(Resultado!E5+Resultado!E21+Resultado!E40)*-1</f>
        <v>-539042.35</v>
      </c>
      <c r="E12" s="9">
        <f>(Resultado!F5+Resultado!F21+Resultado!F40)*-1</f>
        <v>-498749.93999999994</v>
      </c>
      <c r="F12" s="9">
        <f>(Resultado!G5+Resultado!G21+Resultado!G40)*-1</f>
        <v>-540559.43999999994</v>
      </c>
      <c r="G12" s="9">
        <f>(Resultado!H5+Resultado!H21+Resultado!H40)*-1</f>
        <v>-535658.41999999993</v>
      </c>
      <c r="H12" s="9">
        <f>(Resultado!I5+Resultado!I21+Resultado!I40)*-1</f>
        <v>-528630.9</v>
      </c>
      <c r="I12" s="9">
        <f>(Resultado!J5+Resultado!J21+Resultado!J40)*-1</f>
        <v>-518981.07</v>
      </c>
      <c r="J12" s="9">
        <f>(Resultado!K5+Resultado!K21+Resultado!K40)*-1</f>
        <v>-506952.9</v>
      </c>
      <c r="K12" s="9">
        <f>(Resultado!L5+Resultado!L21+Resultado!L40)*-1</f>
        <v>-488884.3</v>
      </c>
      <c r="L12" s="9">
        <f>(Resultado!M5+Resultado!M21+Resultado!M40)*-1</f>
        <v>-516671.22000000003</v>
      </c>
      <c r="M12" s="9">
        <f>(Resultado!N5+Resultado!N21+Resultado!N40)*-1</f>
        <v>-471829.17</v>
      </c>
      <c r="N12" s="9">
        <f>(Resultado!O5+Resultado!O21+Resultado!O40)*-1</f>
        <v>-472397.94999999995</v>
      </c>
      <c r="O12" s="25">
        <f>SUM(C12:N12)</f>
        <v>-6133552.6399999997</v>
      </c>
      <c r="P12" s="38"/>
    </row>
    <row r="13" spans="2:17" x14ac:dyDescent="0.75">
      <c r="B13" s="8" t="s">
        <v>662</v>
      </c>
      <c r="C13" s="9">
        <f>(Resultado!D49+Resultado!D62)*-1</f>
        <v>-33579.440000000002</v>
      </c>
      <c r="D13" s="9">
        <f>(Resultado!E49+Resultado!E62)*-1</f>
        <v>-29425.390000000003</v>
      </c>
      <c r="E13" s="9">
        <f>(Resultado!F49+Resultado!F62)*-1</f>
        <v>-30585.88</v>
      </c>
      <c r="F13" s="9">
        <f>(Resultado!G49+Resultado!G62)*-1</f>
        <v>-27021.510000000002</v>
      </c>
      <c r="G13" s="9">
        <f>(Resultado!H49+Resultado!H62)*-1</f>
        <v>-29443.17</v>
      </c>
      <c r="H13" s="9">
        <f>(Resultado!I49+Resultado!I62)*-1</f>
        <v>-25195.96</v>
      </c>
      <c r="I13" s="9">
        <f>(Resultado!J49+Resultado!J62)*-1</f>
        <v>-35358.559999999998</v>
      </c>
      <c r="J13" s="9">
        <f>(Resultado!K49+Resultado!K62)*-1</f>
        <v>-28725.989999999998</v>
      </c>
      <c r="K13" s="9">
        <f>(Resultado!L49+Resultado!L62)*-1</f>
        <v>-28556.35</v>
      </c>
      <c r="L13" s="9">
        <f>(Resultado!M49+Resultado!M62)*-1</f>
        <v>-30532.87</v>
      </c>
      <c r="M13" s="9">
        <f>(Resultado!N49+Resultado!N62)*-1</f>
        <v>-33172.65</v>
      </c>
      <c r="N13" s="9">
        <f>(Resultado!O49+Resultado!O62)*-1</f>
        <v>-32958.340000000004</v>
      </c>
      <c r="O13" s="25">
        <f t="shared" si="1"/>
        <v>-364556.11000000004</v>
      </c>
      <c r="P13" s="38"/>
    </row>
    <row r="14" spans="2:17" x14ac:dyDescent="0.75">
      <c r="B14" s="10" t="s">
        <v>682</v>
      </c>
      <c r="C14" s="9">
        <f>Resultado!D67*-1</f>
        <v>-49491.85</v>
      </c>
      <c r="D14" s="9">
        <f>Resultado!E67*-1</f>
        <v>-56730.66</v>
      </c>
      <c r="E14" s="9">
        <f>Resultado!F67*-1</f>
        <v>-53829.83</v>
      </c>
      <c r="F14" s="9">
        <f>Resultado!G67*-1</f>
        <v>-56808.54</v>
      </c>
      <c r="G14" s="9">
        <f>Resultado!H67*-1</f>
        <v>-58171.93</v>
      </c>
      <c r="H14" s="9">
        <f>Resultado!I67*-1</f>
        <v>-91186.17</v>
      </c>
      <c r="I14" s="9">
        <f>Resultado!J67*-1</f>
        <v>-84600.06</v>
      </c>
      <c r="J14" s="9">
        <f>Resultado!K67*-1</f>
        <v>-89358.96</v>
      </c>
      <c r="K14" s="9">
        <f>Resultado!L67*-1</f>
        <v>-114366.38</v>
      </c>
      <c r="L14" s="9">
        <f>Resultado!M67*-1</f>
        <v>-165600.94</v>
      </c>
      <c r="M14" s="9">
        <f>Resultado!N67*-1</f>
        <v>-107900.35</v>
      </c>
      <c r="N14" s="9">
        <f>Resultado!O67*-1</f>
        <v>-112034.8</v>
      </c>
      <c r="O14" s="25">
        <f t="shared" si="1"/>
        <v>-1040080.4700000001</v>
      </c>
      <c r="P14" s="38"/>
    </row>
    <row r="15" spans="2:17" x14ac:dyDescent="0.75">
      <c r="B15" s="8" t="s">
        <v>897</v>
      </c>
      <c r="C15" s="9">
        <f>Resultado!D124*-1</f>
        <v>0</v>
      </c>
      <c r="D15" s="9">
        <f>Resultado!E124*-1</f>
        <v>0</v>
      </c>
      <c r="E15" s="9">
        <f>Resultado!F124*-1</f>
        <v>0</v>
      </c>
      <c r="F15" s="9">
        <f>Resultado!G124*-1</f>
        <v>145</v>
      </c>
      <c r="G15" s="9">
        <f>Resultado!H124*-1</f>
        <v>0</v>
      </c>
      <c r="H15" s="9">
        <f>Resultado!I124*-1</f>
        <v>318</v>
      </c>
      <c r="I15" s="9">
        <f>Resultado!J124*-1</f>
        <v>1690</v>
      </c>
      <c r="J15" s="9">
        <f>Resultado!K124*-1</f>
        <v>3583</v>
      </c>
      <c r="K15" s="9">
        <f>Resultado!L124*-1</f>
        <v>4044</v>
      </c>
      <c r="L15" s="9">
        <f>Resultado!M124*-1</f>
        <v>0</v>
      </c>
      <c r="M15" s="9">
        <f>Resultado!N124*-1</f>
        <v>448</v>
      </c>
      <c r="N15" s="9">
        <f>Resultado!O124*-1</f>
        <v>0</v>
      </c>
      <c r="O15" s="25">
        <f t="shared" si="1"/>
        <v>10228</v>
      </c>
      <c r="P15" s="38"/>
    </row>
    <row r="16" spans="2:17" x14ac:dyDescent="0.75">
      <c r="B16" s="8" t="s">
        <v>742</v>
      </c>
      <c r="C16" s="9">
        <f>Resultado!D101*-1</f>
        <v>-11051.08</v>
      </c>
      <c r="D16" s="9">
        <f>Resultado!E101*-1</f>
        <v>-10669.02</v>
      </c>
      <c r="E16" s="9">
        <f>Resultado!F101*-1</f>
        <v>-11625.31</v>
      </c>
      <c r="F16" s="9">
        <f>Resultado!G101*-1</f>
        <v>-13834.12</v>
      </c>
      <c r="G16" s="9">
        <f>Resultado!H101*-1</f>
        <v>-17419.36</v>
      </c>
      <c r="H16" s="9">
        <f>Resultado!I101*-1</f>
        <v>-8316.11</v>
      </c>
      <c r="I16" s="9">
        <f>Resultado!J101*-1</f>
        <v>-6832.3</v>
      </c>
      <c r="J16" s="9">
        <f>Resultado!K101*-1</f>
        <v>-7440.65</v>
      </c>
      <c r="K16" s="9">
        <f>Resultado!L101*-1</f>
        <v>-2745.62</v>
      </c>
      <c r="L16" s="9">
        <f>Resultado!M101*-1</f>
        <v>-4049.4</v>
      </c>
      <c r="M16" s="9">
        <f>Resultado!N101*-1</f>
        <v>-6612.91</v>
      </c>
      <c r="N16" s="9">
        <f>Resultado!O101*-1</f>
        <v>-6941.68</v>
      </c>
      <c r="O16" s="25">
        <f t="shared" si="1"/>
        <v>-107537.56</v>
      </c>
      <c r="P16" s="38"/>
    </row>
    <row r="17" spans="2:16" x14ac:dyDescent="0.75">
      <c r="B17" s="28" t="s">
        <v>898</v>
      </c>
      <c r="C17" s="29">
        <f t="shared" ref="C17:N17" si="3">C11+C12+C13+C14+C15+C16</f>
        <v>95087.490000000093</v>
      </c>
      <c r="D17" s="29">
        <f t="shared" si="3"/>
        <v>210927.64999999997</v>
      </c>
      <c r="E17" s="29">
        <f t="shared" si="3"/>
        <v>69985.110000000117</v>
      </c>
      <c r="F17" s="29">
        <f t="shared" si="3"/>
        <v>183668.80000000008</v>
      </c>
      <c r="G17" s="29">
        <f t="shared" si="3"/>
        <v>268637.53000000003</v>
      </c>
      <c r="H17" s="29">
        <f t="shared" si="3"/>
        <v>194172.57000000007</v>
      </c>
      <c r="I17" s="29">
        <f t="shared" si="3"/>
        <v>144870.25000000012</v>
      </c>
      <c r="J17" s="29">
        <f t="shared" si="3"/>
        <v>245723.34999999983</v>
      </c>
      <c r="K17" s="29">
        <f t="shared" si="3"/>
        <v>79076.540000000066</v>
      </c>
      <c r="L17" s="29">
        <f t="shared" si="3"/>
        <v>73352.079999999987</v>
      </c>
      <c r="M17" s="29">
        <f t="shared" si="3"/>
        <v>-53191.350000000006</v>
      </c>
      <c r="N17" s="29">
        <f t="shared" si="3"/>
        <v>-95774.340000000026</v>
      </c>
      <c r="O17" s="27">
        <f t="shared" si="1"/>
        <v>1416535.6800000002</v>
      </c>
      <c r="P17" s="38"/>
    </row>
    <row r="18" spans="2:16" x14ac:dyDescent="0.75">
      <c r="B18" s="8" t="s">
        <v>899</v>
      </c>
      <c r="C18" s="9">
        <f>Resultado!D119*-1</f>
        <v>298.72000000000003</v>
      </c>
      <c r="D18" s="9">
        <f>Resultado!E119*-1</f>
        <v>6295.46</v>
      </c>
      <c r="E18" s="9">
        <f>Resultado!F119*-1</f>
        <v>360.87</v>
      </c>
      <c r="F18" s="9">
        <f>Resultado!G119*-1</f>
        <v>247.6</v>
      </c>
      <c r="G18" s="9">
        <f>Resultado!H119*-1</f>
        <v>353.82</v>
      </c>
      <c r="H18" s="9">
        <f>Resultado!I119*-1</f>
        <v>373.99</v>
      </c>
      <c r="I18" s="9">
        <f>Resultado!J119*-1</f>
        <v>691.24</v>
      </c>
      <c r="J18" s="9">
        <f>Resultado!K119*-1</f>
        <v>1306.9100000000001</v>
      </c>
      <c r="K18" s="9">
        <f>Resultado!L119*-1</f>
        <v>409.37</v>
      </c>
      <c r="L18" s="9">
        <f>Resultado!M119*-1</f>
        <v>173.66</v>
      </c>
      <c r="M18" s="9">
        <f>Resultado!N119*-1</f>
        <v>598.91</v>
      </c>
      <c r="N18" s="9">
        <f>Resultado!O119*-1</f>
        <v>871.24</v>
      </c>
      <c r="O18" s="25">
        <f t="shared" si="1"/>
        <v>11981.79</v>
      </c>
      <c r="P18" s="38"/>
    </row>
    <row r="19" spans="2:16" x14ac:dyDescent="0.75">
      <c r="B19" s="8" t="s">
        <v>900</v>
      </c>
      <c r="C19" s="9">
        <f>Resultado!D93*-1</f>
        <v>-29330.32</v>
      </c>
      <c r="D19" s="9">
        <f>Resultado!E93*-1</f>
        <v>-42099.29</v>
      </c>
      <c r="E19" s="9">
        <f>Resultado!F93*-1</f>
        <v>-34796.58</v>
      </c>
      <c r="F19" s="9">
        <f>Resultado!G93*-1</f>
        <v>-36747.839999999997</v>
      </c>
      <c r="G19" s="9">
        <f>Resultado!H93*-1</f>
        <v>-35731.67</v>
      </c>
      <c r="H19" s="9">
        <f>Resultado!I93*-1</f>
        <v>-17493.75</v>
      </c>
      <c r="I19" s="9">
        <f>Resultado!J93*-1</f>
        <v>-34177.06</v>
      </c>
      <c r="J19" s="9">
        <f>Resultado!K93*-1</f>
        <v>-49465.3</v>
      </c>
      <c r="K19" s="9">
        <f>Resultado!L93*-1</f>
        <v>-22924.76</v>
      </c>
      <c r="L19" s="9">
        <f>Resultado!M93*-1</f>
        <v>-7978.87</v>
      </c>
      <c r="M19" s="9">
        <f>Resultado!N93*-1</f>
        <v>-40534.620000000003</v>
      </c>
      <c r="N19" s="9">
        <f>Resultado!O93*-1</f>
        <v>-17947.419999999998</v>
      </c>
      <c r="O19" s="25">
        <f t="shared" si="1"/>
        <v>-369227.48</v>
      </c>
      <c r="P19" s="38"/>
    </row>
    <row r="20" spans="2:16" x14ac:dyDescent="0.75">
      <c r="B20" s="28" t="s">
        <v>901</v>
      </c>
      <c r="C20" s="29">
        <f t="shared" ref="C20:N20" si="4">C17+C18+C19</f>
        <v>66055.890000000101</v>
      </c>
      <c r="D20" s="29">
        <f t="shared" si="4"/>
        <v>175123.81999999995</v>
      </c>
      <c r="E20" s="29">
        <f t="shared" si="4"/>
        <v>35549.400000000111</v>
      </c>
      <c r="F20" s="29">
        <f t="shared" si="4"/>
        <v>147168.56000000008</v>
      </c>
      <c r="G20" s="29">
        <f t="shared" si="4"/>
        <v>233259.68000000005</v>
      </c>
      <c r="H20" s="29">
        <f t="shared" si="4"/>
        <v>177052.81000000006</v>
      </c>
      <c r="I20" s="29">
        <f t="shared" si="4"/>
        <v>111384.43000000011</v>
      </c>
      <c r="J20" s="29">
        <f t="shared" si="4"/>
        <v>197564.95999999985</v>
      </c>
      <c r="K20" s="29">
        <f t="shared" si="4"/>
        <v>56561.150000000067</v>
      </c>
      <c r="L20" s="29">
        <f t="shared" si="4"/>
        <v>65546.87</v>
      </c>
      <c r="M20" s="29">
        <f t="shared" si="4"/>
        <v>-93127.06</v>
      </c>
      <c r="N20" s="29">
        <f t="shared" si="4"/>
        <v>-112850.52000000002</v>
      </c>
      <c r="O20" s="27">
        <f t="shared" si="1"/>
        <v>1059289.9900000002</v>
      </c>
      <c r="P20" s="38"/>
    </row>
    <row r="21" spans="2:16" x14ac:dyDescent="0.75">
      <c r="B21" s="8" t="s">
        <v>902</v>
      </c>
      <c r="C21" s="11">
        <f>Resultado!D103*-1</f>
        <v>0</v>
      </c>
      <c r="D21" s="11">
        <f>Resultado!E103*-1</f>
        <v>-85629.92</v>
      </c>
      <c r="E21" s="11">
        <f>Resultado!F103*-1</f>
        <v>0</v>
      </c>
      <c r="F21" s="11">
        <f>Resultado!G103*-1</f>
        <v>0</v>
      </c>
      <c r="G21" s="11">
        <f>Resultado!H103*-1</f>
        <v>-103207.84</v>
      </c>
      <c r="H21" s="11">
        <f>Resultado!I103*-1</f>
        <v>0</v>
      </c>
      <c r="I21" s="11">
        <f>Resultado!J103*-1</f>
        <v>0</v>
      </c>
      <c r="J21" s="11">
        <f>Resultado!K103*-1</f>
        <v>-153837.20000000001</v>
      </c>
      <c r="K21" s="11">
        <f>Resultado!L103*-1</f>
        <v>0</v>
      </c>
      <c r="L21" s="11">
        <f>Resultado!M103*-1</f>
        <v>0</v>
      </c>
      <c r="M21" s="11">
        <f>Resultado!N103*-1</f>
        <v>-10173.33</v>
      </c>
      <c r="N21" s="11">
        <f>Resultado!O103*-1</f>
        <v>0</v>
      </c>
      <c r="O21" s="25">
        <f t="shared" si="1"/>
        <v>-352848.29000000004</v>
      </c>
      <c r="P21" s="38"/>
    </row>
    <row r="22" spans="2:16" x14ac:dyDescent="0.75">
      <c r="B22" s="28" t="s">
        <v>903</v>
      </c>
      <c r="C22" s="29">
        <f t="shared" ref="C22:M22" si="5">C20+C21</f>
        <v>66055.890000000101</v>
      </c>
      <c r="D22" s="29">
        <f t="shared" si="5"/>
        <v>89493.899999999951</v>
      </c>
      <c r="E22" s="29">
        <f t="shared" si="5"/>
        <v>35549.400000000111</v>
      </c>
      <c r="F22" s="29">
        <f t="shared" si="5"/>
        <v>147168.56000000008</v>
      </c>
      <c r="G22" s="29">
        <f t="shared" si="5"/>
        <v>130051.84000000005</v>
      </c>
      <c r="H22" s="29">
        <f t="shared" si="5"/>
        <v>177052.81000000006</v>
      </c>
      <c r="I22" s="29">
        <f t="shared" si="5"/>
        <v>111384.43000000011</v>
      </c>
      <c r="J22" s="29">
        <f t="shared" si="5"/>
        <v>43727.759999999835</v>
      </c>
      <c r="K22" s="29">
        <f t="shared" si="5"/>
        <v>56561.150000000067</v>
      </c>
      <c r="L22" s="29">
        <f t="shared" si="5"/>
        <v>65546.87</v>
      </c>
      <c r="M22" s="29">
        <f t="shared" si="5"/>
        <v>-103300.39</v>
      </c>
      <c r="N22" s="29">
        <f>N20+N21</f>
        <v>-112850.52000000002</v>
      </c>
      <c r="O22" s="27">
        <f>SUM(C22:N22)</f>
        <v>706441.7000000003</v>
      </c>
      <c r="P22" s="38"/>
    </row>
    <row r="23" spans="2:16" x14ac:dyDescent="0.75"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2:16" x14ac:dyDescent="0.75">
      <c r="B24" s="10" t="s">
        <v>904</v>
      </c>
      <c r="C24" s="11">
        <f>Resultado!D74*-1</f>
        <v>-2894.1</v>
      </c>
      <c r="D24" s="11">
        <f>Resultado!E74*-1</f>
        <v>-2922.43</v>
      </c>
      <c r="E24" s="11">
        <f>Resultado!F74*-1</f>
        <v>-3011.1</v>
      </c>
      <c r="F24" s="11">
        <f>Resultado!G74*-1</f>
        <v>-3119.1</v>
      </c>
      <c r="G24" s="11">
        <f>Resultado!H74*-1</f>
        <v>-3119.1</v>
      </c>
      <c r="H24" s="11">
        <f>Resultado!I74*-1</f>
        <v>-3119.1</v>
      </c>
      <c r="I24" s="11">
        <f>Resultado!J74*-1</f>
        <v>-3119.1</v>
      </c>
      <c r="J24" s="11">
        <f>Resultado!K74*-1</f>
        <v>-3119.1</v>
      </c>
      <c r="K24" s="11">
        <f>Resultado!L74*-1</f>
        <v>-2967.07</v>
      </c>
      <c r="L24" s="11">
        <f>Resultado!M74*-1</f>
        <v>-3009.57</v>
      </c>
      <c r="M24" s="11">
        <f>Resultado!N74*-1</f>
        <v>-3009.57</v>
      </c>
      <c r="N24" s="11">
        <f>Resultado!O74*-1</f>
        <v>-3009.57</v>
      </c>
      <c r="O24" s="25">
        <f>SUM(C24:N24)</f>
        <v>-36418.909999999996</v>
      </c>
    </row>
    <row r="25" spans="2:16" x14ac:dyDescent="0.75">
      <c r="B25" s="32" t="s">
        <v>905</v>
      </c>
      <c r="C25" s="29">
        <f t="shared" ref="C25:N25" si="6">C24</f>
        <v>-2894.1</v>
      </c>
      <c r="D25" s="29">
        <f t="shared" si="6"/>
        <v>-2922.43</v>
      </c>
      <c r="E25" s="29">
        <f t="shared" si="6"/>
        <v>-3011.1</v>
      </c>
      <c r="F25" s="29">
        <f t="shared" si="6"/>
        <v>-3119.1</v>
      </c>
      <c r="G25" s="29">
        <f t="shared" si="6"/>
        <v>-3119.1</v>
      </c>
      <c r="H25" s="29">
        <f t="shared" si="6"/>
        <v>-3119.1</v>
      </c>
      <c r="I25" s="29">
        <f t="shared" si="6"/>
        <v>-3119.1</v>
      </c>
      <c r="J25" s="29">
        <f t="shared" si="6"/>
        <v>-3119.1</v>
      </c>
      <c r="K25" s="29">
        <f t="shared" si="6"/>
        <v>-2967.07</v>
      </c>
      <c r="L25" s="29">
        <f t="shared" si="6"/>
        <v>-3009.57</v>
      </c>
      <c r="M25" s="29">
        <f t="shared" si="6"/>
        <v>-3009.57</v>
      </c>
      <c r="N25" s="29">
        <f t="shared" si="6"/>
        <v>-3009.57</v>
      </c>
      <c r="O25" s="27">
        <f>SUM(C25:N25)</f>
        <v>-36418.909999999996</v>
      </c>
    </row>
    <row r="26" spans="2:16" x14ac:dyDescent="0.75">
      <c r="B26" s="37"/>
    </row>
    <row r="27" spans="2:16" ht="16" x14ac:dyDescent="0.75">
      <c r="B27" s="33" t="s">
        <v>943</v>
      </c>
      <c r="C27" s="7" t="s">
        <v>913</v>
      </c>
      <c r="D27" s="7" t="s">
        <v>914</v>
      </c>
      <c r="E27" s="7" t="s">
        <v>915</v>
      </c>
      <c r="F27" s="7" t="s">
        <v>916</v>
      </c>
      <c r="G27" s="7" t="s">
        <v>889</v>
      </c>
      <c r="H27" s="7" t="s">
        <v>949</v>
      </c>
      <c r="I27" s="7" t="s">
        <v>1008</v>
      </c>
      <c r="J27" s="7" t="s">
        <v>1100</v>
      </c>
      <c r="K27" s="7" t="s">
        <v>1308</v>
      </c>
      <c r="L27" s="7" t="s">
        <v>1309</v>
      </c>
      <c r="M27" s="7" t="s">
        <v>1310</v>
      </c>
      <c r="N27" s="7" t="s">
        <v>890</v>
      </c>
      <c r="O27" s="7" t="s">
        <v>917</v>
      </c>
    </row>
    <row r="28" spans="2:16" x14ac:dyDescent="0.75">
      <c r="B28" s="8" t="s">
        <v>918</v>
      </c>
      <c r="C28" s="16">
        <f>(Patrimonial!D2/Patrimonial!D211)*-1</f>
        <v>1.0736168287318579</v>
      </c>
      <c r="D28" s="16">
        <f>(Patrimonial!E2/Patrimonial!E211)*-1</f>
        <v>1</v>
      </c>
      <c r="E28" s="16">
        <f>(Patrimonial!F2/Patrimonial!F211)*-1</f>
        <v>1.0157089554687342</v>
      </c>
      <c r="F28" s="16">
        <f>(Patrimonial!G2/Patrimonial!G211)*-1</f>
        <v>1.0885346798869402</v>
      </c>
      <c r="G28" s="16">
        <f>(Patrimonial!H2/Patrimonial!H211)*-1</f>
        <v>1</v>
      </c>
      <c r="H28" s="16">
        <f>(Patrimonial!I2/Patrimonial!I211)*-1</f>
        <v>1.0778771183147187</v>
      </c>
      <c r="I28" s="16">
        <f>(Patrimonial!J2/Patrimonial!J211)*-1</f>
        <v>1.1389356495829048</v>
      </c>
      <c r="J28" s="16">
        <f>(Patrimonial!K2/Patrimonial!K211)*-1</f>
        <v>1</v>
      </c>
      <c r="K28" s="16">
        <f>(Patrimonial!L2/Patrimonial!L211)*-1</f>
        <v>1.0222915907322248</v>
      </c>
      <c r="L28" s="16">
        <f>(Patrimonial!M2/Patrimonial!M211)*-1</f>
        <v>1.054293080293627</v>
      </c>
      <c r="M28" s="16">
        <f>(Patrimonial!N2/Patrimonial!N211)*-1</f>
        <v>0.97332826204035716</v>
      </c>
      <c r="N28" s="16">
        <f>(Patrimonial!O2/Patrimonial!O211)*-1</f>
        <v>0.92469485209445945</v>
      </c>
      <c r="O28" s="22">
        <f>N28</f>
        <v>0.92469485209445945</v>
      </c>
      <c r="P28" s="38"/>
    </row>
    <row r="29" spans="2:16" x14ac:dyDescent="0.75">
      <c r="B29" s="8" t="s">
        <v>919</v>
      </c>
      <c r="C29" s="16">
        <f>(Patrimonial!D3/Patrimonial!D212)*-1</f>
        <v>0.92541258918807201</v>
      </c>
      <c r="D29" s="16">
        <f>(Patrimonial!E3/Patrimonial!E212)*-1</f>
        <v>0.91476400035778438</v>
      </c>
      <c r="E29" s="16">
        <f>(Patrimonial!F3/Patrimonial!F212)*-1</f>
        <v>0.90725228634058319</v>
      </c>
      <c r="F29" s="16">
        <f>(Patrimonial!G3/Patrimonial!G212)*-1</f>
        <v>0.96532706005636615</v>
      </c>
      <c r="G29" s="16">
        <f>(Patrimonial!H3/Patrimonial!H212)*-1</f>
        <v>1.0418988077269371</v>
      </c>
      <c r="H29" s="16">
        <f>(Patrimonial!I3/Patrimonial!I212)*-1</f>
        <v>1.1309834008150943</v>
      </c>
      <c r="I29" s="16">
        <f>(Patrimonial!J3/Patrimonial!J212)*-1</f>
        <v>1.2152153479765413</v>
      </c>
      <c r="J29" s="16">
        <f>(Patrimonial!K3/Patrimonial!K212)*-1</f>
        <v>1.2158149132952285</v>
      </c>
      <c r="K29" s="16">
        <f>(Patrimonial!L3/Patrimonial!L212)*-1</f>
        <v>1.2496896796924333</v>
      </c>
      <c r="L29" s="16">
        <f>(Patrimonial!M3/Patrimonial!M212)*-1</f>
        <v>1.3141538589321671</v>
      </c>
      <c r="M29" s="16">
        <f>(Patrimonial!N3/Patrimonial!N212)*-1</f>
        <v>1.1392492363844657</v>
      </c>
      <c r="N29" s="16">
        <f>(Patrimonial!O3/Patrimonial!O212)*-1</f>
        <v>1.0998953693290068</v>
      </c>
      <c r="O29" s="22">
        <f>N29</f>
        <v>1.0998953693290068</v>
      </c>
      <c r="P29" s="38"/>
    </row>
    <row r="30" spans="2:16" x14ac:dyDescent="0.75">
      <c r="B30" s="8" t="s">
        <v>920</v>
      </c>
      <c r="C30" s="16">
        <f>((Patrimonial!D3-Patrimonial!D176)/(Patrimonial!D212))*-1</f>
        <v>0.9105253794825201</v>
      </c>
      <c r="D30" s="16">
        <f>((Patrimonial!E3-Patrimonial!E176)/(Patrimonial!E212))*-1</f>
        <v>0.89841641460924826</v>
      </c>
      <c r="E30" s="16">
        <f>((Patrimonial!F3-Patrimonial!F176)/(Patrimonial!F212))*-1</f>
        <v>0.89078522181901632</v>
      </c>
      <c r="F30" s="16">
        <f>((Patrimonial!G3-Patrimonial!G176)/(Patrimonial!G212))*-1</f>
        <v>0.94203661821592477</v>
      </c>
      <c r="G30" s="16">
        <f>((Patrimonial!H3-Patrimonial!H176)/(Patrimonial!H212))*-1</f>
        <v>1.0278705827763284</v>
      </c>
      <c r="H30" s="16">
        <f>((Patrimonial!I3-Patrimonial!I176)/(Patrimonial!I212))*-1</f>
        <v>1.1129464545161678</v>
      </c>
      <c r="I30" s="16">
        <f>((Patrimonial!J3-Patrimonial!J176)/(Patrimonial!J212))*-1</f>
        <v>1.1930827947690184</v>
      </c>
      <c r="J30" s="16">
        <f>((Patrimonial!K3-Patrimonial!K176)/(Patrimonial!K212))*-1</f>
        <v>1.1951967740005154</v>
      </c>
      <c r="K30" s="16">
        <f>((Patrimonial!L3-Patrimonial!L176)/(Patrimonial!L212))*-1</f>
        <v>1.2273007092816042</v>
      </c>
      <c r="L30" s="16">
        <f>((Patrimonial!M3-Patrimonial!M176)/(Patrimonial!M212))*-1</f>
        <v>1.2815610824141803</v>
      </c>
      <c r="M30" s="16">
        <f>((Patrimonial!N3-Patrimonial!N176)/(Patrimonial!N212))*-1</f>
        <v>1.1234784381200813</v>
      </c>
      <c r="N30" s="16">
        <f>((Patrimonial!O3-Patrimonial!O176)/(Patrimonial!O212))*-1</f>
        <v>1.076401569323693</v>
      </c>
      <c r="O30" s="22">
        <f>N30</f>
        <v>1.076401569323693</v>
      </c>
      <c r="P30" s="38"/>
    </row>
    <row r="31" spans="2:16" x14ac:dyDescent="0.75">
      <c r="B31" s="8" t="s">
        <v>922</v>
      </c>
      <c r="C31" s="16">
        <f>(Patrimonial!D4/Patrimonial!D212)*-1</f>
        <v>0.16697196917137169</v>
      </c>
      <c r="D31" s="16">
        <f>(Patrimonial!E4/Patrimonial!E212)*-1</f>
        <v>0.19728710348330666</v>
      </c>
      <c r="E31" s="16">
        <f>(Patrimonial!F4/Patrimonial!F212)*-1</f>
        <v>0.21156542884366725</v>
      </c>
      <c r="F31" s="16">
        <f>(Patrimonial!G4/Patrimonial!G212)*-1</f>
        <v>0.27542947583572186</v>
      </c>
      <c r="G31" s="16">
        <f>(Patrimonial!H4/Patrimonial!H212)*-1</f>
        <v>0.21358429745129037</v>
      </c>
      <c r="H31" s="16">
        <f>(Patrimonial!I4/Patrimonial!I212)*-1</f>
        <v>0.10959246757368604</v>
      </c>
      <c r="I31" s="16">
        <f>(Patrimonial!J4/Patrimonial!J212)*-1</f>
        <v>0.13883935054107624</v>
      </c>
      <c r="J31" s="16">
        <f>(Patrimonial!K4/Patrimonial!K212)*-1</f>
        <v>8.2777018527707094E-2</v>
      </c>
      <c r="K31" s="16">
        <f>(Patrimonial!L4/Patrimonial!L212)*-1</f>
        <v>0.1657570354334747</v>
      </c>
      <c r="L31" s="16">
        <f>(Patrimonial!M4/Patrimonial!M212)*-1</f>
        <v>0.21120349703928831</v>
      </c>
      <c r="M31" s="16">
        <f>(Patrimonial!N4/Patrimonial!N212)*-1</f>
        <v>0.22006624468859651</v>
      </c>
      <c r="N31" s="16">
        <f>(Patrimonial!O4/Patrimonial!O212)*-1</f>
        <v>0.16946768975667453</v>
      </c>
      <c r="O31" s="22">
        <f>N31</f>
        <v>0.16946768975667453</v>
      </c>
      <c r="P31" s="38"/>
    </row>
    <row r="32" spans="2:16" x14ac:dyDescent="0.75">
      <c r="B32" s="8" t="s">
        <v>921</v>
      </c>
      <c r="C32" s="14">
        <f>Patrimonial!D3+Patrimonial!D212</f>
        <v>-180059.64999999991</v>
      </c>
      <c r="D32" s="14">
        <f>Patrimonial!E3+Patrimonial!E212</f>
        <v>-175873.05000000005</v>
      </c>
      <c r="E32" s="14">
        <f>Patrimonial!F3+Patrimonial!F212</f>
        <v>-201044.22999999998</v>
      </c>
      <c r="F32" s="14">
        <f>Patrimonial!G3+Patrimonial!G212</f>
        <v>-68414.709999999963</v>
      </c>
      <c r="G32" s="14">
        <f>Patrimonial!H3+Patrimonial!H212</f>
        <v>71245.080000000075</v>
      </c>
      <c r="H32" s="14">
        <f>Patrimonial!I3+Patrimonial!I212</f>
        <v>244944.98999999976</v>
      </c>
      <c r="I32" s="14">
        <f>Patrimonial!J3+Patrimonial!J212</f>
        <v>359848.24</v>
      </c>
      <c r="J32" s="14">
        <f>Patrimonial!K3+Patrimonial!K212</f>
        <v>412297.79999999981</v>
      </c>
      <c r="K32" s="14">
        <f>Patrimonial!L3+Patrimonial!L212</f>
        <v>451644.83000000007</v>
      </c>
      <c r="L32" s="14">
        <f>Patrimonial!M3+Patrimonial!M212</f>
        <v>486629.90999999992</v>
      </c>
      <c r="M32" s="14">
        <f>Patrimonial!N3+Patrimonial!N212</f>
        <v>253484.61999999988</v>
      </c>
      <c r="N32" s="14">
        <f>Patrimonial!O3+Patrimonial!O212</f>
        <v>167015.05000000005</v>
      </c>
      <c r="O32" s="23">
        <f>SUM(C32:N32)/12</f>
        <v>151809.90666666665</v>
      </c>
      <c r="P32" s="38"/>
    </row>
    <row r="33" spans="2:16" x14ac:dyDescent="0.75">
      <c r="B33" s="64" t="s">
        <v>906</v>
      </c>
      <c r="C33" s="17">
        <f>(C9/C8)*-1</f>
        <v>0.58437668603100312</v>
      </c>
      <c r="D33" s="17">
        <f t="shared" ref="D33:H33" si="7">(D9/D8)*-1</f>
        <v>0.54509866533529461</v>
      </c>
      <c r="E33" s="17">
        <f t="shared" si="7"/>
        <v>0.60114883904624228</v>
      </c>
      <c r="F33" s="17">
        <f t="shared" si="7"/>
        <v>0.52746479638356869</v>
      </c>
      <c r="G33" s="17">
        <f t="shared" si="7"/>
        <v>0.51345572458661204</v>
      </c>
      <c r="H33" s="17">
        <f t="shared" si="7"/>
        <v>0.5017816854353202</v>
      </c>
      <c r="I33" s="17">
        <f>(I9/I8)*-1</f>
        <v>0.56018267840320102</v>
      </c>
      <c r="J33" s="17">
        <f t="shared" ref="J33:K33" si="8">(J9/J8)*-1</f>
        <v>0.53634852823716328</v>
      </c>
      <c r="K33" s="17">
        <f t="shared" si="8"/>
        <v>0.50323213483541673</v>
      </c>
      <c r="L33" s="17">
        <f t="shared" ref="L33:M33" si="9">(L9/L8)*-1</f>
        <v>0.4524523951825159</v>
      </c>
      <c r="M33" s="75">
        <f t="shared" si="9"/>
        <v>0.55406901102747663</v>
      </c>
      <c r="N33" s="73">
        <f>(N9/N8)*-1</f>
        <v>0.53254723194748321</v>
      </c>
      <c r="O33" s="76">
        <f>SUM(C33:N33)/12</f>
        <v>0.53434653137094157</v>
      </c>
      <c r="P33" s="38"/>
    </row>
    <row r="34" spans="2:16" x14ac:dyDescent="0.75">
      <c r="B34" s="64" t="s">
        <v>907</v>
      </c>
      <c r="C34" s="17">
        <f>(C12/C8)*-1</f>
        <v>0.27036582710577117</v>
      </c>
      <c r="D34" s="17">
        <f t="shared" ref="D34:I34" si="10">(D12/D8)*-1</f>
        <v>0.26137750533142762</v>
      </c>
      <c r="E34" s="17">
        <f t="shared" si="10"/>
        <v>0.27918269961558423</v>
      </c>
      <c r="F34" s="17">
        <f t="shared" si="10"/>
        <v>0.28289974168467741</v>
      </c>
      <c r="G34" s="17">
        <f t="shared" si="10"/>
        <v>0.27322554706900309</v>
      </c>
      <c r="H34" s="17">
        <f t="shared" si="10"/>
        <v>0.28828881565639397</v>
      </c>
      <c r="I34" s="17">
        <f t="shared" si="10"/>
        <v>0.26698783645475616</v>
      </c>
      <c r="J34" s="17">
        <f t="shared" ref="J34:K34" si="11">(J12/J8)*-1</f>
        <v>0.25332232996106335</v>
      </c>
      <c r="K34" s="17">
        <f t="shared" si="11"/>
        <v>0.32924795936821744</v>
      </c>
      <c r="L34" s="17">
        <f t="shared" ref="L34:M34" si="12">(L12/L8)*-1</f>
        <v>0.34228969715876773</v>
      </c>
      <c r="M34" s="17">
        <f t="shared" si="12"/>
        <v>0.3470576716890143</v>
      </c>
      <c r="N34" s="77">
        <f t="shared" ref="N34" si="13">(N12/N8)*-1</f>
        <v>0.383297511277568</v>
      </c>
      <c r="O34" s="24">
        <f>SUM(C34:N34)/12</f>
        <v>0.29812859519768703</v>
      </c>
      <c r="P34" s="38"/>
    </row>
    <row r="35" spans="2:16" x14ac:dyDescent="0.75">
      <c r="B35" s="64" t="s">
        <v>5713</v>
      </c>
      <c r="C35" s="17">
        <f t="shared" ref="C35:I35" si="14">((C13+C14)/C8)*-1</f>
        <v>4.3594442689626714E-2</v>
      </c>
      <c r="D35" s="17">
        <f t="shared" si="14"/>
        <v>4.1776408510777949E-2</v>
      </c>
      <c r="E35" s="17">
        <f t="shared" si="14"/>
        <v>4.7252949660036597E-2</v>
      </c>
      <c r="F35" s="17">
        <f t="shared" si="14"/>
        <v>4.3872140111758287E-2</v>
      </c>
      <c r="G35" s="17">
        <f t="shared" si="14"/>
        <v>4.4690203187705738E-2</v>
      </c>
      <c r="H35" s="17">
        <f t="shared" si="14"/>
        <v>6.3468984543409171E-2</v>
      </c>
      <c r="I35" s="17">
        <f t="shared" si="14"/>
        <v>6.1712255550858998E-2</v>
      </c>
      <c r="J35" s="17">
        <f t="shared" ref="J35:K35" si="15">((J13+J14)/J8)*-1</f>
        <v>5.900657569438042E-2</v>
      </c>
      <c r="K35" s="17">
        <f t="shared" si="15"/>
        <v>9.6253893200977644E-2</v>
      </c>
      <c r="L35" s="17">
        <f t="shared" ref="L35:M35" si="16">((L13+L14)/L8)*-1</f>
        <v>0.12993675635251231</v>
      </c>
      <c r="M35" s="17">
        <f t="shared" si="16"/>
        <v>0.10376735910199091</v>
      </c>
      <c r="N35" s="63">
        <f t="shared" ref="N35" si="17">((N13+N14)/N8)*-1</f>
        <v>0.11764553532529091</v>
      </c>
      <c r="O35" s="24">
        <f>SUM(C35:N35)/12</f>
        <v>7.1081458660777128E-2</v>
      </c>
      <c r="P35" s="38"/>
    </row>
    <row r="36" spans="2:16" x14ac:dyDescent="0.75">
      <c r="B36" s="62" t="s">
        <v>908</v>
      </c>
      <c r="C36" s="17">
        <f t="shared" ref="C36:I36" si="18">(C19/C8)*-1</f>
        <v>1.5392068117738536E-2</v>
      </c>
      <c r="D36" s="17">
        <f t="shared" si="18"/>
        <v>2.0413623153031146E-2</v>
      </c>
      <c r="E36" s="17">
        <f t="shared" si="18"/>
        <v>1.9477903379376139E-2</v>
      </c>
      <c r="F36" s="17">
        <f t="shared" si="18"/>
        <v>1.9231843298250156E-2</v>
      </c>
      <c r="G36" s="17">
        <f t="shared" si="18"/>
        <v>1.8225803457806351E-2</v>
      </c>
      <c r="H36" s="17">
        <f t="shared" si="18"/>
        <v>9.5402150515398205E-3</v>
      </c>
      <c r="I36" s="17">
        <f t="shared" si="18"/>
        <v>1.7582258454599101E-2</v>
      </c>
      <c r="J36" s="17">
        <f t="shared" ref="J36:K36" si="19">(J19/J8)*-1</f>
        <v>2.4717611928490767E-2</v>
      </c>
      <c r="K36" s="17">
        <f t="shared" si="19"/>
        <v>1.5439093562640763E-2</v>
      </c>
      <c r="L36" s="17">
        <f t="shared" ref="L36:M36" si="20">(L19/L8)*-1</f>
        <v>5.2859243756003616E-3</v>
      </c>
      <c r="M36" s="17">
        <f t="shared" si="20"/>
        <v>2.9815559813732909E-2</v>
      </c>
      <c r="N36" s="61">
        <f t="shared" ref="N36" si="21">(N19/N8)*-1</f>
        <v>1.4562301593081108E-2</v>
      </c>
      <c r="O36" s="24">
        <f>SUM(C36:N36)/12</f>
        <v>1.7473683848823928E-2</v>
      </c>
      <c r="P36" s="38"/>
    </row>
    <row r="37" spans="2:16" x14ac:dyDescent="0.75">
      <c r="B37" s="10" t="s">
        <v>909</v>
      </c>
      <c r="C37" s="13">
        <f>C17-C25</f>
        <v>97981.590000000098</v>
      </c>
      <c r="D37" s="13">
        <f t="shared" ref="D37:I37" si="22">D17-D25</f>
        <v>213850.07999999996</v>
      </c>
      <c r="E37" s="13">
        <f t="shared" si="22"/>
        <v>72996.210000000123</v>
      </c>
      <c r="F37" s="13">
        <f t="shared" si="22"/>
        <v>186787.90000000008</v>
      </c>
      <c r="G37" s="13">
        <f t="shared" si="22"/>
        <v>271756.63</v>
      </c>
      <c r="H37" s="13">
        <f t="shared" si="22"/>
        <v>197291.67000000007</v>
      </c>
      <c r="I37" s="13">
        <f t="shared" si="22"/>
        <v>147989.35000000012</v>
      </c>
      <c r="J37" s="13">
        <f t="shared" ref="J37:K37" si="23">J17-J25</f>
        <v>248842.44999999984</v>
      </c>
      <c r="K37" s="13">
        <f t="shared" si="23"/>
        <v>82043.610000000073</v>
      </c>
      <c r="L37" s="13">
        <f t="shared" ref="L37:M37" si="24">L17-L25</f>
        <v>76361.649999999994</v>
      </c>
      <c r="M37" s="65">
        <f t="shared" si="24"/>
        <v>-50181.780000000006</v>
      </c>
      <c r="N37" s="65">
        <f t="shared" ref="N37" si="25">N17-N25</f>
        <v>-92764.770000000019</v>
      </c>
      <c r="O37" s="44">
        <f>SUM(C37:N37)</f>
        <v>1452954.5900000003</v>
      </c>
      <c r="P37" s="38"/>
    </row>
    <row r="38" spans="2:16" x14ac:dyDescent="0.75">
      <c r="B38" s="8" t="s">
        <v>910</v>
      </c>
      <c r="C38" s="17">
        <f t="shared" ref="C38:I38" si="26">C11/C8</f>
        <v>0.36966004052273266</v>
      </c>
      <c r="D38" s="17">
        <f t="shared" si="26"/>
        <v>0.41060444123462958</v>
      </c>
      <c r="E38" s="17">
        <f t="shared" si="26"/>
        <v>0.37211829611937119</v>
      </c>
      <c r="F38" s="17">
        <f t="shared" si="26"/>
        <v>0.43005840397321105</v>
      </c>
      <c r="G38" s="17">
        <f t="shared" si="26"/>
        <v>0.4638259933237508</v>
      </c>
      <c r="H38" s="17">
        <f t="shared" si="26"/>
        <v>0.46201156307603269</v>
      </c>
      <c r="I38" s="17">
        <f t="shared" si="26"/>
        <v>0.40587347747333746</v>
      </c>
      <c r="J38" s="17">
        <f>J11/J8</f>
        <v>0.43704352990162543</v>
      </c>
      <c r="K38" s="17">
        <f>K11/K8</f>
        <v>0.47788295882156345</v>
      </c>
      <c r="L38" s="17">
        <f>L11/L8</f>
        <v>0.52350418705494517</v>
      </c>
      <c r="M38" s="17">
        <f>M11/M8</f>
        <v>0.41623436151504006</v>
      </c>
      <c r="N38" s="17">
        <f>N11/N8</f>
        <v>0.42886538941114932</v>
      </c>
      <c r="O38" s="24">
        <f>SUM(C38:N38)/12</f>
        <v>0.43314022020228249</v>
      </c>
      <c r="P38" s="38"/>
    </row>
    <row r="39" spans="2:16" x14ac:dyDescent="0.75">
      <c r="B39" s="8" t="s">
        <v>911</v>
      </c>
      <c r="C39" s="17">
        <f t="shared" ref="C39:I39" si="27">C17/C8</f>
        <v>4.9900346236412811E-2</v>
      </c>
      <c r="D39" s="17">
        <f t="shared" si="27"/>
        <v>0.10227720134126844</v>
      </c>
      <c r="E39" s="17">
        <f t="shared" si="27"/>
        <v>3.9175206602919399E-2</v>
      </c>
      <c r="F39" s="17">
        <f t="shared" si="27"/>
        <v>9.6122372917092538E-2</v>
      </c>
      <c r="G39" s="17">
        <f t="shared" si="27"/>
        <v>0.13702507672243022</v>
      </c>
      <c r="H39" s="17">
        <f t="shared" si="27"/>
        <v>0.10589199427853777</v>
      </c>
      <c r="I39" s="17">
        <f t="shared" si="27"/>
        <v>7.4527948801985544E-2</v>
      </c>
      <c r="J39" s="17">
        <f t="shared" ref="J39:K39" si="28">J17/J8</f>
        <v>0.1227869720201577</v>
      </c>
      <c r="K39" s="17">
        <f t="shared" si="28"/>
        <v>5.3255523707550524E-2</v>
      </c>
      <c r="L39" s="17">
        <f t="shared" ref="L39:M39" si="29">L17/L8</f>
        <v>4.859504512205208E-2</v>
      </c>
      <c r="M39" s="17">
        <f t="shared" si="29"/>
        <v>-3.9125317506324274E-2</v>
      </c>
      <c r="N39" s="17">
        <f t="shared" ref="N39" si="30">N17/N8</f>
        <v>-7.7710045452677443E-2</v>
      </c>
      <c r="O39" s="24">
        <f>SUM(C39:N39)/12</f>
        <v>5.9393527065950434E-2</v>
      </c>
      <c r="P39" s="38"/>
    </row>
    <row r="40" spans="2:16" x14ac:dyDescent="0.75">
      <c r="B40" s="8" t="s">
        <v>912</v>
      </c>
      <c r="C40" s="17">
        <f>C22/C8</f>
        <v>3.466504144713884E-2</v>
      </c>
      <c r="D40" s="17">
        <f t="shared" ref="D40:H40" si="31">D22/D8</f>
        <v>4.3394906400916811E-2</v>
      </c>
      <c r="E40" s="17">
        <f t="shared" si="31"/>
        <v>1.9899305575283441E-2</v>
      </c>
      <c r="F40" s="17">
        <f t="shared" si="31"/>
        <v>7.7020110143864992E-2</v>
      </c>
      <c r="G40" s="17">
        <f t="shared" si="31"/>
        <v>6.6336089949506405E-2</v>
      </c>
      <c r="H40" s="17">
        <f t="shared" si="31"/>
        <v>9.6555734641195892E-2</v>
      </c>
      <c r="I40" s="17">
        <f t="shared" ref="I40:J40" si="32">I22/I8</f>
        <v>5.7301296134840266E-2</v>
      </c>
      <c r="J40" s="17">
        <f t="shared" si="32"/>
        <v>2.1850586212601102E-2</v>
      </c>
      <c r="K40" s="17">
        <f>K22/K8</f>
        <v>3.8092127763194018E-2</v>
      </c>
      <c r="L40" s="17">
        <f t="shared" ref="L40" si="33">L22/L8</f>
        <v>4.3424168820560813E-2</v>
      </c>
      <c r="M40" s="17">
        <f>M22/M8</f>
        <v>-7.5983417553363936E-2</v>
      </c>
      <c r="N40" s="17">
        <f>N22/N8</f>
        <v>-9.1565434317357697E-2</v>
      </c>
      <c r="O40" s="24">
        <f>SUM(C40:N40)/12</f>
        <v>2.7582542934865076E-2</v>
      </c>
      <c r="P40" s="38"/>
    </row>
    <row r="41" spans="2:16" x14ac:dyDescent="0.75">
      <c r="N41" s="73">
        <f>(N10/N8)*-1</f>
        <v>3.8587378641367513E-2</v>
      </c>
    </row>
    <row r="42" spans="2:16" ht="16" hidden="1" x14ac:dyDescent="0.75">
      <c r="B42" s="7" t="s">
        <v>942</v>
      </c>
      <c r="C42" s="18" t="s">
        <v>889</v>
      </c>
    </row>
    <row r="43" spans="2:16" ht="16" hidden="1" x14ac:dyDescent="0.75">
      <c r="B43" s="7" t="s">
        <v>888</v>
      </c>
      <c r="C43" s="7" t="s">
        <v>941</v>
      </c>
    </row>
    <row r="44" spans="2:16" ht="16" hidden="1" x14ac:dyDescent="0.75">
      <c r="B44" s="7" t="s">
        <v>923</v>
      </c>
      <c r="C44" s="7"/>
    </row>
    <row r="45" spans="2:16" hidden="1" x14ac:dyDescent="0.75">
      <c r="B45" t="s">
        <v>924</v>
      </c>
      <c r="C45" s="15">
        <v>5724</v>
      </c>
    </row>
    <row r="46" spans="2:16" hidden="1" x14ac:dyDescent="0.75">
      <c r="B46" t="s">
        <v>925</v>
      </c>
      <c r="C46" s="15">
        <v>-1546.66</v>
      </c>
    </row>
    <row r="47" spans="2:16" hidden="1" x14ac:dyDescent="0.75">
      <c r="B47" t="s">
        <v>926</v>
      </c>
      <c r="C47" s="15">
        <v>-44071.63</v>
      </c>
    </row>
    <row r="48" spans="2:16" hidden="1" x14ac:dyDescent="0.75">
      <c r="B48" t="s">
        <v>927</v>
      </c>
      <c r="C48" s="15">
        <v>-16527.189999999999</v>
      </c>
    </row>
    <row r="49" spans="2:3" hidden="1" x14ac:dyDescent="0.75">
      <c r="B49" t="s">
        <v>928</v>
      </c>
      <c r="C49" s="15">
        <v>-23244.560000000001</v>
      </c>
    </row>
    <row r="50" spans="2:3" hidden="1" x14ac:dyDescent="0.75">
      <c r="B50" t="s">
        <v>929</v>
      </c>
      <c r="C50" s="15">
        <v>-1605002.8</v>
      </c>
    </row>
    <row r="51" spans="2:3" hidden="1" x14ac:dyDescent="0.75">
      <c r="B51" t="s">
        <v>930</v>
      </c>
      <c r="C51" s="15">
        <v>-22620.76</v>
      </c>
    </row>
    <row r="52" spans="2:3" hidden="1" x14ac:dyDescent="0.75">
      <c r="B52" t="s">
        <v>931</v>
      </c>
      <c r="C52" s="15">
        <v>-82112.36</v>
      </c>
    </row>
    <row r="53" spans="2:3" hidden="1" x14ac:dyDescent="0.75">
      <c r="B53" t="s">
        <v>932</v>
      </c>
      <c r="C53" s="15">
        <v>-16834.03</v>
      </c>
    </row>
    <row r="54" spans="2:3" hidden="1" x14ac:dyDescent="0.75">
      <c r="B54" t="s">
        <v>933</v>
      </c>
      <c r="C54" s="15">
        <v>1656887.4</v>
      </c>
    </row>
    <row r="55" spans="2:3" ht="16" hidden="1" x14ac:dyDescent="0.75">
      <c r="B55" s="7" t="s">
        <v>934</v>
      </c>
      <c r="C55" s="19">
        <v>-149348.59</v>
      </c>
    </row>
    <row r="56" spans="2:3" ht="16" hidden="1" x14ac:dyDescent="0.75">
      <c r="B56" s="7" t="s">
        <v>935</v>
      </c>
      <c r="C56" s="19"/>
    </row>
    <row r="57" spans="2:3" hidden="1" x14ac:dyDescent="0.75">
      <c r="B57" t="s">
        <v>936</v>
      </c>
      <c r="C57" s="15">
        <v>-22936.97</v>
      </c>
    </row>
    <row r="58" spans="2:3" ht="16" hidden="1" x14ac:dyDescent="0.75">
      <c r="B58" s="7" t="s">
        <v>937</v>
      </c>
      <c r="C58" s="19">
        <v>-22936.97</v>
      </c>
    </row>
    <row r="59" spans="2:3" hidden="1" x14ac:dyDescent="0.75">
      <c r="B59" t="s">
        <v>938</v>
      </c>
      <c r="C59" s="15">
        <v>-172285.56</v>
      </c>
    </row>
    <row r="60" spans="2:3" ht="16" hidden="1" x14ac:dyDescent="0.75">
      <c r="B60" s="7" t="s">
        <v>939</v>
      </c>
      <c r="C60" s="19">
        <v>543483.06999999995</v>
      </c>
    </row>
    <row r="61" spans="2:3" ht="16" hidden="1" x14ac:dyDescent="0.75">
      <c r="B61" s="7" t="s">
        <v>940</v>
      </c>
      <c r="C61" s="19">
        <v>371197.51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6542-55C9-4DC5-B4F6-115D1326D39C}">
  <dimension ref="A1:Q811"/>
  <sheetViews>
    <sheetView workbookViewId="0">
      <pane ySplit="2" topLeftCell="A3" activePane="bottomLeft" state="frozen"/>
      <selection pane="bottomLeft"/>
    </sheetView>
  </sheetViews>
  <sheetFormatPr defaultRowHeight="14.75" x14ac:dyDescent="0.75"/>
  <cols>
    <col min="1" max="1" width="15" style="5" bestFit="1" customWidth="1"/>
    <col min="2" max="2" width="13.26953125" bestFit="1" customWidth="1"/>
    <col min="3" max="3" width="19.40625" style="5" bestFit="1" customWidth="1"/>
    <col min="4" max="4" width="18" bestFit="1" customWidth="1"/>
    <col min="5" max="5" width="32.1328125" customWidth="1"/>
    <col min="6" max="6" width="32.54296875" customWidth="1"/>
    <col min="7" max="7" width="18" bestFit="1" customWidth="1"/>
    <col min="8" max="8" width="27.7265625" customWidth="1"/>
    <col min="9" max="9" width="28.26953125" customWidth="1"/>
    <col min="10" max="10" width="11.40625" customWidth="1"/>
    <col min="11" max="11" width="46.26953125" bestFit="1" customWidth="1"/>
    <col min="12" max="12" width="9.86328125" bestFit="1" customWidth="1"/>
    <col min="13" max="13" width="7.7265625" customWidth="1"/>
    <col min="14" max="14" width="19.1328125" customWidth="1"/>
    <col min="15" max="15" width="23.86328125" customWidth="1"/>
    <col min="16" max="16" width="11.26953125" bestFit="1" customWidth="1"/>
    <col min="17" max="17" width="10.26953125" bestFit="1" customWidth="1"/>
  </cols>
  <sheetData>
    <row r="1" spans="1:17" s="49" customFormat="1" ht="16" x14ac:dyDescent="0.8">
      <c r="A1" s="53" t="s">
        <v>1101</v>
      </c>
      <c r="B1" s="53">
        <f>COUNT(Table1[Num NFe])</f>
        <v>809</v>
      </c>
      <c r="C1" s="53" t="s">
        <v>1102</v>
      </c>
      <c r="D1" s="54">
        <f>SUM(Table1[Valor])</f>
        <v>683541.87999999966</v>
      </c>
      <c r="E1" s="58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7" s="56" customFormat="1" ht="16" x14ac:dyDescent="0.75">
      <c r="A2" s="53" t="s">
        <v>1103</v>
      </c>
      <c r="B2" s="53" t="s">
        <v>1104</v>
      </c>
      <c r="C2" s="53" t="s">
        <v>1105</v>
      </c>
      <c r="D2" s="53" t="s">
        <v>1106</v>
      </c>
      <c r="E2" s="53" t="s">
        <v>1107</v>
      </c>
      <c r="F2" s="53" t="s">
        <v>1108</v>
      </c>
      <c r="G2" s="53" t="s">
        <v>1109</v>
      </c>
      <c r="H2" s="53" t="s">
        <v>1110</v>
      </c>
      <c r="I2" s="53" t="s">
        <v>1111</v>
      </c>
      <c r="J2" s="53" t="s">
        <v>1112</v>
      </c>
      <c r="K2" s="53" t="s">
        <v>1113</v>
      </c>
      <c r="L2" s="53" t="s">
        <v>1114</v>
      </c>
      <c r="M2" s="53" t="s">
        <v>1115</v>
      </c>
      <c r="N2" s="53" t="s">
        <v>1116</v>
      </c>
      <c r="O2" s="53" t="s">
        <v>1117</v>
      </c>
      <c r="P2" s="53" t="s">
        <v>1118</v>
      </c>
      <c r="Q2" s="53" t="s">
        <v>1119</v>
      </c>
    </row>
    <row r="3" spans="1:17" x14ac:dyDescent="0.75">
      <c r="A3" s="5">
        <v>32492</v>
      </c>
      <c r="B3" s="55">
        <v>52</v>
      </c>
      <c r="C3" s="5" t="s">
        <v>4826</v>
      </c>
      <c r="D3" s="45" t="s">
        <v>1124</v>
      </c>
      <c r="E3" s="45" t="s">
        <v>1125</v>
      </c>
      <c r="F3" s="45" t="s">
        <v>1125</v>
      </c>
      <c r="G3" s="45" t="s">
        <v>1120</v>
      </c>
      <c r="H3" s="45" t="s">
        <v>1126</v>
      </c>
      <c r="I3" s="45" t="s">
        <v>1126</v>
      </c>
      <c r="J3" s="45" t="s">
        <v>4826</v>
      </c>
      <c r="K3" s="45" t="s">
        <v>4951</v>
      </c>
      <c r="L3" s="45" t="s">
        <v>1122</v>
      </c>
      <c r="M3" s="45" t="s">
        <v>1311</v>
      </c>
      <c r="N3" s="45" t="s">
        <v>1312</v>
      </c>
      <c r="O3" s="45" t="s">
        <v>1123</v>
      </c>
      <c r="P3" s="46" t="str">
        <f>HYPERLINK("https://cofre.sieg.com/ajax/danfe.aspx?nfe=24230108030363000939550060000324921344209796","Ver Danfe")</f>
        <v>Ver Danfe</v>
      </c>
      <c r="Q3" s="46" t="str">
        <f>HYPERLINK("https://cofre.sieg.com/ajax/xml.aspx?nfe=24230108030363000939550060000324921344209796","Baixar Xml")</f>
        <v>Baixar Xml</v>
      </c>
    </row>
    <row r="4" spans="1:17" x14ac:dyDescent="0.75">
      <c r="A4" s="5">
        <v>32632</v>
      </c>
      <c r="B4" s="55">
        <v>44</v>
      </c>
      <c r="C4" s="5" t="s">
        <v>4839</v>
      </c>
      <c r="D4" s="45" t="s">
        <v>1124</v>
      </c>
      <c r="E4" s="45" t="s">
        <v>1125</v>
      </c>
      <c r="F4" s="45" t="s">
        <v>1125</v>
      </c>
      <c r="G4" s="45" t="s">
        <v>1120</v>
      </c>
      <c r="H4" s="45" t="s">
        <v>1126</v>
      </c>
      <c r="I4" s="45" t="s">
        <v>1126</v>
      </c>
      <c r="J4" s="45" t="s">
        <v>4839</v>
      </c>
      <c r="K4" s="45" t="s">
        <v>4952</v>
      </c>
      <c r="L4" s="45" t="s">
        <v>1122</v>
      </c>
      <c r="M4" s="45" t="s">
        <v>1311</v>
      </c>
      <c r="N4" s="45" t="s">
        <v>1312</v>
      </c>
      <c r="O4" s="45" t="s">
        <v>1123</v>
      </c>
      <c r="P4" s="46" t="str">
        <f>HYPERLINK("https://cofre.sieg.com/ajax/danfe.aspx?nfe=24230108030363000939550060000326321045358733","Ver Danfe")</f>
        <v>Ver Danfe</v>
      </c>
      <c r="Q4" s="46" t="str">
        <f>HYPERLINK("https://cofre.sieg.com/ajax/xml.aspx?nfe=24230108030363000939550060000326321045358733","Baixar Xml")</f>
        <v>Baixar Xml</v>
      </c>
    </row>
    <row r="5" spans="1:17" x14ac:dyDescent="0.75">
      <c r="A5" s="5">
        <v>32634</v>
      </c>
      <c r="B5" s="55">
        <v>65.599999999999994</v>
      </c>
      <c r="C5" s="5" t="s">
        <v>4839</v>
      </c>
      <c r="D5" s="45" t="s">
        <v>1124</v>
      </c>
      <c r="E5" s="45" t="s">
        <v>1125</v>
      </c>
      <c r="F5" s="45" t="s">
        <v>1125</v>
      </c>
      <c r="G5" s="45" t="s">
        <v>1120</v>
      </c>
      <c r="H5" s="45" t="s">
        <v>1126</v>
      </c>
      <c r="I5" s="45" t="s">
        <v>1126</v>
      </c>
      <c r="J5" s="45" t="s">
        <v>4839</v>
      </c>
      <c r="K5" s="45" t="s">
        <v>4953</v>
      </c>
      <c r="L5" s="45" t="s">
        <v>1122</v>
      </c>
      <c r="M5" s="45" t="s">
        <v>1311</v>
      </c>
      <c r="N5" s="45" t="s">
        <v>1312</v>
      </c>
      <c r="O5" s="45" t="s">
        <v>1123</v>
      </c>
      <c r="P5" s="46" t="str">
        <f>HYPERLINK("https://cofre.sieg.com/ajax/danfe.aspx?nfe=24230108030363000939550060000326341687967059","Ver Danfe")</f>
        <v>Ver Danfe</v>
      </c>
      <c r="Q5" s="46" t="str">
        <f>HYPERLINK("https://cofre.sieg.com/ajax/xml.aspx?nfe=24230108030363000939550060000326341687967059","Baixar Xml")</f>
        <v>Baixar Xml</v>
      </c>
    </row>
    <row r="6" spans="1:17" x14ac:dyDescent="0.75">
      <c r="A6" s="5">
        <v>32653</v>
      </c>
      <c r="B6" s="55">
        <v>226.1</v>
      </c>
      <c r="C6" s="5" t="s">
        <v>4839</v>
      </c>
      <c r="D6" s="45" t="s">
        <v>1124</v>
      </c>
      <c r="E6" s="45" t="s">
        <v>1125</v>
      </c>
      <c r="F6" s="45" t="s">
        <v>1125</v>
      </c>
      <c r="G6" s="45" t="s">
        <v>1120</v>
      </c>
      <c r="H6" s="45" t="s">
        <v>1126</v>
      </c>
      <c r="I6" s="45" t="s">
        <v>1126</v>
      </c>
      <c r="J6" s="45" t="s">
        <v>4839</v>
      </c>
      <c r="K6" s="45" t="s">
        <v>4954</v>
      </c>
      <c r="L6" s="45" t="s">
        <v>1122</v>
      </c>
      <c r="M6" s="45"/>
      <c r="N6" s="45"/>
      <c r="O6" s="45" t="s">
        <v>1123</v>
      </c>
      <c r="P6" s="46" t="str">
        <f>HYPERLINK("https://cofre.sieg.com/ajax/danfe.aspx?nfe=24230108030363000939550060000326531303940707","Ver Danfe")</f>
        <v>Ver Danfe</v>
      </c>
      <c r="Q6" s="46" t="str">
        <f>HYPERLINK("https://cofre.sieg.com/ajax/xml.aspx?nfe=24230108030363000939550060000326531303940707","Baixar Xml")</f>
        <v>Baixar Xml</v>
      </c>
    </row>
    <row r="7" spans="1:17" x14ac:dyDescent="0.75">
      <c r="A7" s="5">
        <v>32737</v>
      </c>
      <c r="B7" s="55">
        <v>8.6</v>
      </c>
      <c r="C7" s="5" t="s">
        <v>4846</v>
      </c>
      <c r="D7" s="45" t="s">
        <v>1124</v>
      </c>
      <c r="E7" s="45" t="s">
        <v>1125</v>
      </c>
      <c r="F7" s="45" t="s">
        <v>1125</v>
      </c>
      <c r="G7" s="45" t="s">
        <v>1120</v>
      </c>
      <c r="H7" s="45" t="s">
        <v>1126</v>
      </c>
      <c r="I7" s="45" t="s">
        <v>1126</v>
      </c>
      <c r="J7" s="45" t="s">
        <v>4846</v>
      </c>
      <c r="K7" s="45" t="s">
        <v>4955</v>
      </c>
      <c r="L7" s="45" t="s">
        <v>1122</v>
      </c>
      <c r="M7" s="45"/>
      <c r="N7" s="45"/>
      <c r="O7" s="45" t="s">
        <v>1123</v>
      </c>
      <c r="P7" s="46" t="str">
        <f>HYPERLINK("https://cofre.sieg.com/ajax/danfe.aspx?nfe=24230108030363000939550060000327371735507528","Ver Danfe")</f>
        <v>Ver Danfe</v>
      </c>
      <c r="Q7" s="46" t="str">
        <f>HYPERLINK("https://cofre.sieg.com/ajax/xml.aspx?nfe=24230108030363000939550060000327371735507528","Baixar Xml")</f>
        <v>Baixar Xml</v>
      </c>
    </row>
    <row r="8" spans="1:17" x14ac:dyDescent="0.75">
      <c r="A8" s="5">
        <v>33001</v>
      </c>
      <c r="B8" s="55">
        <v>156.1</v>
      </c>
      <c r="C8" s="5" t="s">
        <v>4862</v>
      </c>
      <c r="D8" s="45" t="s">
        <v>1124</v>
      </c>
      <c r="E8" s="45" t="s">
        <v>1125</v>
      </c>
      <c r="F8" s="45" t="s">
        <v>1125</v>
      </c>
      <c r="G8" s="45" t="s">
        <v>1120</v>
      </c>
      <c r="H8" s="45" t="s">
        <v>1126</v>
      </c>
      <c r="I8" s="45" t="s">
        <v>1126</v>
      </c>
      <c r="J8" s="45" t="s">
        <v>4862</v>
      </c>
      <c r="K8" s="45" t="s">
        <v>4956</v>
      </c>
      <c r="L8" s="45" t="s">
        <v>1122</v>
      </c>
      <c r="M8" s="45" t="s">
        <v>1311</v>
      </c>
      <c r="N8" s="45" t="s">
        <v>1312</v>
      </c>
      <c r="O8" s="45" t="s">
        <v>1123</v>
      </c>
      <c r="P8" s="46" t="str">
        <f>HYPERLINK("https://cofre.sieg.com/ajax/danfe.aspx?nfe=24230108030363000939550060000330011121524568","Ver Danfe")</f>
        <v>Ver Danfe</v>
      </c>
      <c r="Q8" s="46" t="str">
        <f>HYPERLINK("https://cofre.sieg.com/ajax/xml.aspx?nfe=24230108030363000939550060000330011121524568","Baixar Xml")</f>
        <v>Baixar Xml</v>
      </c>
    </row>
    <row r="9" spans="1:17" x14ac:dyDescent="0.75">
      <c r="A9" s="5">
        <v>33066</v>
      </c>
      <c r="B9" s="55">
        <v>99</v>
      </c>
      <c r="C9" s="5" t="s">
        <v>4866</v>
      </c>
      <c r="D9" s="45" t="s">
        <v>1124</v>
      </c>
      <c r="E9" s="45" t="s">
        <v>1125</v>
      </c>
      <c r="F9" s="45" t="s">
        <v>1125</v>
      </c>
      <c r="G9" s="45" t="s">
        <v>1120</v>
      </c>
      <c r="H9" s="45" t="s">
        <v>1126</v>
      </c>
      <c r="I9" s="45" t="s">
        <v>1126</v>
      </c>
      <c r="J9" s="45" t="s">
        <v>4866</v>
      </c>
      <c r="K9" s="45" t="s">
        <v>4957</v>
      </c>
      <c r="L9" s="45" t="s">
        <v>1122</v>
      </c>
      <c r="M9" s="45"/>
      <c r="N9" s="45"/>
      <c r="O9" s="45" t="s">
        <v>1123</v>
      </c>
      <c r="P9" s="46" t="str">
        <f>HYPERLINK("https://cofre.sieg.com/ajax/danfe.aspx?nfe=24230108030363000939550060000330661518606801","Ver Danfe")</f>
        <v>Ver Danfe</v>
      </c>
      <c r="Q9" s="46" t="str">
        <f>HYPERLINK("https://cofre.sieg.com/ajax/xml.aspx?nfe=24230108030363000939550060000330661518606801","Baixar Xml")</f>
        <v>Baixar Xml</v>
      </c>
    </row>
    <row r="10" spans="1:17" x14ac:dyDescent="0.75">
      <c r="A10" s="5">
        <v>33233</v>
      </c>
      <c r="B10" s="55">
        <v>51.9</v>
      </c>
      <c r="C10" s="5" t="s">
        <v>4877</v>
      </c>
      <c r="D10" s="45" t="s">
        <v>1124</v>
      </c>
      <c r="E10" s="45" t="s">
        <v>1125</v>
      </c>
      <c r="F10" s="45" t="s">
        <v>1125</v>
      </c>
      <c r="G10" s="45" t="s">
        <v>1120</v>
      </c>
      <c r="H10" s="45" t="s">
        <v>1126</v>
      </c>
      <c r="I10" s="45" t="s">
        <v>1126</v>
      </c>
      <c r="J10" s="45" t="s">
        <v>4877</v>
      </c>
      <c r="K10" s="45" t="s">
        <v>4958</v>
      </c>
      <c r="L10" s="45" t="s">
        <v>1122</v>
      </c>
      <c r="M10" s="45" t="s">
        <v>1311</v>
      </c>
      <c r="N10" s="45" t="s">
        <v>1312</v>
      </c>
      <c r="O10" s="45" t="s">
        <v>1123</v>
      </c>
      <c r="P10" s="46" t="str">
        <f>HYPERLINK("https://cofre.sieg.com/ajax/danfe.aspx?nfe=24230108030363000939550060000332331579987295","Ver Danfe")</f>
        <v>Ver Danfe</v>
      </c>
      <c r="Q10" s="46" t="str">
        <f>HYPERLINK("https://cofre.sieg.com/ajax/xml.aspx?nfe=24230108030363000939550060000332331579987295","Baixar Xml")</f>
        <v>Baixar Xml</v>
      </c>
    </row>
    <row r="11" spans="1:17" x14ac:dyDescent="0.75">
      <c r="A11" s="5">
        <v>33234</v>
      </c>
      <c r="B11" s="55">
        <v>17.600000000000001</v>
      </c>
      <c r="C11" s="5" t="s">
        <v>4877</v>
      </c>
      <c r="D11" s="45" t="s">
        <v>1124</v>
      </c>
      <c r="E11" s="45" t="s">
        <v>1125</v>
      </c>
      <c r="F11" s="45" t="s">
        <v>1125</v>
      </c>
      <c r="G11" s="45" t="s">
        <v>1120</v>
      </c>
      <c r="H11" s="45" t="s">
        <v>1126</v>
      </c>
      <c r="I11" s="45" t="s">
        <v>1126</v>
      </c>
      <c r="J11" s="45" t="s">
        <v>4877</v>
      </c>
      <c r="K11" s="45" t="s">
        <v>4959</v>
      </c>
      <c r="L11" s="45" t="s">
        <v>1122</v>
      </c>
      <c r="M11" s="45" t="s">
        <v>1311</v>
      </c>
      <c r="N11" s="45" t="s">
        <v>1312</v>
      </c>
      <c r="O11" s="45" t="s">
        <v>1123</v>
      </c>
      <c r="P11" s="46" t="str">
        <f>HYPERLINK("https://cofre.sieg.com/ajax/danfe.aspx?nfe=24230108030363000939550060000332341724578505","Ver Danfe")</f>
        <v>Ver Danfe</v>
      </c>
      <c r="Q11" s="46" t="str">
        <f>HYPERLINK("https://cofre.sieg.com/ajax/xml.aspx?nfe=24230108030363000939550060000332341724578505","Baixar Xml")</f>
        <v>Baixar Xml</v>
      </c>
    </row>
    <row r="12" spans="1:17" x14ac:dyDescent="0.75">
      <c r="A12" s="5">
        <v>33378</v>
      </c>
      <c r="B12" s="55">
        <v>44</v>
      </c>
      <c r="C12" s="5" t="s">
        <v>4884</v>
      </c>
      <c r="D12" s="45" t="s">
        <v>1124</v>
      </c>
      <c r="E12" s="45" t="s">
        <v>1125</v>
      </c>
      <c r="F12" s="45" t="s">
        <v>1125</v>
      </c>
      <c r="G12" s="45" t="s">
        <v>1120</v>
      </c>
      <c r="H12" s="45" t="s">
        <v>1126</v>
      </c>
      <c r="I12" s="45" t="s">
        <v>1126</v>
      </c>
      <c r="J12" s="45" t="s">
        <v>4884</v>
      </c>
      <c r="K12" s="45" t="s">
        <v>4960</v>
      </c>
      <c r="L12" s="45" t="s">
        <v>1122</v>
      </c>
      <c r="M12" s="45" t="s">
        <v>1311</v>
      </c>
      <c r="N12" s="45" t="s">
        <v>1312</v>
      </c>
      <c r="O12" s="45" t="s">
        <v>1123</v>
      </c>
      <c r="P12" s="46" t="str">
        <f>HYPERLINK("https://cofre.sieg.com/ajax/danfe.aspx?nfe=24230108030363000939550060000333781281194401","Ver Danfe")</f>
        <v>Ver Danfe</v>
      </c>
      <c r="Q12" s="46" t="str">
        <f>HYPERLINK("https://cofre.sieg.com/ajax/xml.aspx?nfe=24230108030363000939550060000333781281194401","Baixar Xml")</f>
        <v>Baixar Xml</v>
      </c>
    </row>
    <row r="13" spans="1:17" x14ac:dyDescent="0.75">
      <c r="A13" s="5">
        <v>33540</v>
      </c>
      <c r="B13" s="55">
        <v>43.4</v>
      </c>
      <c r="C13" s="5" t="s">
        <v>4891</v>
      </c>
      <c r="D13" s="45" t="s">
        <v>1124</v>
      </c>
      <c r="E13" s="45" t="s">
        <v>1125</v>
      </c>
      <c r="F13" s="45" t="s">
        <v>1125</v>
      </c>
      <c r="G13" s="45" t="s">
        <v>1120</v>
      </c>
      <c r="H13" s="45" t="s">
        <v>1126</v>
      </c>
      <c r="I13" s="45" t="s">
        <v>1126</v>
      </c>
      <c r="J13" s="45" t="s">
        <v>4891</v>
      </c>
      <c r="K13" s="45" t="s">
        <v>4961</v>
      </c>
      <c r="L13" s="45" t="s">
        <v>1122</v>
      </c>
      <c r="M13" s="45"/>
      <c r="N13" s="45"/>
      <c r="O13" s="45" t="s">
        <v>1123</v>
      </c>
      <c r="P13" s="46" t="str">
        <f>HYPERLINK("https://cofre.sieg.com/ajax/danfe.aspx?nfe=24230108030363000939550060000335401067430012","Ver Danfe")</f>
        <v>Ver Danfe</v>
      </c>
      <c r="Q13" s="46" t="str">
        <f>HYPERLINK("https://cofre.sieg.com/ajax/xml.aspx?nfe=24230108030363000939550060000335401067430012","Baixar Xml")</f>
        <v>Baixar Xml</v>
      </c>
    </row>
    <row r="14" spans="1:17" x14ac:dyDescent="0.75">
      <c r="A14" s="5">
        <v>33541</v>
      </c>
      <c r="B14" s="55">
        <v>86.5</v>
      </c>
      <c r="C14" s="5" t="s">
        <v>4891</v>
      </c>
      <c r="D14" s="45" t="s">
        <v>1124</v>
      </c>
      <c r="E14" s="45" t="s">
        <v>1125</v>
      </c>
      <c r="F14" s="45" t="s">
        <v>1125</v>
      </c>
      <c r="G14" s="45" t="s">
        <v>1120</v>
      </c>
      <c r="H14" s="45" t="s">
        <v>1126</v>
      </c>
      <c r="I14" s="45" t="s">
        <v>1126</v>
      </c>
      <c r="J14" s="45" t="s">
        <v>4891</v>
      </c>
      <c r="K14" s="45" t="s">
        <v>4962</v>
      </c>
      <c r="L14" s="45" t="s">
        <v>1122</v>
      </c>
      <c r="M14" s="45" t="s">
        <v>1311</v>
      </c>
      <c r="N14" s="45" t="s">
        <v>1312</v>
      </c>
      <c r="O14" s="45" t="s">
        <v>1123</v>
      </c>
      <c r="P14" s="46" t="str">
        <f>HYPERLINK("https://cofre.sieg.com/ajax/danfe.aspx?nfe=24230108030363000939550060000335411106982065","Ver Danfe")</f>
        <v>Ver Danfe</v>
      </c>
      <c r="Q14" s="46" t="str">
        <f>HYPERLINK("https://cofre.sieg.com/ajax/xml.aspx?nfe=24230108030363000939550060000335411106982065","Baixar Xml")</f>
        <v>Baixar Xml</v>
      </c>
    </row>
    <row r="15" spans="1:17" x14ac:dyDescent="0.75">
      <c r="A15" s="5">
        <v>33847</v>
      </c>
      <c r="B15" s="55">
        <v>91</v>
      </c>
      <c r="C15" s="5" t="s">
        <v>4908</v>
      </c>
      <c r="D15" s="45" t="s">
        <v>1124</v>
      </c>
      <c r="E15" s="45" t="s">
        <v>1125</v>
      </c>
      <c r="F15" s="45" t="s">
        <v>1125</v>
      </c>
      <c r="G15" s="45" t="s">
        <v>1120</v>
      </c>
      <c r="H15" s="45" t="s">
        <v>1126</v>
      </c>
      <c r="I15" s="45" t="s">
        <v>1126</v>
      </c>
      <c r="J15" s="45" t="s">
        <v>4908</v>
      </c>
      <c r="K15" s="45" t="s">
        <v>4963</v>
      </c>
      <c r="L15" s="45" t="s">
        <v>1122</v>
      </c>
      <c r="M15" s="45" t="s">
        <v>1311</v>
      </c>
      <c r="N15" s="45" t="s">
        <v>1312</v>
      </c>
      <c r="O15" s="45" t="s">
        <v>1123</v>
      </c>
      <c r="P15" s="46" t="str">
        <f>HYPERLINK("https://cofre.sieg.com/ajax/danfe.aspx?nfe=24230108030363000939550060000338471909306472","Ver Danfe")</f>
        <v>Ver Danfe</v>
      </c>
      <c r="Q15" s="46" t="str">
        <f>HYPERLINK("https://cofre.sieg.com/ajax/xml.aspx?nfe=24230108030363000939550060000338471909306472","Baixar Xml")</f>
        <v>Baixar Xml</v>
      </c>
    </row>
    <row r="16" spans="1:17" x14ac:dyDescent="0.75">
      <c r="A16" s="5">
        <v>33917</v>
      </c>
      <c r="B16" s="55">
        <v>197.5</v>
      </c>
      <c r="C16" s="5" t="s">
        <v>4912</v>
      </c>
      <c r="D16" s="45" t="s">
        <v>1124</v>
      </c>
      <c r="E16" s="45" t="s">
        <v>1125</v>
      </c>
      <c r="F16" s="45" t="s">
        <v>1125</v>
      </c>
      <c r="G16" s="45" t="s">
        <v>1120</v>
      </c>
      <c r="H16" s="45" t="s">
        <v>1126</v>
      </c>
      <c r="I16" s="45" t="s">
        <v>1126</v>
      </c>
      <c r="J16" s="45" t="s">
        <v>4919</v>
      </c>
      <c r="K16" s="45" t="s">
        <v>4964</v>
      </c>
      <c r="L16" s="45" t="s">
        <v>1122</v>
      </c>
      <c r="M16" s="45"/>
      <c r="N16" s="45"/>
      <c r="O16" s="45" t="s">
        <v>1123</v>
      </c>
      <c r="P16" s="46" t="str">
        <f>HYPERLINK("https://cofre.sieg.com/ajax/danfe.aspx?nfe=24230108030363000939550060000339171380067812","Ver Danfe")</f>
        <v>Ver Danfe</v>
      </c>
      <c r="Q16" s="46" t="str">
        <f>HYPERLINK("https://cofre.sieg.com/ajax/xml.aspx?nfe=24230108030363000939550060000339171380067812","Baixar Xml")</f>
        <v>Baixar Xml</v>
      </c>
    </row>
    <row r="17" spans="1:17" x14ac:dyDescent="0.75">
      <c r="A17" s="5">
        <v>12302</v>
      </c>
      <c r="B17" s="55">
        <v>26</v>
      </c>
      <c r="C17" s="5" t="s">
        <v>4839</v>
      </c>
      <c r="D17" s="45" t="s">
        <v>1127</v>
      </c>
      <c r="E17" s="45" t="s">
        <v>1125</v>
      </c>
      <c r="F17" s="45" t="s">
        <v>1125</v>
      </c>
      <c r="G17" s="45" t="s">
        <v>1120</v>
      </c>
      <c r="H17" s="45" t="s">
        <v>1126</v>
      </c>
      <c r="I17" s="45" t="s">
        <v>1126</v>
      </c>
      <c r="J17" s="45" t="s">
        <v>4839</v>
      </c>
      <c r="K17" s="45" t="s">
        <v>4965</v>
      </c>
      <c r="L17" s="45" t="s">
        <v>1122</v>
      </c>
      <c r="M17" s="45" t="s">
        <v>1311</v>
      </c>
      <c r="N17" s="45" t="s">
        <v>1312</v>
      </c>
      <c r="O17" s="45" t="s">
        <v>1123</v>
      </c>
      <c r="P17" s="46" t="str">
        <f>HYPERLINK("https://cofre.sieg.com/ajax/danfe.aspx?nfe=24230108030363001234550060000123021055841783","Ver Danfe")</f>
        <v>Ver Danfe</v>
      </c>
      <c r="Q17" s="46" t="str">
        <f>HYPERLINK("https://cofre.sieg.com/ajax/xml.aspx?nfe=24230108030363001234550060000123021055841783","Baixar Xml")</f>
        <v>Baixar Xml</v>
      </c>
    </row>
    <row r="18" spans="1:17" x14ac:dyDescent="0.75">
      <c r="A18" s="5">
        <v>12342</v>
      </c>
      <c r="B18" s="55">
        <v>19</v>
      </c>
      <c r="C18" s="5" t="s">
        <v>4846</v>
      </c>
      <c r="D18" s="45" t="s">
        <v>1127</v>
      </c>
      <c r="E18" s="45" t="s">
        <v>1125</v>
      </c>
      <c r="F18" s="45" t="s">
        <v>1125</v>
      </c>
      <c r="G18" s="45" t="s">
        <v>1120</v>
      </c>
      <c r="H18" s="45" t="s">
        <v>1126</v>
      </c>
      <c r="I18" s="45" t="s">
        <v>1126</v>
      </c>
      <c r="J18" s="45" t="s">
        <v>4846</v>
      </c>
      <c r="K18" s="45" t="s">
        <v>4966</v>
      </c>
      <c r="L18" s="45" t="s">
        <v>1122</v>
      </c>
      <c r="M18" s="45" t="s">
        <v>1311</v>
      </c>
      <c r="N18" s="45" t="s">
        <v>1312</v>
      </c>
      <c r="O18" s="45" t="s">
        <v>1123</v>
      </c>
      <c r="P18" s="46" t="str">
        <f>HYPERLINK("https://cofre.sieg.com/ajax/danfe.aspx?nfe=24230108030363001234550060000123421795381587","Ver Danfe")</f>
        <v>Ver Danfe</v>
      </c>
      <c r="Q18" s="46" t="str">
        <f>HYPERLINK("https://cofre.sieg.com/ajax/xml.aspx?nfe=24230108030363001234550060000123421795381587","Baixar Xml")</f>
        <v>Baixar Xml</v>
      </c>
    </row>
    <row r="19" spans="1:17" x14ac:dyDescent="0.75">
      <c r="A19" s="5">
        <v>12350</v>
      </c>
      <c r="B19" s="55">
        <v>62</v>
      </c>
      <c r="C19" s="5" t="s">
        <v>4846</v>
      </c>
      <c r="D19" s="45" t="s">
        <v>1127</v>
      </c>
      <c r="E19" s="45" t="s">
        <v>1125</v>
      </c>
      <c r="F19" s="45" t="s">
        <v>1125</v>
      </c>
      <c r="G19" s="45" t="s">
        <v>1120</v>
      </c>
      <c r="H19" s="45" t="s">
        <v>1126</v>
      </c>
      <c r="I19" s="45" t="s">
        <v>1126</v>
      </c>
      <c r="J19" s="45" t="s">
        <v>4846</v>
      </c>
      <c r="K19" s="45" t="s">
        <v>4967</v>
      </c>
      <c r="L19" s="45" t="s">
        <v>1122</v>
      </c>
      <c r="M19" s="45"/>
      <c r="N19" s="45"/>
      <c r="O19" s="45" t="s">
        <v>1123</v>
      </c>
      <c r="P19" s="46" t="str">
        <f>HYPERLINK("https://cofre.sieg.com/ajax/danfe.aspx?nfe=24230108030363001234550060000123501190301454","Ver Danfe")</f>
        <v>Ver Danfe</v>
      </c>
      <c r="Q19" s="46" t="str">
        <f>HYPERLINK("https://cofre.sieg.com/ajax/xml.aspx?nfe=24230108030363001234550060000123501190301454","Baixar Xml")</f>
        <v>Baixar Xml</v>
      </c>
    </row>
    <row r="20" spans="1:17" x14ac:dyDescent="0.75">
      <c r="A20" s="5">
        <v>12510</v>
      </c>
      <c r="B20" s="55">
        <v>26</v>
      </c>
      <c r="C20" s="5" t="s">
        <v>4866</v>
      </c>
      <c r="D20" s="45" t="s">
        <v>1127</v>
      </c>
      <c r="E20" s="45" t="s">
        <v>1125</v>
      </c>
      <c r="F20" s="45" t="s">
        <v>1125</v>
      </c>
      <c r="G20" s="45" t="s">
        <v>1120</v>
      </c>
      <c r="H20" s="45" t="s">
        <v>1126</v>
      </c>
      <c r="I20" s="45" t="s">
        <v>1126</v>
      </c>
      <c r="J20" s="45" t="s">
        <v>4866</v>
      </c>
      <c r="K20" s="45" t="s">
        <v>4968</v>
      </c>
      <c r="L20" s="45" t="s">
        <v>1122</v>
      </c>
      <c r="M20" s="45" t="s">
        <v>1311</v>
      </c>
      <c r="N20" s="45" t="s">
        <v>1312</v>
      </c>
      <c r="O20" s="45" t="s">
        <v>1123</v>
      </c>
      <c r="P20" s="46" t="str">
        <f>HYPERLINK("https://cofre.sieg.com/ajax/danfe.aspx?nfe=24230108030363001234550060000125101737152608","Ver Danfe")</f>
        <v>Ver Danfe</v>
      </c>
      <c r="Q20" s="46" t="str">
        <f>HYPERLINK("https://cofre.sieg.com/ajax/xml.aspx?nfe=24230108030363001234550060000125101737152608","Baixar Xml")</f>
        <v>Baixar Xml</v>
      </c>
    </row>
    <row r="21" spans="1:17" x14ac:dyDescent="0.75">
      <c r="A21" s="5">
        <v>12665</v>
      </c>
      <c r="B21" s="55">
        <v>26.4</v>
      </c>
      <c r="C21" s="5" t="s">
        <v>4884</v>
      </c>
      <c r="D21" s="45" t="s">
        <v>1127</v>
      </c>
      <c r="E21" s="45" t="s">
        <v>1125</v>
      </c>
      <c r="F21" s="45" t="s">
        <v>1125</v>
      </c>
      <c r="G21" s="45" t="s">
        <v>1120</v>
      </c>
      <c r="H21" s="45" t="s">
        <v>1126</v>
      </c>
      <c r="I21" s="45" t="s">
        <v>1126</v>
      </c>
      <c r="J21" s="45" t="s">
        <v>4884</v>
      </c>
      <c r="K21" s="45" t="s">
        <v>4969</v>
      </c>
      <c r="L21" s="45" t="s">
        <v>1122</v>
      </c>
      <c r="M21" s="45"/>
      <c r="N21" s="45"/>
      <c r="O21" s="45" t="s">
        <v>1123</v>
      </c>
      <c r="P21" s="46" t="str">
        <f>HYPERLINK("https://cofre.sieg.com/ajax/danfe.aspx?nfe=24230108030363001234550060000126651599791469","Ver Danfe")</f>
        <v>Ver Danfe</v>
      </c>
      <c r="Q21" s="46" t="str">
        <f>HYPERLINK("https://cofre.sieg.com/ajax/xml.aspx?nfe=24230108030363001234550060000126651599791469","Baixar Xml")</f>
        <v>Baixar Xml</v>
      </c>
    </row>
    <row r="22" spans="1:17" x14ac:dyDescent="0.75">
      <c r="A22" s="5">
        <v>12948</v>
      </c>
      <c r="B22" s="55">
        <v>28.8</v>
      </c>
      <c r="C22" s="5" t="s">
        <v>4919</v>
      </c>
      <c r="D22" s="45" t="s">
        <v>1127</v>
      </c>
      <c r="E22" s="45" t="s">
        <v>1125</v>
      </c>
      <c r="F22" s="45" t="s">
        <v>1125</v>
      </c>
      <c r="G22" s="45" t="s">
        <v>1120</v>
      </c>
      <c r="H22" s="45" t="s">
        <v>1126</v>
      </c>
      <c r="I22" s="45" t="s">
        <v>1126</v>
      </c>
      <c r="J22" s="45" t="s">
        <v>4919</v>
      </c>
      <c r="K22" s="45" t="s">
        <v>4970</v>
      </c>
      <c r="L22" s="45" t="s">
        <v>1122</v>
      </c>
      <c r="M22" s="45" t="s">
        <v>1311</v>
      </c>
      <c r="N22" s="45" t="s">
        <v>1312</v>
      </c>
      <c r="O22" s="45" t="s">
        <v>1123</v>
      </c>
      <c r="P22" s="46" t="str">
        <f>HYPERLINK("https://cofre.sieg.com/ajax/danfe.aspx?nfe=24230108030363001234550060000129481798100496","Ver Danfe")</f>
        <v>Ver Danfe</v>
      </c>
      <c r="Q22" s="46" t="str">
        <f>HYPERLINK("https://cofre.sieg.com/ajax/xml.aspx?nfe=24230108030363001234550060000129481798100496","Baixar Xml")</f>
        <v>Baixar Xml</v>
      </c>
    </row>
    <row r="23" spans="1:17" x14ac:dyDescent="0.75">
      <c r="A23" s="5">
        <v>13076</v>
      </c>
      <c r="B23" s="55">
        <v>151.5</v>
      </c>
      <c r="C23" s="5" t="s">
        <v>4938</v>
      </c>
      <c r="D23" s="45" t="s">
        <v>1127</v>
      </c>
      <c r="E23" s="45" t="s">
        <v>1125</v>
      </c>
      <c r="F23" s="45" t="s">
        <v>1125</v>
      </c>
      <c r="G23" s="45" t="s">
        <v>1120</v>
      </c>
      <c r="H23" s="45" t="s">
        <v>1126</v>
      </c>
      <c r="I23" s="45" t="s">
        <v>1126</v>
      </c>
      <c r="J23" s="45" t="s">
        <v>4938</v>
      </c>
      <c r="K23" s="45" t="s">
        <v>4971</v>
      </c>
      <c r="L23" s="45" t="s">
        <v>1122</v>
      </c>
      <c r="M23" s="45" t="s">
        <v>1311</v>
      </c>
      <c r="N23" s="45" t="s">
        <v>1312</v>
      </c>
      <c r="O23" s="45" t="s">
        <v>1123</v>
      </c>
      <c r="P23" s="46" t="str">
        <f>HYPERLINK("https://cofre.sieg.com/ajax/danfe.aspx?nfe=24230108030363001234550060000130761504559100","Ver Danfe")</f>
        <v>Ver Danfe</v>
      </c>
      <c r="Q23" s="46" t="str">
        <f>HYPERLINK("https://cofre.sieg.com/ajax/xml.aspx?nfe=24230108030363001234550060000130761504559100","Baixar Xml")</f>
        <v>Baixar Xml</v>
      </c>
    </row>
    <row r="24" spans="1:17" x14ac:dyDescent="0.75">
      <c r="A24" s="5">
        <v>15759</v>
      </c>
      <c r="B24" s="55">
        <v>10</v>
      </c>
      <c r="C24" s="5" t="s">
        <v>4908</v>
      </c>
      <c r="D24" s="45" t="s">
        <v>1207</v>
      </c>
      <c r="E24" s="45" t="s">
        <v>1125</v>
      </c>
      <c r="F24" s="45" t="s">
        <v>1125</v>
      </c>
      <c r="G24" s="45" t="s">
        <v>1120</v>
      </c>
      <c r="H24" s="45" t="s">
        <v>1126</v>
      </c>
      <c r="I24" s="45" t="s">
        <v>1126</v>
      </c>
      <c r="J24" s="45" t="s">
        <v>4908</v>
      </c>
      <c r="K24" s="45" t="s">
        <v>4972</v>
      </c>
      <c r="L24" s="45" t="s">
        <v>1122</v>
      </c>
      <c r="M24" s="45" t="s">
        <v>1311</v>
      </c>
      <c r="N24" s="45" t="s">
        <v>1312</v>
      </c>
      <c r="O24" s="45" t="s">
        <v>1123</v>
      </c>
      <c r="P24" s="46" t="str">
        <f>HYPERLINK("https://cofre.sieg.com/ajax/danfe.aspx?nfe=24230108030363001315550060000157591906454574","Ver Danfe")</f>
        <v>Ver Danfe</v>
      </c>
      <c r="Q24" s="46" t="str">
        <f>HYPERLINK("https://cofre.sieg.com/ajax/xml.aspx?nfe=24230108030363001315550060000157591906454574","Baixar Xml")</f>
        <v>Baixar Xml</v>
      </c>
    </row>
    <row r="25" spans="1:17" x14ac:dyDescent="0.75">
      <c r="A25" s="5">
        <v>15898</v>
      </c>
      <c r="B25" s="55">
        <v>72.5</v>
      </c>
      <c r="C25" s="5" t="s">
        <v>4923</v>
      </c>
      <c r="D25" s="45" t="s">
        <v>1207</v>
      </c>
      <c r="E25" s="45" t="s">
        <v>1125</v>
      </c>
      <c r="F25" s="45" t="s">
        <v>1125</v>
      </c>
      <c r="G25" s="45" t="s">
        <v>1120</v>
      </c>
      <c r="H25" s="45" t="s">
        <v>1126</v>
      </c>
      <c r="I25" s="45" t="s">
        <v>1126</v>
      </c>
      <c r="J25" s="45" t="s">
        <v>4923</v>
      </c>
      <c r="K25" s="45" t="s">
        <v>4973</v>
      </c>
      <c r="L25" s="45" t="s">
        <v>1122</v>
      </c>
      <c r="M25" s="45"/>
      <c r="N25" s="45"/>
      <c r="O25" s="45" t="s">
        <v>1123</v>
      </c>
      <c r="P25" s="46" t="str">
        <f>HYPERLINK("https://cofre.sieg.com/ajax/danfe.aspx?nfe=24230108030363001315550060000158981127829940","Ver Danfe")</f>
        <v>Ver Danfe</v>
      </c>
      <c r="Q25" s="46" t="str">
        <f>HYPERLINK("https://cofre.sieg.com/ajax/xml.aspx?nfe=24230108030363001315550060000158981127829940","Baixar Xml")</f>
        <v>Baixar Xml</v>
      </c>
    </row>
    <row r="26" spans="1:17" x14ac:dyDescent="0.75">
      <c r="A26" s="5">
        <v>15971</v>
      </c>
      <c r="B26" s="55">
        <v>26</v>
      </c>
      <c r="C26" s="5" t="s">
        <v>4937</v>
      </c>
      <c r="D26" s="45" t="s">
        <v>1207</v>
      </c>
      <c r="E26" s="45" t="s">
        <v>1125</v>
      </c>
      <c r="F26" s="45" t="s">
        <v>1125</v>
      </c>
      <c r="G26" s="45" t="s">
        <v>1120</v>
      </c>
      <c r="H26" s="45" t="s">
        <v>1126</v>
      </c>
      <c r="I26" s="45" t="s">
        <v>1126</v>
      </c>
      <c r="J26" s="45" t="s">
        <v>4937</v>
      </c>
      <c r="K26" s="45" t="s">
        <v>4974</v>
      </c>
      <c r="L26" s="45" t="s">
        <v>1122</v>
      </c>
      <c r="M26" s="45" t="s">
        <v>1311</v>
      </c>
      <c r="N26" s="45" t="s">
        <v>1312</v>
      </c>
      <c r="O26" s="45" t="s">
        <v>1123</v>
      </c>
      <c r="P26" s="46" t="str">
        <f>HYPERLINK("https://cofre.sieg.com/ajax/danfe.aspx?nfe=24230108030363001315550060000159711890984480","Ver Danfe")</f>
        <v>Ver Danfe</v>
      </c>
      <c r="Q26" s="46" t="str">
        <f>HYPERLINK("https://cofre.sieg.com/ajax/xml.aspx?nfe=24230108030363001315550060000159711890984480","Baixar Xml")</f>
        <v>Baixar Xml</v>
      </c>
    </row>
    <row r="27" spans="1:17" x14ac:dyDescent="0.75">
      <c r="A27" s="5">
        <v>13364</v>
      </c>
      <c r="B27" s="55">
        <v>89.32</v>
      </c>
      <c r="C27" s="5" t="s">
        <v>4826</v>
      </c>
      <c r="D27" s="45" t="s">
        <v>1128</v>
      </c>
      <c r="E27" s="45" t="s">
        <v>1125</v>
      </c>
      <c r="F27" s="45" t="s">
        <v>1125</v>
      </c>
      <c r="G27" s="45" t="s">
        <v>1120</v>
      </c>
      <c r="H27" s="45" t="s">
        <v>1126</v>
      </c>
      <c r="I27" s="45" t="s">
        <v>1126</v>
      </c>
      <c r="J27" s="45" t="s">
        <v>4826</v>
      </c>
      <c r="K27" s="45" t="s">
        <v>4975</v>
      </c>
      <c r="L27" s="45" t="s">
        <v>1122</v>
      </c>
      <c r="M27" s="45" t="s">
        <v>1311</v>
      </c>
      <c r="N27" s="45" t="s">
        <v>1312</v>
      </c>
      <c r="O27" s="45" t="s">
        <v>1123</v>
      </c>
      <c r="P27" s="46" t="str">
        <f>HYPERLINK("https://cofre.sieg.com/ajax/danfe.aspx?nfe=24230108030363003105550060000133641555516164","Ver Danfe")</f>
        <v>Ver Danfe</v>
      </c>
      <c r="Q27" s="46" t="str">
        <f>HYPERLINK("https://cofre.sieg.com/ajax/xml.aspx?nfe=24230108030363003105550060000133641555516164","Baixar Xml")</f>
        <v>Baixar Xml</v>
      </c>
    </row>
    <row r="28" spans="1:17" x14ac:dyDescent="0.75">
      <c r="A28" s="5">
        <v>13456</v>
      </c>
      <c r="B28" s="55">
        <v>104.2</v>
      </c>
      <c r="C28" s="5" t="s">
        <v>4846</v>
      </c>
      <c r="D28" s="45" t="s">
        <v>1128</v>
      </c>
      <c r="E28" s="45" t="s">
        <v>1125</v>
      </c>
      <c r="F28" s="45" t="s">
        <v>1125</v>
      </c>
      <c r="G28" s="45" t="s">
        <v>1120</v>
      </c>
      <c r="H28" s="45" t="s">
        <v>1126</v>
      </c>
      <c r="I28" s="45" t="s">
        <v>1126</v>
      </c>
      <c r="J28" s="45" t="s">
        <v>4846</v>
      </c>
      <c r="K28" s="45" t="s">
        <v>4976</v>
      </c>
      <c r="L28" s="45" t="s">
        <v>1122</v>
      </c>
      <c r="M28" s="45" t="s">
        <v>1311</v>
      </c>
      <c r="N28" s="45" t="s">
        <v>1312</v>
      </c>
      <c r="O28" s="45" t="s">
        <v>1123</v>
      </c>
      <c r="P28" s="46" t="str">
        <f>HYPERLINK("https://cofre.sieg.com/ajax/danfe.aspx?nfe=24230108030363003105550060000134561930830770","Ver Danfe")</f>
        <v>Ver Danfe</v>
      </c>
      <c r="Q28" s="46" t="str">
        <f>HYPERLINK("https://cofre.sieg.com/ajax/xml.aspx?nfe=24230108030363003105550060000134561930830770","Baixar Xml")</f>
        <v>Baixar Xml</v>
      </c>
    </row>
    <row r="29" spans="1:17" x14ac:dyDescent="0.75">
      <c r="A29" s="5">
        <v>13530</v>
      </c>
      <c r="B29" s="55">
        <v>72</v>
      </c>
      <c r="C29" s="5" t="s">
        <v>4861</v>
      </c>
      <c r="D29" s="45" t="s">
        <v>1128</v>
      </c>
      <c r="E29" s="45" t="s">
        <v>1125</v>
      </c>
      <c r="F29" s="45" t="s">
        <v>1125</v>
      </c>
      <c r="G29" s="45" t="s">
        <v>1120</v>
      </c>
      <c r="H29" s="45" t="s">
        <v>1126</v>
      </c>
      <c r="I29" s="45" t="s">
        <v>1126</v>
      </c>
      <c r="J29" s="45" t="s">
        <v>4861</v>
      </c>
      <c r="K29" s="45" t="s">
        <v>4977</v>
      </c>
      <c r="L29" s="45" t="s">
        <v>1122</v>
      </c>
      <c r="M29" s="45"/>
      <c r="N29" s="45"/>
      <c r="O29" s="45" t="s">
        <v>1123</v>
      </c>
      <c r="P29" s="46" t="str">
        <f>HYPERLINK("https://cofre.sieg.com/ajax/danfe.aspx?nfe=24230108030363003105550060000135301096222452","Ver Danfe")</f>
        <v>Ver Danfe</v>
      </c>
      <c r="Q29" s="46" t="str">
        <f>HYPERLINK("https://cofre.sieg.com/ajax/xml.aspx?nfe=24230108030363003105550060000135301096222452","Baixar Xml")</f>
        <v>Baixar Xml</v>
      </c>
    </row>
    <row r="30" spans="1:17" x14ac:dyDescent="0.75">
      <c r="A30" s="5">
        <v>13609</v>
      </c>
      <c r="B30" s="55">
        <v>225</v>
      </c>
      <c r="C30" s="5" t="s">
        <v>4866</v>
      </c>
      <c r="D30" s="45" t="s">
        <v>1128</v>
      </c>
      <c r="E30" s="45" t="s">
        <v>1125</v>
      </c>
      <c r="F30" s="45" t="s">
        <v>1125</v>
      </c>
      <c r="G30" s="45" t="s">
        <v>1120</v>
      </c>
      <c r="H30" s="45" t="s">
        <v>1126</v>
      </c>
      <c r="I30" s="45" t="s">
        <v>1126</v>
      </c>
      <c r="J30" s="45" t="s">
        <v>4866</v>
      </c>
      <c r="K30" s="45" t="s">
        <v>4978</v>
      </c>
      <c r="L30" s="45" t="s">
        <v>1122</v>
      </c>
      <c r="M30" s="45" t="s">
        <v>1311</v>
      </c>
      <c r="N30" s="45" t="s">
        <v>1312</v>
      </c>
      <c r="O30" s="45" t="s">
        <v>1123</v>
      </c>
      <c r="P30" s="46" t="str">
        <f>HYPERLINK("https://cofre.sieg.com/ajax/danfe.aspx?nfe=24230108030363003105550060000136091904082290","Ver Danfe")</f>
        <v>Ver Danfe</v>
      </c>
      <c r="Q30" s="46" t="str">
        <f>HYPERLINK("https://cofre.sieg.com/ajax/xml.aspx?nfe=24230108030363003105550060000136091904082290","Baixar Xml")</f>
        <v>Baixar Xml</v>
      </c>
    </row>
    <row r="31" spans="1:17" x14ac:dyDescent="0.75">
      <c r="A31" s="5">
        <v>13633</v>
      </c>
      <c r="B31" s="55">
        <v>189.2</v>
      </c>
      <c r="C31" s="5" t="s">
        <v>4873</v>
      </c>
      <c r="D31" s="45" t="s">
        <v>1128</v>
      </c>
      <c r="E31" s="45" t="s">
        <v>1125</v>
      </c>
      <c r="F31" s="45" t="s">
        <v>1125</v>
      </c>
      <c r="G31" s="45" t="s">
        <v>1120</v>
      </c>
      <c r="H31" s="45" t="s">
        <v>1126</v>
      </c>
      <c r="I31" s="45" t="s">
        <v>1126</v>
      </c>
      <c r="J31" s="45" t="s">
        <v>4873</v>
      </c>
      <c r="K31" s="45" t="s">
        <v>4979</v>
      </c>
      <c r="L31" s="45" t="s">
        <v>1122</v>
      </c>
      <c r="M31" s="45"/>
      <c r="N31" s="45"/>
      <c r="O31" s="45" t="s">
        <v>1123</v>
      </c>
      <c r="P31" s="46" t="str">
        <f>HYPERLINK("https://cofre.sieg.com/ajax/danfe.aspx?nfe=24230108030363003105550060000136331102362602","Ver Danfe")</f>
        <v>Ver Danfe</v>
      </c>
      <c r="Q31" s="46" t="str">
        <f>HYPERLINK("https://cofre.sieg.com/ajax/xml.aspx?nfe=24230108030363003105550060000136331102362602","Baixar Xml")</f>
        <v>Baixar Xml</v>
      </c>
    </row>
    <row r="32" spans="1:17" x14ac:dyDescent="0.75">
      <c r="A32" s="5">
        <v>13925</v>
      </c>
      <c r="B32" s="55">
        <v>133.30000000000001</v>
      </c>
      <c r="C32" s="5" t="s">
        <v>4908</v>
      </c>
      <c r="D32" s="45" t="s">
        <v>1128</v>
      </c>
      <c r="E32" s="45" t="s">
        <v>1125</v>
      </c>
      <c r="F32" s="45" t="s">
        <v>1125</v>
      </c>
      <c r="G32" s="45" t="s">
        <v>1120</v>
      </c>
      <c r="H32" s="45" t="s">
        <v>1126</v>
      </c>
      <c r="I32" s="45" t="s">
        <v>1126</v>
      </c>
      <c r="J32" s="45" t="s">
        <v>4908</v>
      </c>
      <c r="K32" s="45" t="s">
        <v>4980</v>
      </c>
      <c r="L32" s="45" t="s">
        <v>1122</v>
      </c>
      <c r="M32" s="45" t="s">
        <v>1311</v>
      </c>
      <c r="N32" s="45" t="s">
        <v>1312</v>
      </c>
      <c r="O32" s="45" t="s">
        <v>1123</v>
      </c>
      <c r="P32" s="46" t="str">
        <f>HYPERLINK("https://cofre.sieg.com/ajax/danfe.aspx?nfe=24230108030363003105550060000139251112777982","Ver Danfe")</f>
        <v>Ver Danfe</v>
      </c>
      <c r="Q32" s="46" t="str">
        <f>HYPERLINK("https://cofre.sieg.com/ajax/xml.aspx?nfe=24230108030363003105550060000139251112777982","Baixar Xml")</f>
        <v>Baixar Xml</v>
      </c>
    </row>
    <row r="33" spans="1:17" x14ac:dyDescent="0.75">
      <c r="A33" s="5">
        <v>13995</v>
      </c>
      <c r="B33" s="55">
        <v>24.8</v>
      </c>
      <c r="C33" s="5" t="s">
        <v>4919</v>
      </c>
      <c r="D33" s="45" t="s">
        <v>1128</v>
      </c>
      <c r="E33" s="45" t="s">
        <v>1125</v>
      </c>
      <c r="F33" s="45" t="s">
        <v>1125</v>
      </c>
      <c r="G33" s="45" t="s">
        <v>1120</v>
      </c>
      <c r="H33" s="45" t="s">
        <v>1126</v>
      </c>
      <c r="I33" s="45" t="s">
        <v>1126</v>
      </c>
      <c r="J33" s="45" t="s">
        <v>4919</v>
      </c>
      <c r="K33" s="45" t="s">
        <v>4981</v>
      </c>
      <c r="L33" s="45" t="s">
        <v>1122</v>
      </c>
      <c r="M33" s="45" t="s">
        <v>1311</v>
      </c>
      <c r="N33" s="45" t="s">
        <v>1312</v>
      </c>
      <c r="O33" s="45" t="s">
        <v>1123</v>
      </c>
      <c r="P33" s="46" t="str">
        <f>HYPERLINK("https://cofre.sieg.com/ajax/danfe.aspx?nfe=24230108030363003105550060000139951850703793","Ver Danfe")</f>
        <v>Ver Danfe</v>
      </c>
      <c r="Q33" s="46" t="str">
        <f>HYPERLINK("https://cofre.sieg.com/ajax/xml.aspx?nfe=24230108030363003105550060000139951850703793","Baixar Xml")</f>
        <v>Baixar Xml</v>
      </c>
    </row>
    <row r="34" spans="1:17" x14ac:dyDescent="0.75">
      <c r="A34" s="5">
        <v>11278</v>
      </c>
      <c r="B34" s="55">
        <v>16.5</v>
      </c>
      <c r="C34" s="5" t="s">
        <v>4866</v>
      </c>
      <c r="D34" s="45" t="s">
        <v>4872</v>
      </c>
      <c r="E34" s="45" t="s">
        <v>1125</v>
      </c>
      <c r="F34" s="45" t="s">
        <v>1125</v>
      </c>
      <c r="G34" s="45" t="s">
        <v>1120</v>
      </c>
      <c r="H34" s="45" t="s">
        <v>1126</v>
      </c>
      <c r="I34" s="45" t="s">
        <v>1126</v>
      </c>
      <c r="J34" s="45" t="s">
        <v>4866</v>
      </c>
      <c r="K34" s="45" t="s">
        <v>4982</v>
      </c>
      <c r="L34" s="45" t="s">
        <v>1122</v>
      </c>
      <c r="M34" s="45" t="s">
        <v>1311</v>
      </c>
      <c r="N34" s="45" t="s">
        <v>1312</v>
      </c>
      <c r="O34" s="45" t="s">
        <v>1123</v>
      </c>
      <c r="P34" s="46" t="str">
        <f>HYPERLINK("https://cofre.sieg.com/ajax/danfe.aspx?nfe=24230108030363003440550060000112781789834258","Ver Danfe")</f>
        <v>Ver Danfe</v>
      </c>
      <c r="Q34" s="46" t="str">
        <f>HYPERLINK("https://cofre.sieg.com/ajax/xml.aspx?nfe=24230108030363003440550060000112781789834258","Baixar Xml")</f>
        <v>Baixar Xml</v>
      </c>
    </row>
    <row r="35" spans="1:17" x14ac:dyDescent="0.75">
      <c r="A35" s="5">
        <v>11485</v>
      </c>
      <c r="B35" s="55">
        <v>247.5</v>
      </c>
      <c r="C35" s="5" t="s">
        <v>4900</v>
      </c>
      <c r="D35" s="45" t="s">
        <v>4872</v>
      </c>
      <c r="E35" s="45" t="s">
        <v>1125</v>
      </c>
      <c r="F35" s="45" t="s">
        <v>1125</v>
      </c>
      <c r="G35" s="45" t="s">
        <v>1120</v>
      </c>
      <c r="H35" s="45" t="s">
        <v>1126</v>
      </c>
      <c r="I35" s="45" t="s">
        <v>1126</v>
      </c>
      <c r="J35" s="45" t="s">
        <v>4900</v>
      </c>
      <c r="K35" s="45" t="s">
        <v>4983</v>
      </c>
      <c r="L35" s="45" t="s">
        <v>1122</v>
      </c>
      <c r="M35" s="45"/>
      <c r="N35" s="45"/>
      <c r="O35" s="45" t="s">
        <v>1123</v>
      </c>
      <c r="P35" s="46" t="str">
        <f>HYPERLINK("https://cofre.sieg.com/ajax/danfe.aspx?nfe=24230108030363003440550060000114851146376279","Ver Danfe")</f>
        <v>Ver Danfe</v>
      </c>
      <c r="Q35" s="46" t="str">
        <f>HYPERLINK("https://cofre.sieg.com/ajax/xml.aspx?nfe=24230108030363003440550060000114851146376279","Baixar Xml")</f>
        <v>Baixar Xml</v>
      </c>
    </row>
    <row r="36" spans="1:17" x14ac:dyDescent="0.75">
      <c r="A36" s="5">
        <v>11688</v>
      </c>
      <c r="B36" s="55">
        <v>19.600000000000001</v>
      </c>
      <c r="C36" s="5" t="s">
        <v>4938</v>
      </c>
      <c r="D36" s="45" t="s">
        <v>4872</v>
      </c>
      <c r="E36" s="45" t="s">
        <v>1125</v>
      </c>
      <c r="F36" s="45" t="s">
        <v>1125</v>
      </c>
      <c r="G36" s="45" t="s">
        <v>1120</v>
      </c>
      <c r="H36" s="45" t="s">
        <v>1126</v>
      </c>
      <c r="I36" s="45" t="s">
        <v>1126</v>
      </c>
      <c r="J36" s="45" t="s">
        <v>4938</v>
      </c>
      <c r="K36" s="45" t="s">
        <v>4984</v>
      </c>
      <c r="L36" s="45" t="s">
        <v>1122</v>
      </c>
      <c r="M36" s="45" t="s">
        <v>1311</v>
      </c>
      <c r="N36" s="45" t="s">
        <v>1312</v>
      </c>
      <c r="O36" s="45" t="s">
        <v>1123</v>
      </c>
      <c r="P36" s="46" t="str">
        <f>HYPERLINK("https://cofre.sieg.com/ajax/danfe.aspx?nfe=24230108030363003440550060000116881380846548","Ver Danfe")</f>
        <v>Ver Danfe</v>
      </c>
      <c r="Q36" s="46" t="str">
        <f>HYPERLINK("https://cofre.sieg.com/ajax/xml.aspx?nfe=24230108030363003440550060000116881380846548","Baixar Xml")</f>
        <v>Baixar Xml</v>
      </c>
    </row>
    <row r="37" spans="1:17" x14ac:dyDescent="0.75">
      <c r="A37" s="5">
        <v>15566</v>
      </c>
      <c r="B37" s="55">
        <v>5.5</v>
      </c>
      <c r="C37" s="5" t="s">
        <v>4826</v>
      </c>
      <c r="D37" s="45" t="s">
        <v>1129</v>
      </c>
      <c r="E37" s="45" t="s">
        <v>1125</v>
      </c>
      <c r="F37" s="45" t="s">
        <v>1125</v>
      </c>
      <c r="G37" s="45" t="s">
        <v>1120</v>
      </c>
      <c r="H37" s="45" t="s">
        <v>1126</v>
      </c>
      <c r="I37" s="45" t="s">
        <v>1126</v>
      </c>
      <c r="J37" s="45" t="s">
        <v>4826</v>
      </c>
      <c r="K37" s="45" t="s">
        <v>4985</v>
      </c>
      <c r="L37" s="45" t="s">
        <v>1122</v>
      </c>
      <c r="M37" s="45" t="s">
        <v>1311</v>
      </c>
      <c r="N37" s="45" t="s">
        <v>1312</v>
      </c>
      <c r="O37" s="45" t="s">
        <v>1123</v>
      </c>
      <c r="P37" s="46" t="str">
        <f>HYPERLINK("https://cofre.sieg.com/ajax/danfe.aspx?nfe=24230108030363003873550060000155661621094012","Ver Danfe")</f>
        <v>Ver Danfe</v>
      </c>
      <c r="Q37" s="46" t="str">
        <f>HYPERLINK("https://cofre.sieg.com/ajax/xml.aspx?nfe=24230108030363003873550060000155661621094012","Baixar Xml")</f>
        <v>Baixar Xml</v>
      </c>
    </row>
    <row r="38" spans="1:17" x14ac:dyDescent="0.75">
      <c r="A38" s="5">
        <v>15639</v>
      </c>
      <c r="B38" s="55">
        <v>80.599999999999994</v>
      </c>
      <c r="C38" s="5" t="s">
        <v>4839</v>
      </c>
      <c r="D38" s="45" t="s">
        <v>1129</v>
      </c>
      <c r="E38" s="45" t="s">
        <v>1125</v>
      </c>
      <c r="F38" s="45" t="s">
        <v>1125</v>
      </c>
      <c r="G38" s="45" t="s">
        <v>1120</v>
      </c>
      <c r="H38" s="45" t="s">
        <v>1126</v>
      </c>
      <c r="I38" s="45" t="s">
        <v>1126</v>
      </c>
      <c r="J38" s="45" t="s">
        <v>4839</v>
      </c>
      <c r="K38" s="45" t="s">
        <v>4986</v>
      </c>
      <c r="L38" s="45" t="s">
        <v>1122</v>
      </c>
      <c r="M38" s="45" t="s">
        <v>1311</v>
      </c>
      <c r="N38" s="45" t="s">
        <v>1312</v>
      </c>
      <c r="O38" s="45" t="s">
        <v>1123</v>
      </c>
      <c r="P38" s="46" t="str">
        <f>HYPERLINK("https://cofre.sieg.com/ajax/danfe.aspx?nfe=24230108030363003873550060000156391402142931","Ver Danfe")</f>
        <v>Ver Danfe</v>
      </c>
      <c r="Q38" s="46" t="str">
        <f>HYPERLINK("https://cofre.sieg.com/ajax/xml.aspx?nfe=24230108030363003873550060000156391402142931","Baixar Xml")</f>
        <v>Baixar Xml</v>
      </c>
    </row>
    <row r="39" spans="1:17" x14ac:dyDescent="0.75">
      <c r="A39" s="5">
        <v>15690</v>
      </c>
      <c r="B39" s="55">
        <v>2.75</v>
      </c>
      <c r="C39" s="5" t="s">
        <v>4846</v>
      </c>
      <c r="D39" s="45" t="s">
        <v>1129</v>
      </c>
      <c r="E39" s="45" t="s">
        <v>1125</v>
      </c>
      <c r="F39" s="45" t="s">
        <v>1125</v>
      </c>
      <c r="G39" s="45" t="s">
        <v>1120</v>
      </c>
      <c r="H39" s="45" t="s">
        <v>1126</v>
      </c>
      <c r="I39" s="45" t="s">
        <v>1126</v>
      </c>
      <c r="J39" s="45" t="s">
        <v>4846</v>
      </c>
      <c r="K39" s="45" t="s">
        <v>4987</v>
      </c>
      <c r="L39" s="45" t="s">
        <v>1122</v>
      </c>
      <c r="M39" s="45" t="s">
        <v>1311</v>
      </c>
      <c r="N39" s="45" t="s">
        <v>1312</v>
      </c>
      <c r="O39" s="45" t="s">
        <v>1123</v>
      </c>
      <c r="P39" s="46" t="str">
        <f>HYPERLINK("https://cofre.sieg.com/ajax/danfe.aspx?nfe=24230108030363003873550060000156901104232064","Ver Danfe")</f>
        <v>Ver Danfe</v>
      </c>
      <c r="Q39" s="46" t="str">
        <f>HYPERLINK("https://cofre.sieg.com/ajax/xml.aspx?nfe=24230108030363003873550060000156901104232064","Baixar Xml")</f>
        <v>Baixar Xml</v>
      </c>
    </row>
    <row r="40" spans="1:17" x14ac:dyDescent="0.75">
      <c r="A40" s="5">
        <v>15776</v>
      </c>
      <c r="B40" s="55">
        <v>84.8</v>
      </c>
      <c r="C40" s="5" t="s">
        <v>4861</v>
      </c>
      <c r="D40" s="45" t="s">
        <v>1129</v>
      </c>
      <c r="E40" s="45" t="s">
        <v>1125</v>
      </c>
      <c r="F40" s="45" t="s">
        <v>1125</v>
      </c>
      <c r="G40" s="45" t="s">
        <v>1120</v>
      </c>
      <c r="H40" s="45" t="s">
        <v>1126</v>
      </c>
      <c r="I40" s="45" t="s">
        <v>1126</v>
      </c>
      <c r="J40" s="45" t="s">
        <v>4861</v>
      </c>
      <c r="K40" s="45" t="s">
        <v>4988</v>
      </c>
      <c r="L40" s="45" t="s">
        <v>1122</v>
      </c>
      <c r="M40" s="45"/>
      <c r="N40" s="45"/>
      <c r="O40" s="45" t="s">
        <v>1123</v>
      </c>
      <c r="P40" s="46" t="str">
        <f>HYPERLINK("https://cofre.sieg.com/ajax/danfe.aspx?nfe=24230108030363003873550060000157761117047526","Ver Danfe")</f>
        <v>Ver Danfe</v>
      </c>
      <c r="Q40" s="46" t="str">
        <f>HYPERLINK("https://cofre.sieg.com/ajax/xml.aspx?nfe=24230108030363003873550060000157761117047526","Baixar Xml")</f>
        <v>Baixar Xml</v>
      </c>
    </row>
    <row r="41" spans="1:17" x14ac:dyDescent="0.75">
      <c r="A41" s="5">
        <v>15942</v>
      </c>
      <c r="B41" s="55">
        <v>2.6</v>
      </c>
      <c r="C41" s="5" t="s">
        <v>4877</v>
      </c>
      <c r="D41" s="45" t="s">
        <v>1129</v>
      </c>
      <c r="E41" s="45" t="s">
        <v>1125</v>
      </c>
      <c r="F41" s="45" t="s">
        <v>1125</v>
      </c>
      <c r="G41" s="45" t="s">
        <v>1120</v>
      </c>
      <c r="H41" s="45" t="s">
        <v>1126</v>
      </c>
      <c r="I41" s="45" t="s">
        <v>1126</v>
      </c>
      <c r="J41" s="45" t="s">
        <v>4877</v>
      </c>
      <c r="K41" s="45" t="s">
        <v>4989</v>
      </c>
      <c r="L41" s="45" t="s">
        <v>1122</v>
      </c>
      <c r="M41" s="45" t="s">
        <v>1311</v>
      </c>
      <c r="N41" s="45" t="s">
        <v>1312</v>
      </c>
      <c r="O41" s="45" t="s">
        <v>1123</v>
      </c>
      <c r="P41" s="46" t="str">
        <f>HYPERLINK("https://cofre.sieg.com/ajax/danfe.aspx?nfe=24230108030363003873550060000159421516900942","Ver Danfe")</f>
        <v>Ver Danfe</v>
      </c>
      <c r="Q41" s="46" t="str">
        <f>HYPERLINK("https://cofre.sieg.com/ajax/xml.aspx?nfe=24230108030363003873550060000159421516900942","Baixar Xml")</f>
        <v>Baixar Xml</v>
      </c>
    </row>
    <row r="42" spans="1:17" x14ac:dyDescent="0.75">
      <c r="A42" s="5">
        <v>16017</v>
      </c>
      <c r="B42" s="55">
        <v>6.4</v>
      </c>
      <c r="C42" s="5" t="s">
        <v>4884</v>
      </c>
      <c r="D42" s="45" t="s">
        <v>1129</v>
      </c>
      <c r="E42" s="45" t="s">
        <v>1125</v>
      </c>
      <c r="F42" s="45" t="s">
        <v>1125</v>
      </c>
      <c r="G42" s="45" t="s">
        <v>1120</v>
      </c>
      <c r="H42" s="45" t="s">
        <v>1126</v>
      </c>
      <c r="I42" s="45" t="s">
        <v>1126</v>
      </c>
      <c r="J42" s="45" t="s">
        <v>4884</v>
      </c>
      <c r="K42" s="45" t="s">
        <v>4990</v>
      </c>
      <c r="L42" s="45" t="s">
        <v>1122</v>
      </c>
      <c r="M42" s="45"/>
      <c r="N42" s="45"/>
      <c r="O42" s="45" t="s">
        <v>1123</v>
      </c>
      <c r="P42" s="46" t="str">
        <f>HYPERLINK("https://cofre.sieg.com/ajax/danfe.aspx?nfe=24230108030363003873550060000160171595278576","Ver Danfe")</f>
        <v>Ver Danfe</v>
      </c>
      <c r="Q42" s="46" t="str">
        <f>HYPERLINK("https://cofre.sieg.com/ajax/xml.aspx?nfe=24230108030363003873550060000160171595278576","Baixar Xml")</f>
        <v>Baixar Xml</v>
      </c>
    </row>
    <row r="43" spans="1:17" x14ac:dyDescent="0.75">
      <c r="A43" s="5">
        <v>16018</v>
      </c>
      <c r="B43" s="55">
        <v>17.3</v>
      </c>
      <c r="C43" s="5" t="s">
        <v>4884</v>
      </c>
      <c r="D43" s="45" t="s">
        <v>1129</v>
      </c>
      <c r="E43" s="45" t="s">
        <v>1125</v>
      </c>
      <c r="F43" s="45" t="s">
        <v>1125</v>
      </c>
      <c r="G43" s="45" t="s">
        <v>1120</v>
      </c>
      <c r="H43" s="45" t="s">
        <v>1126</v>
      </c>
      <c r="I43" s="45" t="s">
        <v>1126</v>
      </c>
      <c r="J43" s="45" t="s">
        <v>4884</v>
      </c>
      <c r="K43" s="45" t="s">
        <v>4991</v>
      </c>
      <c r="L43" s="45" t="s">
        <v>1122</v>
      </c>
      <c r="M43" s="45"/>
      <c r="N43" s="45"/>
      <c r="O43" s="45" t="s">
        <v>1123</v>
      </c>
      <c r="P43" s="46" t="str">
        <f>HYPERLINK("https://cofre.sieg.com/ajax/danfe.aspx?nfe=24230108030363003873550060000160181843225113","Ver Danfe")</f>
        <v>Ver Danfe</v>
      </c>
      <c r="Q43" s="46" t="str">
        <f>HYPERLINK("https://cofre.sieg.com/ajax/xml.aspx?nfe=24230108030363003873550060000160181843225113","Baixar Xml")</f>
        <v>Baixar Xml</v>
      </c>
    </row>
    <row r="44" spans="1:17" x14ac:dyDescent="0.75">
      <c r="A44" s="5">
        <v>16100</v>
      </c>
      <c r="B44" s="55">
        <v>63.65</v>
      </c>
      <c r="C44" s="5" t="s">
        <v>4891</v>
      </c>
      <c r="D44" s="45" t="s">
        <v>1129</v>
      </c>
      <c r="E44" s="45" t="s">
        <v>1125</v>
      </c>
      <c r="F44" s="45" t="s">
        <v>1125</v>
      </c>
      <c r="G44" s="45" t="s">
        <v>1120</v>
      </c>
      <c r="H44" s="45" t="s">
        <v>1126</v>
      </c>
      <c r="I44" s="45" t="s">
        <v>1126</v>
      </c>
      <c r="J44" s="45" t="s">
        <v>4891</v>
      </c>
      <c r="K44" s="45" t="s">
        <v>4992</v>
      </c>
      <c r="L44" s="45" t="s">
        <v>1122</v>
      </c>
      <c r="M44" s="45" t="s">
        <v>1311</v>
      </c>
      <c r="N44" s="45" t="s">
        <v>1312</v>
      </c>
      <c r="O44" s="45" t="s">
        <v>1123</v>
      </c>
      <c r="P44" s="46" t="str">
        <f>HYPERLINK("https://cofre.sieg.com/ajax/danfe.aspx?nfe=24230108030363003873550060000161001286743620","Ver Danfe")</f>
        <v>Ver Danfe</v>
      </c>
      <c r="Q44" s="46" t="str">
        <f>HYPERLINK("https://cofre.sieg.com/ajax/xml.aspx?nfe=24230108030363003873550060000161001286743620","Baixar Xml")</f>
        <v>Baixar Xml</v>
      </c>
    </row>
    <row r="45" spans="1:17" x14ac:dyDescent="0.75">
      <c r="A45" s="5">
        <v>16178</v>
      </c>
      <c r="B45" s="55">
        <v>65.3</v>
      </c>
      <c r="C45" s="5" t="s">
        <v>4900</v>
      </c>
      <c r="D45" s="45" t="s">
        <v>1129</v>
      </c>
      <c r="E45" s="45" t="s">
        <v>1125</v>
      </c>
      <c r="F45" s="45" t="s">
        <v>1125</v>
      </c>
      <c r="G45" s="45" t="s">
        <v>1120</v>
      </c>
      <c r="H45" s="45" t="s">
        <v>1126</v>
      </c>
      <c r="I45" s="45" t="s">
        <v>1126</v>
      </c>
      <c r="J45" s="45" t="s">
        <v>4900</v>
      </c>
      <c r="K45" s="45" t="s">
        <v>4993</v>
      </c>
      <c r="L45" s="45" t="s">
        <v>1122</v>
      </c>
      <c r="M45" s="45"/>
      <c r="N45" s="45"/>
      <c r="O45" s="45" t="s">
        <v>1123</v>
      </c>
      <c r="P45" s="46" t="str">
        <f>HYPERLINK("https://cofre.sieg.com/ajax/danfe.aspx?nfe=24230108030363003873550060000161781029856127","Ver Danfe")</f>
        <v>Ver Danfe</v>
      </c>
      <c r="Q45" s="46" t="str">
        <f>HYPERLINK("https://cofre.sieg.com/ajax/xml.aspx?nfe=24230108030363003873550060000161781029856127","Baixar Xml")</f>
        <v>Baixar Xml</v>
      </c>
    </row>
    <row r="46" spans="1:17" x14ac:dyDescent="0.75">
      <c r="A46" s="5">
        <v>16227</v>
      </c>
      <c r="B46" s="55">
        <v>91</v>
      </c>
      <c r="C46" s="5" t="s">
        <v>4907</v>
      </c>
      <c r="D46" s="45" t="s">
        <v>1129</v>
      </c>
      <c r="E46" s="45" t="s">
        <v>1125</v>
      </c>
      <c r="F46" s="45" t="s">
        <v>1125</v>
      </c>
      <c r="G46" s="45" t="s">
        <v>1120</v>
      </c>
      <c r="H46" s="45" t="s">
        <v>1126</v>
      </c>
      <c r="I46" s="45" t="s">
        <v>1126</v>
      </c>
      <c r="J46" s="45" t="s">
        <v>4907</v>
      </c>
      <c r="K46" s="45" t="s">
        <v>4994</v>
      </c>
      <c r="L46" s="45" t="s">
        <v>1122</v>
      </c>
      <c r="M46" s="45"/>
      <c r="N46" s="45"/>
      <c r="O46" s="45" t="s">
        <v>1123</v>
      </c>
      <c r="P46" s="46" t="str">
        <f>HYPERLINK("https://cofre.sieg.com/ajax/danfe.aspx?nfe=24230108030363003873550060000162271504107304","Ver Danfe")</f>
        <v>Ver Danfe</v>
      </c>
      <c r="Q46" s="46" t="str">
        <f>HYPERLINK("https://cofre.sieg.com/ajax/xml.aspx?nfe=24230108030363003873550060000162271504107304","Baixar Xml")</f>
        <v>Baixar Xml</v>
      </c>
    </row>
    <row r="47" spans="1:17" x14ac:dyDescent="0.75">
      <c r="A47" s="5">
        <v>16267</v>
      </c>
      <c r="B47" s="55">
        <v>30</v>
      </c>
      <c r="C47" s="5" t="s">
        <v>4908</v>
      </c>
      <c r="D47" s="45" t="s">
        <v>1129</v>
      </c>
      <c r="E47" s="45" t="s">
        <v>1125</v>
      </c>
      <c r="F47" s="45" t="s">
        <v>1125</v>
      </c>
      <c r="G47" s="45" t="s">
        <v>1120</v>
      </c>
      <c r="H47" s="45" t="s">
        <v>1126</v>
      </c>
      <c r="I47" s="45" t="s">
        <v>1126</v>
      </c>
      <c r="J47" s="45" t="s">
        <v>4908</v>
      </c>
      <c r="K47" s="45" t="s">
        <v>4995</v>
      </c>
      <c r="L47" s="45" t="s">
        <v>1122</v>
      </c>
      <c r="M47" s="45" t="s">
        <v>1311</v>
      </c>
      <c r="N47" s="45" t="s">
        <v>1312</v>
      </c>
      <c r="O47" s="45" t="s">
        <v>1123</v>
      </c>
      <c r="P47" s="46" t="str">
        <f>HYPERLINK("https://cofre.sieg.com/ajax/danfe.aspx?nfe=24230108030363003873550060000162671056554979","Ver Danfe")</f>
        <v>Ver Danfe</v>
      </c>
      <c r="Q47" s="46" t="str">
        <f>HYPERLINK("https://cofre.sieg.com/ajax/xml.aspx?nfe=24230108030363003873550060000162671056554979","Baixar Xml")</f>
        <v>Baixar Xml</v>
      </c>
    </row>
    <row r="48" spans="1:17" x14ac:dyDescent="0.75">
      <c r="A48" s="5">
        <v>16353</v>
      </c>
      <c r="B48" s="55">
        <v>215.8</v>
      </c>
      <c r="C48" s="5" t="s">
        <v>4923</v>
      </c>
      <c r="D48" s="45" t="s">
        <v>1129</v>
      </c>
      <c r="E48" s="45" t="s">
        <v>1125</v>
      </c>
      <c r="F48" s="45" t="s">
        <v>1125</v>
      </c>
      <c r="G48" s="45" t="s">
        <v>1120</v>
      </c>
      <c r="H48" s="45" t="s">
        <v>1126</v>
      </c>
      <c r="I48" s="45" t="s">
        <v>1126</v>
      </c>
      <c r="J48" s="45" t="s">
        <v>4923</v>
      </c>
      <c r="K48" s="45" t="s">
        <v>4996</v>
      </c>
      <c r="L48" s="45" t="s">
        <v>1122</v>
      </c>
      <c r="M48" s="45" t="s">
        <v>1311</v>
      </c>
      <c r="N48" s="45" t="s">
        <v>1312</v>
      </c>
      <c r="O48" s="45" t="s">
        <v>1123</v>
      </c>
      <c r="P48" s="46" t="str">
        <f>HYPERLINK("https://cofre.sieg.com/ajax/danfe.aspx?nfe=24230108030363003873550060000163531864175250","Ver Danfe")</f>
        <v>Ver Danfe</v>
      </c>
      <c r="Q48" s="46" t="str">
        <f>HYPERLINK("https://cofre.sieg.com/ajax/xml.aspx?nfe=24230108030363003873550060000163531864175250","Baixar Xml")</f>
        <v>Baixar Xml</v>
      </c>
    </row>
    <row r="49" spans="1:17" x14ac:dyDescent="0.75">
      <c r="A49" s="5">
        <v>16408</v>
      </c>
      <c r="B49" s="55">
        <v>5.5</v>
      </c>
      <c r="C49" s="5" t="s">
        <v>4930</v>
      </c>
      <c r="D49" s="45" t="s">
        <v>1129</v>
      </c>
      <c r="E49" s="45" t="s">
        <v>1125</v>
      </c>
      <c r="F49" s="45" t="s">
        <v>1125</v>
      </c>
      <c r="G49" s="45" t="s">
        <v>1120</v>
      </c>
      <c r="H49" s="45" t="s">
        <v>1126</v>
      </c>
      <c r="I49" s="45" t="s">
        <v>1126</v>
      </c>
      <c r="J49" s="45" t="s">
        <v>4930</v>
      </c>
      <c r="K49" s="45" t="s">
        <v>4997</v>
      </c>
      <c r="L49" s="45" t="s">
        <v>1122</v>
      </c>
      <c r="M49" s="45"/>
      <c r="N49" s="45"/>
      <c r="O49" s="45" t="s">
        <v>1123</v>
      </c>
      <c r="P49" s="46" t="str">
        <f>HYPERLINK("https://cofre.sieg.com/ajax/danfe.aspx?nfe=24230108030363003873550060000164081513587246","Ver Danfe")</f>
        <v>Ver Danfe</v>
      </c>
      <c r="Q49" s="46" t="str">
        <f>HYPERLINK("https://cofre.sieg.com/ajax/xml.aspx?nfe=24230108030363003873550060000164081513587246","Baixar Xml")</f>
        <v>Baixar Xml</v>
      </c>
    </row>
    <row r="50" spans="1:17" x14ac:dyDescent="0.75">
      <c r="A50" s="5">
        <v>16409</v>
      </c>
      <c r="B50" s="55">
        <v>16.55</v>
      </c>
      <c r="C50" s="5" t="s">
        <v>4930</v>
      </c>
      <c r="D50" s="45" t="s">
        <v>1129</v>
      </c>
      <c r="E50" s="45" t="s">
        <v>1125</v>
      </c>
      <c r="F50" s="45" t="s">
        <v>1125</v>
      </c>
      <c r="G50" s="45" t="s">
        <v>1120</v>
      </c>
      <c r="H50" s="45" t="s">
        <v>1126</v>
      </c>
      <c r="I50" s="45" t="s">
        <v>1126</v>
      </c>
      <c r="J50" s="45" t="s">
        <v>4930</v>
      </c>
      <c r="K50" s="45" t="s">
        <v>4998</v>
      </c>
      <c r="L50" s="45" t="s">
        <v>1122</v>
      </c>
      <c r="M50" s="45"/>
      <c r="N50" s="45"/>
      <c r="O50" s="45" t="s">
        <v>1123</v>
      </c>
      <c r="P50" s="46" t="str">
        <f>HYPERLINK("https://cofre.sieg.com/ajax/danfe.aspx?nfe=24230108030363003873550060000164091934973336","Ver Danfe")</f>
        <v>Ver Danfe</v>
      </c>
      <c r="Q50" s="46" t="str">
        <f>HYPERLINK("https://cofre.sieg.com/ajax/xml.aspx?nfe=24230108030363003873550060000164091934973336","Baixar Xml")</f>
        <v>Baixar Xml</v>
      </c>
    </row>
    <row r="51" spans="1:17" x14ac:dyDescent="0.75">
      <c r="A51" s="5">
        <v>16478</v>
      </c>
      <c r="B51" s="55">
        <v>2.75</v>
      </c>
      <c r="C51" s="5" t="s">
        <v>4938</v>
      </c>
      <c r="D51" s="45" t="s">
        <v>1129</v>
      </c>
      <c r="E51" s="45" t="s">
        <v>1125</v>
      </c>
      <c r="F51" s="45" t="s">
        <v>1125</v>
      </c>
      <c r="G51" s="45" t="s">
        <v>1120</v>
      </c>
      <c r="H51" s="45" t="s">
        <v>1126</v>
      </c>
      <c r="I51" s="45" t="s">
        <v>1126</v>
      </c>
      <c r="J51" s="45" t="s">
        <v>4938</v>
      </c>
      <c r="K51" s="45" t="s">
        <v>4999</v>
      </c>
      <c r="L51" s="45" t="s">
        <v>1122</v>
      </c>
      <c r="M51" s="45" t="s">
        <v>1311</v>
      </c>
      <c r="N51" s="45" t="s">
        <v>1312</v>
      </c>
      <c r="O51" s="45" t="s">
        <v>1123</v>
      </c>
      <c r="P51" s="46" t="str">
        <f>HYPERLINK("https://cofre.sieg.com/ajax/danfe.aspx?nfe=24230108030363003873550060000164781586464807","Ver Danfe")</f>
        <v>Ver Danfe</v>
      </c>
      <c r="Q51" s="46" t="str">
        <f>HYPERLINK("https://cofre.sieg.com/ajax/xml.aspx?nfe=24230108030363003873550060000164781586464807","Baixar Xml")</f>
        <v>Baixar Xml</v>
      </c>
    </row>
    <row r="52" spans="1:17" x14ac:dyDescent="0.75">
      <c r="A52" s="5">
        <v>16479</v>
      </c>
      <c r="B52" s="55">
        <v>49.5</v>
      </c>
      <c r="C52" s="5" t="s">
        <v>4938</v>
      </c>
      <c r="D52" s="45" t="s">
        <v>1129</v>
      </c>
      <c r="E52" s="45" t="s">
        <v>1125</v>
      </c>
      <c r="F52" s="45" t="s">
        <v>1125</v>
      </c>
      <c r="G52" s="45" t="s">
        <v>1120</v>
      </c>
      <c r="H52" s="45" t="s">
        <v>1126</v>
      </c>
      <c r="I52" s="45" t="s">
        <v>1126</v>
      </c>
      <c r="J52" s="45" t="s">
        <v>4938</v>
      </c>
      <c r="K52" s="45" t="s">
        <v>5000</v>
      </c>
      <c r="L52" s="45" t="s">
        <v>1122</v>
      </c>
      <c r="M52" s="45" t="s">
        <v>1311</v>
      </c>
      <c r="N52" s="45" t="s">
        <v>1312</v>
      </c>
      <c r="O52" s="45" t="s">
        <v>1123</v>
      </c>
      <c r="P52" s="46" t="str">
        <f>HYPERLINK("https://cofre.sieg.com/ajax/danfe.aspx?nfe=24230108030363003873550060000164791667626162","Ver Danfe")</f>
        <v>Ver Danfe</v>
      </c>
      <c r="Q52" s="46" t="str">
        <f>HYPERLINK("https://cofre.sieg.com/ajax/xml.aspx?nfe=24230108030363003873550060000164791667626162","Baixar Xml")</f>
        <v>Baixar Xml</v>
      </c>
    </row>
    <row r="53" spans="1:17" x14ac:dyDescent="0.75">
      <c r="A53" s="5">
        <v>3320</v>
      </c>
      <c r="B53" s="55">
        <v>8139.4</v>
      </c>
      <c r="C53" s="5" t="s">
        <v>4938</v>
      </c>
      <c r="D53" s="45" t="s">
        <v>5001</v>
      </c>
      <c r="E53" s="45" t="s">
        <v>5002</v>
      </c>
      <c r="F53" s="45" t="s">
        <v>454</v>
      </c>
      <c r="G53" s="45" t="s">
        <v>1120</v>
      </c>
      <c r="H53" s="45" t="s">
        <v>1130</v>
      </c>
      <c r="I53" s="45" t="s">
        <v>1130</v>
      </c>
      <c r="J53" s="45" t="s">
        <v>4938</v>
      </c>
      <c r="K53" s="45" t="s">
        <v>5003</v>
      </c>
      <c r="L53" s="45" t="s">
        <v>1122</v>
      </c>
      <c r="M53" s="45" t="s">
        <v>1314</v>
      </c>
      <c r="N53" s="45" t="s">
        <v>1315</v>
      </c>
      <c r="O53" s="45" t="s">
        <v>1150</v>
      </c>
      <c r="P53" s="46" t="str">
        <f>HYPERLINK("https://cofre.sieg.com/ajax/danfe.aspx?nfe=24230126411858000132550010000033201670742971","Ver Danfe")</f>
        <v>Ver Danfe</v>
      </c>
      <c r="Q53" s="46" t="str">
        <f>HYPERLINK("https://cofre.sieg.com/ajax/xml.aspx?nfe=24230126411858000132550010000033201670742971","Baixar Xml")</f>
        <v>Baixar Xml</v>
      </c>
    </row>
    <row r="54" spans="1:17" x14ac:dyDescent="0.75">
      <c r="A54" s="5">
        <v>7262</v>
      </c>
      <c r="B54" s="55">
        <v>3101.9</v>
      </c>
      <c r="C54" s="5" t="s">
        <v>4826</v>
      </c>
      <c r="D54" s="45" t="s">
        <v>1131</v>
      </c>
      <c r="E54" s="45" t="s">
        <v>1132</v>
      </c>
      <c r="F54" s="45" t="s">
        <v>339</v>
      </c>
      <c r="G54" s="45" t="s">
        <v>1120</v>
      </c>
      <c r="H54" s="45" t="s">
        <v>1133</v>
      </c>
      <c r="I54" s="45" t="s">
        <v>1133</v>
      </c>
      <c r="J54" s="45" t="s">
        <v>4826</v>
      </c>
      <c r="K54" s="45" t="s">
        <v>5004</v>
      </c>
      <c r="L54" s="45" t="s">
        <v>1122</v>
      </c>
      <c r="M54" s="45" t="s">
        <v>1311</v>
      </c>
      <c r="N54" s="45" t="s">
        <v>1312</v>
      </c>
      <c r="O54" s="45" t="s">
        <v>1123</v>
      </c>
      <c r="P54" s="46" t="str">
        <f>HYPERLINK("https://cofre.sieg.com/ajax/danfe.aspx?nfe=24230126708943000167550010000072621232897490","Ver Danfe")</f>
        <v>Ver Danfe</v>
      </c>
      <c r="Q54" s="46" t="str">
        <f>HYPERLINK("https://cofre.sieg.com/ajax/xml.aspx?nfe=24230126708943000167550010000072621232897490","Baixar Xml")</f>
        <v>Baixar Xml</v>
      </c>
    </row>
    <row r="55" spans="1:17" x14ac:dyDescent="0.75">
      <c r="A55" s="5">
        <v>7287</v>
      </c>
      <c r="B55" s="55">
        <v>2795.18</v>
      </c>
      <c r="C55" s="5" t="s">
        <v>4857</v>
      </c>
      <c r="D55" s="45" t="s">
        <v>1131</v>
      </c>
      <c r="E55" s="45" t="s">
        <v>1132</v>
      </c>
      <c r="F55" s="45" t="s">
        <v>339</v>
      </c>
      <c r="G55" s="45" t="s">
        <v>1120</v>
      </c>
      <c r="H55" s="45" t="s">
        <v>1133</v>
      </c>
      <c r="I55" s="45" t="s">
        <v>1133</v>
      </c>
      <c r="J55" s="45" t="s">
        <v>4857</v>
      </c>
      <c r="K55" s="45" t="s">
        <v>5005</v>
      </c>
      <c r="L55" s="45" t="s">
        <v>1122</v>
      </c>
      <c r="M55" s="45" t="s">
        <v>1311</v>
      </c>
      <c r="N55" s="45" t="s">
        <v>1312</v>
      </c>
      <c r="O55" s="45" t="s">
        <v>1123</v>
      </c>
      <c r="P55" s="46" t="str">
        <f>HYPERLINK("https://cofre.sieg.com/ajax/danfe.aspx?nfe=24230126708943000167550010000072871064506115","Ver Danfe")</f>
        <v>Ver Danfe</v>
      </c>
      <c r="Q55" s="46" t="str">
        <f>HYPERLINK("https://cofre.sieg.com/ajax/xml.aspx?nfe=24230126708943000167550010000072871064506115","Baixar Xml")</f>
        <v>Baixar Xml</v>
      </c>
    </row>
    <row r="56" spans="1:17" x14ac:dyDescent="0.75">
      <c r="A56" s="5">
        <v>7319</v>
      </c>
      <c r="B56" s="55">
        <v>2636.73</v>
      </c>
      <c r="C56" s="5" t="s">
        <v>4883</v>
      </c>
      <c r="D56" s="45" t="s">
        <v>1131</v>
      </c>
      <c r="E56" s="45" t="s">
        <v>1132</v>
      </c>
      <c r="F56" s="45" t="s">
        <v>339</v>
      </c>
      <c r="G56" s="45" t="s">
        <v>1120</v>
      </c>
      <c r="H56" s="45" t="s">
        <v>1133</v>
      </c>
      <c r="I56" s="45" t="s">
        <v>1133</v>
      </c>
      <c r="J56" s="45" t="s">
        <v>4883</v>
      </c>
      <c r="K56" s="45" t="s">
        <v>5006</v>
      </c>
      <c r="L56" s="45" t="s">
        <v>1122</v>
      </c>
      <c r="M56" s="45"/>
      <c r="N56" s="45"/>
      <c r="O56" s="45" t="s">
        <v>1123</v>
      </c>
      <c r="P56" s="46" t="str">
        <f>HYPERLINK("https://cofre.sieg.com/ajax/danfe.aspx?nfe=24230126708943000167550010000073191591604887","Ver Danfe")</f>
        <v>Ver Danfe</v>
      </c>
      <c r="Q56" s="46" t="str">
        <f>HYPERLINK("https://cofre.sieg.com/ajax/xml.aspx?nfe=24230126708943000167550010000073191591604887","Baixar Xml")</f>
        <v>Baixar Xml</v>
      </c>
    </row>
    <row r="57" spans="1:17" x14ac:dyDescent="0.75">
      <c r="A57" s="5">
        <v>7345</v>
      </c>
      <c r="B57" s="55">
        <v>2808.51</v>
      </c>
      <c r="C57" s="5" t="s">
        <v>4907</v>
      </c>
      <c r="D57" s="45" t="s">
        <v>1131</v>
      </c>
      <c r="E57" s="45" t="s">
        <v>1132</v>
      </c>
      <c r="F57" s="45" t="s">
        <v>339</v>
      </c>
      <c r="G57" s="45" t="s">
        <v>1120</v>
      </c>
      <c r="H57" s="45" t="s">
        <v>1133</v>
      </c>
      <c r="I57" s="45" t="s">
        <v>1133</v>
      </c>
      <c r="J57" s="45" t="s">
        <v>4907</v>
      </c>
      <c r="K57" s="45" t="s">
        <v>5007</v>
      </c>
      <c r="L57" s="45" t="s">
        <v>1122</v>
      </c>
      <c r="M57" s="45" t="s">
        <v>1311</v>
      </c>
      <c r="N57" s="45" t="s">
        <v>1312</v>
      </c>
      <c r="O57" s="45" t="s">
        <v>1123</v>
      </c>
      <c r="P57" s="46" t="str">
        <f>HYPERLINK("https://cofre.sieg.com/ajax/danfe.aspx?nfe=24230126708943000167550010000073451981795997","Ver Danfe")</f>
        <v>Ver Danfe</v>
      </c>
      <c r="Q57" s="46" t="str">
        <f>HYPERLINK("https://cofre.sieg.com/ajax/xml.aspx?nfe=24230126708943000167550010000073451981795997","Baixar Xml")</f>
        <v>Baixar Xml</v>
      </c>
    </row>
    <row r="58" spans="1:17" x14ac:dyDescent="0.75">
      <c r="A58" s="5">
        <v>7366</v>
      </c>
      <c r="B58" s="55">
        <v>2631.75</v>
      </c>
      <c r="C58" s="5" t="s">
        <v>4937</v>
      </c>
      <c r="D58" s="45" t="s">
        <v>1131</v>
      </c>
      <c r="E58" s="45" t="s">
        <v>1132</v>
      </c>
      <c r="F58" s="45" t="s">
        <v>339</v>
      </c>
      <c r="G58" s="45" t="s">
        <v>1120</v>
      </c>
      <c r="H58" s="45" t="s">
        <v>1133</v>
      </c>
      <c r="I58" s="45" t="s">
        <v>1133</v>
      </c>
      <c r="J58" s="45" t="s">
        <v>4937</v>
      </c>
      <c r="K58" s="45" t="s">
        <v>5008</v>
      </c>
      <c r="L58" s="45" t="s">
        <v>1122</v>
      </c>
      <c r="M58" s="45" t="s">
        <v>1311</v>
      </c>
      <c r="N58" s="45" t="s">
        <v>1312</v>
      </c>
      <c r="O58" s="45" t="s">
        <v>1123</v>
      </c>
      <c r="P58" s="46" t="str">
        <f>HYPERLINK("https://cofre.sieg.com/ajax/danfe.aspx?nfe=24230126708943000167550010000073661316460853","Ver Danfe")</f>
        <v>Ver Danfe</v>
      </c>
      <c r="Q58" s="46" t="str">
        <f>HYPERLINK("https://cofre.sieg.com/ajax/xml.aspx?nfe=24230126708943000167550010000073661316460853","Baixar Xml")</f>
        <v>Baixar Xml</v>
      </c>
    </row>
    <row r="59" spans="1:17" x14ac:dyDescent="0.75">
      <c r="A59" s="5">
        <v>72777</v>
      </c>
      <c r="B59" s="55">
        <v>2620</v>
      </c>
      <c r="C59" s="5" t="s">
        <v>4857</v>
      </c>
      <c r="D59" s="45" t="s">
        <v>5009</v>
      </c>
      <c r="E59" s="45" t="s">
        <v>836</v>
      </c>
      <c r="F59" s="45" t="s">
        <v>5010</v>
      </c>
      <c r="G59" s="45" t="s">
        <v>1120</v>
      </c>
      <c r="H59" s="45" t="s">
        <v>1121</v>
      </c>
      <c r="I59" s="45" t="s">
        <v>1121</v>
      </c>
      <c r="J59" s="45" t="s">
        <v>4857</v>
      </c>
      <c r="K59" s="45" t="s">
        <v>5011</v>
      </c>
      <c r="L59" s="45" t="s">
        <v>1122</v>
      </c>
      <c r="M59" s="45"/>
      <c r="N59" s="45"/>
      <c r="O59" s="45" t="s">
        <v>1123</v>
      </c>
      <c r="P59" s="46" t="str">
        <f>HYPERLINK("https://cofre.sieg.com/ajax/danfe.aspx?nfe=26230100000802001769550010000727771794076808","Ver Danfe")</f>
        <v>Ver Danfe</v>
      </c>
      <c r="Q59" s="46" t="str">
        <f>HYPERLINK("https://cofre.sieg.com/ajax/xml.aspx?nfe=26230100000802001769550010000727771794076808","Baixar Xml")</f>
        <v>Baixar Xml</v>
      </c>
    </row>
    <row r="60" spans="1:17" x14ac:dyDescent="0.75">
      <c r="A60" s="5">
        <v>1580</v>
      </c>
      <c r="B60" s="55">
        <v>436</v>
      </c>
      <c r="C60" s="5" t="s">
        <v>4834</v>
      </c>
      <c r="D60" s="45" t="s">
        <v>1135</v>
      </c>
      <c r="E60" s="45" t="s">
        <v>1136</v>
      </c>
      <c r="F60" s="45" t="s">
        <v>1136</v>
      </c>
      <c r="G60" s="45" t="s">
        <v>1120</v>
      </c>
      <c r="H60" s="45" t="s">
        <v>1126</v>
      </c>
      <c r="I60" s="45" t="s">
        <v>1126</v>
      </c>
      <c r="J60" s="45" t="s">
        <v>4834</v>
      </c>
      <c r="K60" s="45" t="s">
        <v>5012</v>
      </c>
      <c r="L60" s="45" t="s">
        <v>1122</v>
      </c>
      <c r="M60" s="45" t="s">
        <v>1311</v>
      </c>
      <c r="N60" s="45" t="s">
        <v>1312</v>
      </c>
      <c r="O60" s="45" t="s">
        <v>1123</v>
      </c>
      <c r="P60" s="46" t="str">
        <f>HYPERLINK("https://cofre.sieg.com/ajax/danfe.aspx?nfe=26230100063960007294557000000015801142289440","Ver Danfe")</f>
        <v>Ver Danfe</v>
      </c>
      <c r="Q60" s="46" t="str">
        <f>HYPERLINK("https://cofre.sieg.com/ajax/xml.aspx?nfe=26230100063960007294557000000015801142289440","Baixar Xml")</f>
        <v>Baixar Xml</v>
      </c>
    </row>
    <row r="61" spans="1:17" x14ac:dyDescent="0.75">
      <c r="A61" s="5">
        <v>1605</v>
      </c>
      <c r="B61" s="55">
        <v>305.2</v>
      </c>
      <c r="C61" s="5" t="s">
        <v>4884</v>
      </c>
      <c r="D61" s="45" t="s">
        <v>1135</v>
      </c>
      <c r="E61" s="45" t="s">
        <v>1136</v>
      </c>
      <c r="F61" s="45" t="s">
        <v>1136</v>
      </c>
      <c r="G61" s="45" t="s">
        <v>1120</v>
      </c>
      <c r="H61" s="45" t="s">
        <v>1126</v>
      </c>
      <c r="I61" s="45" t="s">
        <v>1126</v>
      </c>
      <c r="J61" s="45" t="s">
        <v>4884</v>
      </c>
      <c r="K61" s="45" t="s">
        <v>5013</v>
      </c>
      <c r="L61" s="45" t="s">
        <v>1122</v>
      </c>
      <c r="M61" s="45"/>
      <c r="N61" s="45"/>
      <c r="O61" s="45" t="s">
        <v>1123</v>
      </c>
      <c r="P61" s="46" t="str">
        <f>HYPERLINK("https://cofre.sieg.com/ajax/danfe.aspx?nfe=26230100063960007294557000000016051974222001","Ver Danfe")</f>
        <v>Ver Danfe</v>
      </c>
      <c r="Q61" s="46" t="str">
        <f>HYPERLINK("https://cofre.sieg.com/ajax/xml.aspx?nfe=26230100063960007294557000000016051974222001","Baixar Xml")</f>
        <v>Baixar Xml</v>
      </c>
    </row>
    <row r="62" spans="1:17" x14ac:dyDescent="0.75">
      <c r="A62" s="5">
        <v>1615</v>
      </c>
      <c r="B62" s="55">
        <v>654</v>
      </c>
      <c r="C62" s="5" t="s">
        <v>4900</v>
      </c>
      <c r="D62" s="45" t="s">
        <v>1135</v>
      </c>
      <c r="E62" s="45" t="s">
        <v>1136</v>
      </c>
      <c r="F62" s="45" t="s">
        <v>1136</v>
      </c>
      <c r="G62" s="45" t="s">
        <v>1120</v>
      </c>
      <c r="H62" s="45" t="s">
        <v>1126</v>
      </c>
      <c r="I62" s="45" t="s">
        <v>1126</v>
      </c>
      <c r="J62" s="45" t="s">
        <v>4900</v>
      </c>
      <c r="K62" s="45" t="s">
        <v>5014</v>
      </c>
      <c r="L62" s="45" t="s">
        <v>1122</v>
      </c>
      <c r="M62" s="45" t="s">
        <v>1311</v>
      </c>
      <c r="N62" s="45" t="s">
        <v>1312</v>
      </c>
      <c r="O62" s="45" t="s">
        <v>1123</v>
      </c>
      <c r="P62" s="46" t="str">
        <f>HYPERLINK("https://cofre.sieg.com/ajax/danfe.aspx?nfe=26230100063960007294557000000016151540180925","Ver Danfe")</f>
        <v>Ver Danfe</v>
      </c>
      <c r="Q62" s="46" t="str">
        <f>HYPERLINK("https://cofre.sieg.com/ajax/xml.aspx?nfe=26230100063960007294557000000016151540180925","Baixar Xml")</f>
        <v>Baixar Xml</v>
      </c>
    </row>
    <row r="63" spans="1:17" x14ac:dyDescent="0.75">
      <c r="A63" s="5">
        <v>1620</v>
      </c>
      <c r="B63" s="55">
        <v>179</v>
      </c>
      <c r="C63" s="5" t="s">
        <v>4907</v>
      </c>
      <c r="D63" s="45" t="s">
        <v>1135</v>
      </c>
      <c r="E63" s="45" t="s">
        <v>1136</v>
      </c>
      <c r="F63" s="45" t="s">
        <v>1136</v>
      </c>
      <c r="G63" s="45" t="s">
        <v>1120</v>
      </c>
      <c r="H63" s="45" t="s">
        <v>1126</v>
      </c>
      <c r="I63" s="45" t="s">
        <v>1126</v>
      </c>
      <c r="J63" s="45" t="s">
        <v>4907</v>
      </c>
      <c r="K63" s="45" t="s">
        <v>5015</v>
      </c>
      <c r="L63" s="45" t="s">
        <v>1122</v>
      </c>
      <c r="M63" s="45"/>
      <c r="N63" s="45"/>
      <c r="O63" s="45" t="s">
        <v>1123</v>
      </c>
      <c r="P63" s="46" t="str">
        <f>HYPERLINK("https://cofre.sieg.com/ajax/danfe.aspx?nfe=26230100063960007294557000000016201965995644","Ver Danfe")</f>
        <v>Ver Danfe</v>
      </c>
      <c r="Q63" s="46" t="str">
        <f>HYPERLINK("https://cofre.sieg.com/ajax/xml.aspx?nfe=26230100063960007294557000000016201965995644","Baixar Xml")</f>
        <v>Baixar Xml</v>
      </c>
    </row>
    <row r="64" spans="1:17" x14ac:dyDescent="0.75">
      <c r="A64" s="5">
        <v>1621</v>
      </c>
      <c r="B64" s="55">
        <v>218</v>
      </c>
      <c r="C64" s="5" t="s">
        <v>4907</v>
      </c>
      <c r="D64" s="45" t="s">
        <v>1135</v>
      </c>
      <c r="E64" s="45" t="s">
        <v>1136</v>
      </c>
      <c r="F64" s="45" t="s">
        <v>1136</v>
      </c>
      <c r="G64" s="45" t="s">
        <v>1120</v>
      </c>
      <c r="H64" s="45" t="s">
        <v>1126</v>
      </c>
      <c r="I64" s="45" t="s">
        <v>1126</v>
      </c>
      <c r="J64" s="45" t="s">
        <v>4907</v>
      </c>
      <c r="K64" s="45" t="s">
        <v>5016</v>
      </c>
      <c r="L64" s="45" t="s">
        <v>1122</v>
      </c>
      <c r="M64" s="45"/>
      <c r="N64" s="45"/>
      <c r="O64" s="45" t="s">
        <v>1123</v>
      </c>
      <c r="P64" s="46" t="str">
        <f>HYPERLINK("https://cofre.sieg.com/ajax/danfe.aspx?nfe=26230100063960007294557000000016211524193616","Ver Danfe")</f>
        <v>Ver Danfe</v>
      </c>
      <c r="Q64" s="46" t="str">
        <f>HYPERLINK("https://cofre.sieg.com/ajax/xml.aspx?nfe=26230100063960007294557000000016211524193616","Baixar Xml")</f>
        <v>Baixar Xml</v>
      </c>
    </row>
    <row r="65" spans="1:17" x14ac:dyDescent="0.75">
      <c r="A65" s="5">
        <v>1637</v>
      </c>
      <c r="B65" s="55">
        <v>392.4</v>
      </c>
      <c r="C65" s="5" t="s">
        <v>4923</v>
      </c>
      <c r="D65" s="45" t="s">
        <v>1135</v>
      </c>
      <c r="E65" s="45" t="s">
        <v>1136</v>
      </c>
      <c r="F65" s="45" t="s">
        <v>1136</v>
      </c>
      <c r="G65" s="45" t="s">
        <v>1120</v>
      </c>
      <c r="H65" s="45" t="s">
        <v>1126</v>
      </c>
      <c r="I65" s="45" t="s">
        <v>1126</v>
      </c>
      <c r="J65" s="45" t="s">
        <v>4923</v>
      </c>
      <c r="K65" s="45" t="s">
        <v>5017</v>
      </c>
      <c r="L65" s="45" t="s">
        <v>1122</v>
      </c>
      <c r="M65" s="45"/>
      <c r="N65" s="45"/>
      <c r="O65" s="45" t="s">
        <v>1123</v>
      </c>
      <c r="P65" s="46" t="str">
        <f>HYPERLINK("https://cofre.sieg.com/ajax/danfe.aspx?nfe=26230100063960007294557000000016371806473136","Ver Danfe")</f>
        <v>Ver Danfe</v>
      </c>
      <c r="Q65" s="46" t="str">
        <f>HYPERLINK("https://cofre.sieg.com/ajax/xml.aspx?nfe=26230100063960007294557000000016371806473136","Baixar Xml")</f>
        <v>Baixar Xml</v>
      </c>
    </row>
    <row r="66" spans="1:17" x14ac:dyDescent="0.75">
      <c r="A66" s="5">
        <v>1638</v>
      </c>
      <c r="B66" s="55">
        <v>392.4</v>
      </c>
      <c r="C66" s="5" t="s">
        <v>4923</v>
      </c>
      <c r="D66" s="45" t="s">
        <v>1135</v>
      </c>
      <c r="E66" s="45" t="s">
        <v>1136</v>
      </c>
      <c r="F66" s="45" t="s">
        <v>1136</v>
      </c>
      <c r="G66" s="45" t="s">
        <v>1120</v>
      </c>
      <c r="H66" s="45" t="s">
        <v>1126</v>
      </c>
      <c r="I66" s="45" t="s">
        <v>1126</v>
      </c>
      <c r="J66" s="45" t="s">
        <v>4923</v>
      </c>
      <c r="K66" s="45" t="s">
        <v>5018</v>
      </c>
      <c r="L66" s="45" t="s">
        <v>1122</v>
      </c>
      <c r="M66" s="45"/>
      <c r="N66" s="45"/>
      <c r="O66" s="45" t="s">
        <v>1123</v>
      </c>
      <c r="P66" s="46" t="str">
        <f>HYPERLINK("https://cofre.sieg.com/ajax/danfe.aspx?nfe=26230100063960007294557000000016381819313695","Ver Danfe")</f>
        <v>Ver Danfe</v>
      </c>
      <c r="Q66" s="46" t="str">
        <f>HYPERLINK("https://cofre.sieg.com/ajax/xml.aspx?nfe=26230100063960007294557000000016381819313695","Baixar Xml")</f>
        <v>Baixar Xml</v>
      </c>
    </row>
    <row r="67" spans="1:17" x14ac:dyDescent="0.75">
      <c r="A67" s="5">
        <v>1644</v>
      </c>
      <c r="B67" s="55">
        <v>363.5</v>
      </c>
      <c r="C67" s="5" t="s">
        <v>4938</v>
      </c>
      <c r="D67" s="45" t="s">
        <v>1135</v>
      </c>
      <c r="E67" s="45" t="s">
        <v>1136</v>
      </c>
      <c r="F67" s="45" t="s">
        <v>1136</v>
      </c>
      <c r="G67" s="45" t="s">
        <v>1120</v>
      </c>
      <c r="H67" s="45" t="s">
        <v>1126</v>
      </c>
      <c r="I67" s="45" t="s">
        <v>1126</v>
      </c>
      <c r="J67" s="45" t="s">
        <v>4938</v>
      </c>
      <c r="K67" s="45" t="s">
        <v>5019</v>
      </c>
      <c r="L67" s="45" t="s">
        <v>1122</v>
      </c>
      <c r="M67" s="45" t="s">
        <v>1148</v>
      </c>
      <c r="N67" s="45" t="s">
        <v>1149</v>
      </c>
      <c r="O67" s="45" t="s">
        <v>1150</v>
      </c>
      <c r="P67" s="46" t="str">
        <f>HYPERLINK("https://cofre.sieg.com/ajax/danfe.aspx?nfe=26230100063960007294557000000016441989176904","Ver Danfe")</f>
        <v>Ver Danfe</v>
      </c>
      <c r="Q67" s="46" t="str">
        <f>HYPERLINK("https://cofre.sieg.com/ajax/xml.aspx?nfe=26230100063960007294557000000016441989176904","Baixar Xml")</f>
        <v>Baixar Xml</v>
      </c>
    </row>
    <row r="68" spans="1:17" x14ac:dyDescent="0.75">
      <c r="A68" s="5">
        <v>1645</v>
      </c>
      <c r="B68" s="55">
        <v>327</v>
      </c>
      <c r="C68" s="5" t="s">
        <v>4938</v>
      </c>
      <c r="D68" s="45" t="s">
        <v>1135</v>
      </c>
      <c r="E68" s="45" t="s">
        <v>1136</v>
      </c>
      <c r="F68" s="45" t="s">
        <v>1136</v>
      </c>
      <c r="G68" s="45" t="s">
        <v>1120</v>
      </c>
      <c r="H68" s="45" t="s">
        <v>1126</v>
      </c>
      <c r="I68" s="45" t="s">
        <v>1126</v>
      </c>
      <c r="J68" s="45" t="s">
        <v>4938</v>
      </c>
      <c r="K68" s="45" t="s">
        <v>5020</v>
      </c>
      <c r="L68" s="45" t="s">
        <v>1122</v>
      </c>
      <c r="M68" s="45"/>
      <c r="N68" s="45"/>
      <c r="O68" s="45" t="s">
        <v>1123</v>
      </c>
      <c r="P68" s="46" t="str">
        <f>HYPERLINK("https://cofre.sieg.com/ajax/danfe.aspx?nfe=26230100063960007294557000000016451805843454","Ver Danfe")</f>
        <v>Ver Danfe</v>
      </c>
      <c r="Q68" s="46" t="str">
        <f>HYPERLINK("https://cofre.sieg.com/ajax/xml.aspx?nfe=26230100063960007294557000000016451805843454","Baixar Xml")</f>
        <v>Baixar Xml</v>
      </c>
    </row>
    <row r="69" spans="1:17" x14ac:dyDescent="0.75">
      <c r="A69" s="5">
        <v>1648</v>
      </c>
      <c r="B69" s="55">
        <v>870</v>
      </c>
      <c r="C69" s="5" t="s">
        <v>4938</v>
      </c>
      <c r="D69" s="45" t="s">
        <v>1135</v>
      </c>
      <c r="E69" s="45" t="s">
        <v>1136</v>
      </c>
      <c r="F69" s="45" t="s">
        <v>1136</v>
      </c>
      <c r="G69" s="45" t="s">
        <v>1120</v>
      </c>
      <c r="H69" s="45" t="s">
        <v>1126</v>
      </c>
      <c r="I69" s="45" t="s">
        <v>1126</v>
      </c>
      <c r="J69" s="45" t="s">
        <v>4938</v>
      </c>
      <c r="K69" s="45" t="s">
        <v>5021</v>
      </c>
      <c r="L69" s="45" t="s">
        <v>1122</v>
      </c>
      <c r="M69" s="45" t="s">
        <v>1311</v>
      </c>
      <c r="N69" s="45" t="s">
        <v>1312</v>
      </c>
      <c r="O69" s="45" t="s">
        <v>1123</v>
      </c>
      <c r="P69" s="46" t="str">
        <f>HYPERLINK("https://cofre.sieg.com/ajax/danfe.aspx?nfe=26230100063960007294557000000016481288081531","Ver Danfe")</f>
        <v>Ver Danfe</v>
      </c>
      <c r="Q69" s="46" t="str">
        <f>HYPERLINK("https://cofre.sieg.com/ajax/xml.aspx?nfe=26230100063960007294557000000016481288081531","Baixar Xml")</f>
        <v>Baixar Xml</v>
      </c>
    </row>
    <row r="70" spans="1:17" x14ac:dyDescent="0.75">
      <c r="A70" s="5">
        <v>1649</v>
      </c>
      <c r="B70" s="55">
        <v>276.5</v>
      </c>
      <c r="C70" s="5" t="s">
        <v>4938</v>
      </c>
      <c r="D70" s="45" t="s">
        <v>1135</v>
      </c>
      <c r="E70" s="45" t="s">
        <v>1136</v>
      </c>
      <c r="F70" s="45" t="s">
        <v>1136</v>
      </c>
      <c r="G70" s="45" t="s">
        <v>1120</v>
      </c>
      <c r="H70" s="45" t="s">
        <v>1126</v>
      </c>
      <c r="I70" s="45" t="s">
        <v>1126</v>
      </c>
      <c r="J70" s="45" t="s">
        <v>4938</v>
      </c>
      <c r="K70" s="45" t="s">
        <v>5022</v>
      </c>
      <c r="L70" s="45" t="s">
        <v>1122</v>
      </c>
      <c r="M70" s="45" t="s">
        <v>1311</v>
      </c>
      <c r="N70" s="45" t="s">
        <v>1312</v>
      </c>
      <c r="O70" s="45" t="s">
        <v>1123</v>
      </c>
      <c r="P70" s="46" t="str">
        <f>HYPERLINK("https://cofre.sieg.com/ajax/danfe.aspx?nfe=26230100063960007294557000000016491743912970","Ver Danfe")</f>
        <v>Ver Danfe</v>
      </c>
      <c r="Q70" s="46" t="str">
        <f>HYPERLINK("https://cofre.sieg.com/ajax/xml.aspx?nfe=26230100063960007294557000000016491743912970","Baixar Xml")</f>
        <v>Baixar Xml</v>
      </c>
    </row>
    <row r="71" spans="1:17" x14ac:dyDescent="0.75">
      <c r="A71" s="5">
        <v>360402</v>
      </c>
      <c r="B71" s="55">
        <v>1222.97</v>
      </c>
      <c r="C71" s="5" t="s">
        <v>4907</v>
      </c>
      <c r="D71" s="45" t="s">
        <v>5023</v>
      </c>
      <c r="E71" s="45" t="s">
        <v>5024</v>
      </c>
      <c r="F71" s="45" t="s">
        <v>1061</v>
      </c>
      <c r="G71" s="45" t="s">
        <v>1120</v>
      </c>
      <c r="H71" s="45" t="s">
        <v>1130</v>
      </c>
      <c r="I71" s="45" t="s">
        <v>1130</v>
      </c>
      <c r="J71" s="45" t="s">
        <v>4907</v>
      </c>
      <c r="K71" s="45" t="s">
        <v>5025</v>
      </c>
      <c r="L71" s="45" t="s">
        <v>1122</v>
      </c>
      <c r="M71" s="45"/>
      <c r="N71" s="45"/>
      <c r="O71" s="45" t="s">
        <v>1123</v>
      </c>
      <c r="P71" s="46" t="str">
        <f>HYPERLINK("https://cofre.sieg.com/ajax/danfe.aspx?nfe=26230100279531000599550020003604021851802813","Ver Danfe")</f>
        <v>Ver Danfe</v>
      </c>
      <c r="Q71" s="46" t="str">
        <f>HYPERLINK("https://cofre.sieg.com/ajax/xml.aspx?nfe=26230100279531000599550020003604021851802813","Baixar Xml")</f>
        <v>Baixar Xml</v>
      </c>
    </row>
    <row r="72" spans="1:17" x14ac:dyDescent="0.75">
      <c r="A72" s="5">
        <v>2055</v>
      </c>
      <c r="B72" s="55">
        <v>995</v>
      </c>
      <c r="C72" s="5" t="s">
        <v>4866</v>
      </c>
      <c r="D72" s="45" t="s">
        <v>5026</v>
      </c>
      <c r="E72" s="45" t="s">
        <v>431</v>
      </c>
      <c r="F72" s="45" t="s">
        <v>431</v>
      </c>
      <c r="G72" s="45" t="s">
        <v>1120</v>
      </c>
      <c r="H72" s="45" t="s">
        <v>5027</v>
      </c>
      <c r="I72" s="45" t="s">
        <v>5027</v>
      </c>
      <c r="J72" s="45" t="s">
        <v>4866</v>
      </c>
      <c r="K72" s="45" t="s">
        <v>5028</v>
      </c>
      <c r="L72" s="45" t="s">
        <v>1122</v>
      </c>
      <c r="M72" s="45" t="s">
        <v>1311</v>
      </c>
      <c r="N72" s="45" t="s">
        <v>1312</v>
      </c>
      <c r="O72" s="45" t="s">
        <v>1123</v>
      </c>
      <c r="P72" s="46" t="str">
        <f>HYPERLINK("https://cofre.sieg.com/ajax/danfe.aspx?nfe=26230102130343000104550010000020551480530994","Ver Danfe")</f>
        <v>Ver Danfe</v>
      </c>
      <c r="Q72" s="46" t="str">
        <f>HYPERLINK("https://cofre.sieg.com/ajax/xml.aspx?nfe=26230102130343000104550010000020551480530994","Baixar Xml")</f>
        <v>Baixar Xml</v>
      </c>
    </row>
    <row r="73" spans="1:17" x14ac:dyDescent="0.75">
      <c r="A73" s="5">
        <v>317</v>
      </c>
      <c r="B73" s="55">
        <v>3859.7</v>
      </c>
      <c r="C73" s="5" t="s">
        <v>4857</v>
      </c>
      <c r="D73" s="45" t="s">
        <v>1137</v>
      </c>
      <c r="E73" s="45" t="s">
        <v>1138</v>
      </c>
      <c r="F73" s="45" t="s">
        <v>1313</v>
      </c>
      <c r="G73" s="45" t="s">
        <v>1120</v>
      </c>
      <c r="H73" s="45" t="s">
        <v>1130</v>
      </c>
      <c r="I73" s="45" t="s">
        <v>1130</v>
      </c>
      <c r="J73" s="45" t="s">
        <v>4857</v>
      </c>
      <c r="K73" s="45" t="s">
        <v>5029</v>
      </c>
      <c r="L73" s="45" t="s">
        <v>1122</v>
      </c>
      <c r="M73" s="45" t="s">
        <v>1311</v>
      </c>
      <c r="N73" s="45" t="s">
        <v>1312</v>
      </c>
      <c r="O73" s="45" t="s">
        <v>1123</v>
      </c>
      <c r="P73" s="46" t="str">
        <f>HYPERLINK("https://cofre.sieg.com/ajax/danfe.aspx?nfe=26230102296877000105550010000003171050085501","Ver Danfe")</f>
        <v>Ver Danfe</v>
      </c>
      <c r="Q73" s="46" t="str">
        <f>HYPERLINK("https://cofre.sieg.com/ajax/xml.aspx?nfe=26230102296877000105550010000003171050085501","Baixar Xml")</f>
        <v>Baixar Xml</v>
      </c>
    </row>
    <row r="74" spans="1:17" x14ac:dyDescent="0.75">
      <c r="A74" s="5">
        <v>318</v>
      </c>
      <c r="B74" s="55">
        <v>835.7</v>
      </c>
      <c r="C74" s="5" t="s">
        <v>4857</v>
      </c>
      <c r="D74" s="45" t="s">
        <v>1137</v>
      </c>
      <c r="E74" s="45" t="s">
        <v>1138</v>
      </c>
      <c r="F74" s="45" t="s">
        <v>1313</v>
      </c>
      <c r="G74" s="45" t="s">
        <v>1120</v>
      </c>
      <c r="H74" s="45" t="s">
        <v>1130</v>
      </c>
      <c r="I74" s="45" t="s">
        <v>1130</v>
      </c>
      <c r="J74" s="45" t="s">
        <v>4857</v>
      </c>
      <c r="K74" s="45" t="s">
        <v>5030</v>
      </c>
      <c r="L74" s="45" t="s">
        <v>1122</v>
      </c>
      <c r="M74" s="45" t="s">
        <v>1311</v>
      </c>
      <c r="N74" s="45" t="s">
        <v>1312</v>
      </c>
      <c r="O74" s="45" t="s">
        <v>1123</v>
      </c>
      <c r="P74" s="46" t="str">
        <f>HYPERLINK("https://cofre.sieg.com/ajax/danfe.aspx?nfe=26230102296877000105550010000003181316027700","Ver Danfe")</f>
        <v>Ver Danfe</v>
      </c>
      <c r="Q74" s="46" t="str">
        <f>HYPERLINK("https://cofre.sieg.com/ajax/xml.aspx?nfe=26230102296877000105550010000003181316027700","Baixar Xml")</f>
        <v>Baixar Xml</v>
      </c>
    </row>
    <row r="75" spans="1:17" x14ac:dyDescent="0.75">
      <c r="A75" s="5">
        <v>323</v>
      </c>
      <c r="B75" s="55">
        <v>4003.2</v>
      </c>
      <c r="C75" s="5" t="s">
        <v>4883</v>
      </c>
      <c r="D75" s="45" t="s">
        <v>1137</v>
      </c>
      <c r="E75" s="45" t="s">
        <v>1138</v>
      </c>
      <c r="F75" s="45" t="s">
        <v>1313</v>
      </c>
      <c r="G75" s="45" t="s">
        <v>1120</v>
      </c>
      <c r="H75" s="45" t="s">
        <v>1130</v>
      </c>
      <c r="I75" s="45" t="s">
        <v>1130</v>
      </c>
      <c r="J75" s="45" t="s">
        <v>4883</v>
      </c>
      <c r="K75" s="45" t="s">
        <v>5031</v>
      </c>
      <c r="L75" s="45" t="s">
        <v>1122</v>
      </c>
      <c r="M75" s="45"/>
      <c r="N75" s="45"/>
      <c r="O75" s="45" t="s">
        <v>1123</v>
      </c>
      <c r="P75" s="46" t="str">
        <f>HYPERLINK("https://cofre.sieg.com/ajax/danfe.aspx?nfe=26230102296877000105550010000003231800400022","Ver Danfe")</f>
        <v>Ver Danfe</v>
      </c>
      <c r="Q75" s="46" t="str">
        <f>HYPERLINK("https://cofre.sieg.com/ajax/xml.aspx?nfe=26230102296877000105550010000003231800400022","Baixar Xml")</f>
        <v>Baixar Xml</v>
      </c>
    </row>
    <row r="76" spans="1:17" x14ac:dyDescent="0.75">
      <c r="A76" s="5">
        <v>326</v>
      </c>
      <c r="B76" s="55">
        <v>5033.3999999999996</v>
      </c>
      <c r="C76" s="5" t="s">
        <v>4908</v>
      </c>
      <c r="D76" s="45" t="s">
        <v>1137</v>
      </c>
      <c r="E76" s="45" t="s">
        <v>1138</v>
      </c>
      <c r="F76" s="45" t="s">
        <v>1313</v>
      </c>
      <c r="G76" s="45" t="s">
        <v>1120</v>
      </c>
      <c r="H76" s="45" t="s">
        <v>1130</v>
      </c>
      <c r="I76" s="45" t="s">
        <v>1130</v>
      </c>
      <c r="J76" s="45" t="s">
        <v>4908</v>
      </c>
      <c r="K76" s="45" t="s">
        <v>5032</v>
      </c>
      <c r="L76" s="45" t="s">
        <v>1122</v>
      </c>
      <c r="M76" s="45" t="s">
        <v>1311</v>
      </c>
      <c r="N76" s="45" t="s">
        <v>1312</v>
      </c>
      <c r="O76" s="45" t="s">
        <v>1123</v>
      </c>
      <c r="P76" s="46" t="str">
        <f>HYPERLINK("https://cofre.sieg.com/ajax/danfe.aspx?nfe=26230102296877000105550010000003261809001777","Ver Danfe")</f>
        <v>Ver Danfe</v>
      </c>
      <c r="Q76" s="46" t="str">
        <f>HYPERLINK("https://cofre.sieg.com/ajax/xml.aspx?nfe=26230102296877000105550010000003261809001777","Baixar Xml")</f>
        <v>Baixar Xml</v>
      </c>
    </row>
    <row r="77" spans="1:17" x14ac:dyDescent="0.75">
      <c r="A77" s="5">
        <v>329</v>
      </c>
      <c r="B77" s="55">
        <v>4566.6000000000004</v>
      </c>
      <c r="C77" s="5" t="s">
        <v>4938</v>
      </c>
      <c r="D77" s="45" t="s">
        <v>1137</v>
      </c>
      <c r="E77" s="45" t="s">
        <v>1138</v>
      </c>
      <c r="F77" s="45" t="s">
        <v>1313</v>
      </c>
      <c r="G77" s="45" t="s">
        <v>1120</v>
      </c>
      <c r="H77" s="45" t="s">
        <v>1130</v>
      </c>
      <c r="I77" s="45" t="s">
        <v>1130</v>
      </c>
      <c r="J77" s="45" t="s">
        <v>4938</v>
      </c>
      <c r="K77" s="45" t="s">
        <v>5033</v>
      </c>
      <c r="L77" s="45" t="s">
        <v>1122</v>
      </c>
      <c r="M77" s="45" t="s">
        <v>1311</v>
      </c>
      <c r="N77" s="45" t="s">
        <v>1312</v>
      </c>
      <c r="O77" s="45" t="s">
        <v>1123</v>
      </c>
      <c r="P77" s="46" t="str">
        <f>HYPERLINK("https://cofre.sieg.com/ajax/danfe.aspx?nfe=26230102296877000105550010000003291004678067","Ver Danfe")</f>
        <v>Ver Danfe</v>
      </c>
      <c r="Q77" s="46" t="str">
        <f>HYPERLINK("https://cofre.sieg.com/ajax/xml.aspx?nfe=26230102296877000105550010000003291004678067","Baixar Xml")</f>
        <v>Baixar Xml</v>
      </c>
    </row>
    <row r="78" spans="1:17" x14ac:dyDescent="0.75">
      <c r="A78" s="5">
        <v>30430</v>
      </c>
      <c r="B78" s="55">
        <v>2117</v>
      </c>
      <c r="C78" s="5" t="s">
        <v>4825</v>
      </c>
      <c r="D78" s="45" t="s">
        <v>1139</v>
      </c>
      <c r="E78" s="45" t="s">
        <v>1140</v>
      </c>
      <c r="F78" s="45" t="s">
        <v>282</v>
      </c>
      <c r="G78" s="45" t="s">
        <v>1120</v>
      </c>
      <c r="H78" s="45" t="s">
        <v>1130</v>
      </c>
      <c r="I78" s="45" t="s">
        <v>1130</v>
      </c>
      <c r="J78" s="45" t="s">
        <v>4825</v>
      </c>
      <c r="K78" s="45" t="s">
        <v>5034</v>
      </c>
      <c r="L78" s="45" t="s">
        <v>1122</v>
      </c>
      <c r="M78" s="45" t="s">
        <v>1311</v>
      </c>
      <c r="N78" s="45" t="s">
        <v>1312</v>
      </c>
      <c r="O78" s="45" t="s">
        <v>1123</v>
      </c>
      <c r="P78" s="46" t="str">
        <f>HYPERLINK("https://cofre.sieg.com/ajax/danfe.aspx?nfe=26230103008270000137550010000304301340000006","Ver Danfe")</f>
        <v>Ver Danfe</v>
      </c>
      <c r="Q78" s="46" t="str">
        <f>HYPERLINK("https://cofre.sieg.com/ajax/xml.aspx?nfe=26230103008270000137550010000304301340000006","Baixar Xml")</f>
        <v>Baixar Xml</v>
      </c>
    </row>
    <row r="79" spans="1:17" x14ac:dyDescent="0.75">
      <c r="A79" s="5">
        <v>30453</v>
      </c>
      <c r="B79" s="55">
        <v>648</v>
      </c>
      <c r="C79" s="5" t="s">
        <v>4826</v>
      </c>
      <c r="D79" s="45" t="s">
        <v>1139</v>
      </c>
      <c r="E79" s="45" t="s">
        <v>1140</v>
      </c>
      <c r="F79" s="45" t="s">
        <v>282</v>
      </c>
      <c r="G79" s="45" t="s">
        <v>1120</v>
      </c>
      <c r="H79" s="45" t="s">
        <v>1130</v>
      </c>
      <c r="I79" s="45" t="s">
        <v>1130</v>
      </c>
      <c r="J79" s="45" t="s">
        <v>4826</v>
      </c>
      <c r="K79" s="45" t="s">
        <v>5035</v>
      </c>
      <c r="L79" s="45" t="s">
        <v>1122</v>
      </c>
      <c r="M79" s="45" t="s">
        <v>1311</v>
      </c>
      <c r="N79" s="45" t="s">
        <v>1312</v>
      </c>
      <c r="O79" s="45" t="s">
        <v>1123</v>
      </c>
      <c r="P79" s="46" t="str">
        <f>HYPERLINK("https://cofre.sieg.com/ajax/danfe.aspx?nfe=26230103008270000137550010000304531340000000","Ver Danfe")</f>
        <v>Ver Danfe</v>
      </c>
      <c r="Q79" s="46" t="str">
        <f>HYPERLINK("https://cofre.sieg.com/ajax/xml.aspx?nfe=26230103008270000137550010000304531340000000","Baixar Xml")</f>
        <v>Baixar Xml</v>
      </c>
    </row>
    <row r="80" spans="1:17" x14ac:dyDescent="0.75">
      <c r="A80" s="5">
        <v>30476</v>
      </c>
      <c r="B80" s="55">
        <v>1386.4</v>
      </c>
      <c r="C80" s="5" t="s">
        <v>4834</v>
      </c>
      <c r="D80" s="45" t="s">
        <v>1139</v>
      </c>
      <c r="E80" s="45" t="s">
        <v>1140</v>
      </c>
      <c r="F80" s="45" t="s">
        <v>282</v>
      </c>
      <c r="G80" s="45" t="s">
        <v>1120</v>
      </c>
      <c r="H80" s="45" t="s">
        <v>1130</v>
      </c>
      <c r="I80" s="45" t="s">
        <v>1130</v>
      </c>
      <c r="J80" s="45" t="s">
        <v>4834</v>
      </c>
      <c r="K80" s="45" t="s">
        <v>5036</v>
      </c>
      <c r="L80" s="45" t="s">
        <v>1122</v>
      </c>
      <c r="M80" s="45" t="s">
        <v>1311</v>
      </c>
      <c r="N80" s="45" t="s">
        <v>1312</v>
      </c>
      <c r="O80" s="45" t="s">
        <v>1123</v>
      </c>
      <c r="P80" s="46" t="str">
        <f>HYPERLINK("https://cofre.sieg.com/ajax/danfe.aspx?nfe=26230103008270000137550010000304761340000005","Ver Danfe")</f>
        <v>Ver Danfe</v>
      </c>
      <c r="Q80" s="46" t="str">
        <f>HYPERLINK("https://cofre.sieg.com/ajax/xml.aspx?nfe=26230103008270000137550010000304761340000005","Baixar Xml")</f>
        <v>Baixar Xml</v>
      </c>
    </row>
    <row r="81" spans="1:17" x14ac:dyDescent="0.75">
      <c r="A81" s="5">
        <v>30494</v>
      </c>
      <c r="B81" s="55">
        <v>1210</v>
      </c>
      <c r="C81" s="5" t="s">
        <v>4839</v>
      </c>
      <c r="D81" s="45" t="s">
        <v>1139</v>
      </c>
      <c r="E81" s="45" t="s">
        <v>1140</v>
      </c>
      <c r="F81" s="45" t="s">
        <v>282</v>
      </c>
      <c r="G81" s="45" t="s">
        <v>1120</v>
      </c>
      <c r="H81" s="45" t="s">
        <v>1130</v>
      </c>
      <c r="I81" s="45" t="s">
        <v>1130</v>
      </c>
      <c r="J81" s="45" t="s">
        <v>4839</v>
      </c>
      <c r="K81" s="45" t="s">
        <v>5037</v>
      </c>
      <c r="L81" s="45" t="s">
        <v>1122</v>
      </c>
      <c r="M81" s="45" t="s">
        <v>1311</v>
      </c>
      <c r="N81" s="45" t="s">
        <v>1312</v>
      </c>
      <c r="O81" s="45" t="s">
        <v>1123</v>
      </c>
      <c r="P81" s="46" t="str">
        <f>HYPERLINK("https://cofre.sieg.com/ajax/danfe.aspx?nfe=26230103008270000137550010000304941340000003","Ver Danfe")</f>
        <v>Ver Danfe</v>
      </c>
      <c r="Q81" s="46" t="str">
        <f>HYPERLINK("https://cofre.sieg.com/ajax/xml.aspx?nfe=26230103008270000137550010000304941340000003","Baixar Xml")</f>
        <v>Baixar Xml</v>
      </c>
    </row>
    <row r="82" spans="1:17" x14ac:dyDescent="0.75">
      <c r="A82" s="5">
        <v>30521</v>
      </c>
      <c r="B82" s="55">
        <v>649</v>
      </c>
      <c r="C82" s="5" t="s">
        <v>4844</v>
      </c>
      <c r="D82" s="45" t="s">
        <v>1139</v>
      </c>
      <c r="E82" s="45" t="s">
        <v>1140</v>
      </c>
      <c r="F82" s="45" t="s">
        <v>282</v>
      </c>
      <c r="G82" s="45" t="s">
        <v>1120</v>
      </c>
      <c r="H82" s="45" t="s">
        <v>1130</v>
      </c>
      <c r="I82" s="45" t="s">
        <v>1130</v>
      </c>
      <c r="J82" s="45" t="s">
        <v>4844</v>
      </c>
      <c r="K82" s="45" t="s">
        <v>5038</v>
      </c>
      <c r="L82" s="45" t="s">
        <v>1122</v>
      </c>
      <c r="M82" s="45" t="s">
        <v>1311</v>
      </c>
      <c r="N82" s="45" t="s">
        <v>1312</v>
      </c>
      <c r="O82" s="45" t="s">
        <v>1123</v>
      </c>
      <c r="P82" s="46" t="str">
        <f>HYPERLINK("https://cofre.sieg.com/ajax/danfe.aspx?nfe=26230103008270000137550010000305211340000002","Ver Danfe")</f>
        <v>Ver Danfe</v>
      </c>
      <c r="Q82" s="46" t="str">
        <f>HYPERLINK("https://cofre.sieg.com/ajax/xml.aspx?nfe=26230103008270000137550010000305211340000002","Baixar Xml")</f>
        <v>Baixar Xml</v>
      </c>
    </row>
    <row r="83" spans="1:17" x14ac:dyDescent="0.75">
      <c r="A83" s="5">
        <v>30537</v>
      </c>
      <c r="B83" s="55">
        <v>600</v>
      </c>
      <c r="C83" s="5" t="s">
        <v>4846</v>
      </c>
      <c r="D83" s="45" t="s">
        <v>1139</v>
      </c>
      <c r="E83" s="45" t="s">
        <v>1140</v>
      </c>
      <c r="F83" s="45" t="s">
        <v>282</v>
      </c>
      <c r="G83" s="45" t="s">
        <v>1120</v>
      </c>
      <c r="H83" s="45" t="s">
        <v>1130</v>
      </c>
      <c r="I83" s="45" t="s">
        <v>1130</v>
      </c>
      <c r="J83" s="45" t="s">
        <v>4846</v>
      </c>
      <c r="K83" s="45" t="s">
        <v>5039</v>
      </c>
      <c r="L83" s="45" t="s">
        <v>1122</v>
      </c>
      <c r="M83" s="45" t="s">
        <v>1311</v>
      </c>
      <c r="N83" s="45" t="s">
        <v>1312</v>
      </c>
      <c r="O83" s="45" t="s">
        <v>1123</v>
      </c>
      <c r="P83" s="46" t="str">
        <f>HYPERLINK("https://cofre.sieg.com/ajax/danfe.aspx?nfe=26230103008270000137550010000305371340000002","Ver Danfe")</f>
        <v>Ver Danfe</v>
      </c>
      <c r="Q83" s="46" t="str">
        <f>HYPERLINK("https://cofre.sieg.com/ajax/xml.aspx?nfe=26230103008270000137550010000305371340000002","Baixar Xml")</f>
        <v>Baixar Xml</v>
      </c>
    </row>
    <row r="84" spans="1:17" x14ac:dyDescent="0.75">
      <c r="A84" s="5">
        <v>30563</v>
      </c>
      <c r="B84" s="55">
        <v>1028.2</v>
      </c>
      <c r="C84" s="5" t="s">
        <v>4857</v>
      </c>
      <c r="D84" s="45" t="s">
        <v>1139</v>
      </c>
      <c r="E84" s="45" t="s">
        <v>1140</v>
      </c>
      <c r="F84" s="45" t="s">
        <v>282</v>
      </c>
      <c r="G84" s="45" t="s">
        <v>1120</v>
      </c>
      <c r="H84" s="45" t="s">
        <v>1130</v>
      </c>
      <c r="I84" s="45" t="s">
        <v>1130</v>
      </c>
      <c r="J84" s="45" t="s">
        <v>4857</v>
      </c>
      <c r="K84" s="45" t="s">
        <v>5040</v>
      </c>
      <c r="L84" s="45" t="s">
        <v>1122</v>
      </c>
      <c r="M84" s="45"/>
      <c r="N84" s="45"/>
      <c r="O84" s="45" t="s">
        <v>1123</v>
      </c>
      <c r="P84" s="46" t="str">
        <f>HYPERLINK("https://cofre.sieg.com/ajax/danfe.aspx?nfe=26230103008270000137550010000305631340000002","Ver Danfe")</f>
        <v>Ver Danfe</v>
      </c>
      <c r="Q84" s="46" t="str">
        <f>HYPERLINK("https://cofre.sieg.com/ajax/xml.aspx?nfe=26230103008270000137550010000305631340000002","Baixar Xml")</f>
        <v>Baixar Xml</v>
      </c>
    </row>
    <row r="85" spans="1:17" x14ac:dyDescent="0.75">
      <c r="A85" s="5">
        <v>30581</v>
      </c>
      <c r="B85" s="55">
        <v>1354</v>
      </c>
      <c r="C85" s="5" t="s">
        <v>4861</v>
      </c>
      <c r="D85" s="45" t="s">
        <v>1139</v>
      </c>
      <c r="E85" s="45" t="s">
        <v>1140</v>
      </c>
      <c r="F85" s="45" t="s">
        <v>282</v>
      </c>
      <c r="G85" s="45" t="s">
        <v>1120</v>
      </c>
      <c r="H85" s="45" t="s">
        <v>1130</v>
      </c>
      <c r="I85" s="45" t="s">
        <v>1130</v>
      </c>
      <c r="J85" s="45" t="s">
        <v>4861</v>
      </c>
      <c r="K85" s="45" t="s">
        <v>5041</v>
      </c>
      <c r="L85" s="45" t="s">
        <v>1122</v>
      </c>
      <c r="M85" s="45"/>
      <c r="N85" s="45"/>
      <c r="O85" s="45" t="s">
        <v>1123</v>
      </c>
      <c r="P85" s="46" t="str">
        <f>HYPERLINK("https://cofre.sieg.com/ajax/danfe.aspx?nfe=26230103008270000137550010000305811340000000","Ver Danfe")</f>
        <v>Ver Danfe</v>
      </c>
      <c r="Q85" s="46" t="str">
        <f>HYPERLINK("https://cofre.sieg.com/ajax/xml.aspx?nfe=26230103008270000137550010000305811340000000","Baixar Xml")</f>
        <v>Baixar Xml</v>
      </c>
    </row>
    <row r="86" spans="1:17" x14ac:dyDescent="0.75">
      <c r="A86" s="5">
        <v>30608</v>
      </c>
      <c r="B86" s="55">
        <v>830</v>
      </c>
      <c r="C86" s="5" t="s">
        <v>4862</v>
      </c>
      <c r="D86" s="45" t="s">
        <v>1139</v>
      </c>
      <c r="E86" s="45" t="s">
        <v>1140</v>
      </c>
      <c r="F86" s="45" t="s">
        <v>282</v>
      </c>
      <c r="G86" s="45" t="s">
        <v>1120</v>
      </c>
      <c r="H86" s="45" t="s">
        <v>1130</v>
      </c>
      <c r="I86" s="45" t="s">
        <v>1130</v>
      </c>
      <c r="J86" s="45" t="s">
        <v>4862</v>
      </c>
      <c r="K86" s="45" t="s">
        <v>5042</v>
      </c>
      <c r="L86" s="45" t="s">
        <v>1122</v>
      </c>
      <c r="M86" s="45" t="s">
        <v>1311</v>
      </c>
      <c r="N86" s="45" t="s">
        <v>1312</v>
      </c>
      <c r="O86" s="45" t="s">
        <v>1123</v>
      </c>
      <c r="P86" s="46" t="str">
        <f>HYPERLINK("https://cofre.sieg.com/ajax/danfe.aspx?nfe=26230103008270000137550010000306081340000006","Ver Danfe")</f>
        <v>Ver Danfe</v>
      </c>
      <c r="Q86" s="46" t="str">
        <f>HYPERLINK("https://cofre.sieg.com/ajax/xml.aspx?nfe=26230103008270000137550010000306081340000006","Baixar Xml")</f>
        <v>Baixar Xml</v>
      </c>
    </row>
    <row r="87" spans="1:17" x14ac:dyDescent="0.75">
      <c r="A87" s="5">
        <v>30623</v>
      </c>
      <c r="B87" s="55">
        <v>840.1</v>
      </c>
      <c r="C87" s="5" t="s">
        <v>4866</v>
      </c>
      <c r="D87" s="45" t="s">
        <v>1139</v>
      </c>
      <c r="E87" s="45" t="s">
        <v>1140</v>
      </c>
      <c r="F87" s="45" t="s">
        <v>282</v>
      </c>
      <c r="G87" s="45" t="s">
        <v>1120</v>
      </c>
      <c r="H87" s="45" t="s">
        <v>1130</v>
      </c>
      <c r="I87" s="45" t="s">
        <v>1130</v>
      </c>
      <c r="J87" s="45" t="s">
        <v>4866</v>
      </c>
      <c r="K87" s="45" t="s">
        <v>5043</v>
      </c>
      <c r="L87" s="45" t="s">
        <v>1122</v>
      </c>
      <c r="M87" s="45" t="s">
        <v>1311</v>
      </c>
      <c r="N87" s="45" t="s">
        <v>1312</v>
      </c>
      <c r="O87" s="45" t="s">
        <v>1123</v>
      </c>
      <c r="P87" s="46" t="str">
        <f>HYPERLINK("https://cofre.sieg.com/ajax/danfe.aspx?nfe=26230103008270000137550010000306231340000002","Ver Danfe")</f>
        <v>Ver Danfe</v>
      </c>
      <c r="Q87" s="46" t="str">
        <f>HYPERLINK("https://cofre.sieg.com/ajax/xml.aspx?nfe=26230103008270000137550010000306231340000002","Baixar Xml")</f>
        <v>Baixar Xml</v>
      </c>
    </row>
    <row r="88" spans="1:17" x14ac:dyDescent="0.75">
      <c r="A88" s="5">
        <v>30649</v>
      </c>
      <c r="B88" s="55">
        <v>1059.2</v>
      </c>
      <c r="C88" s="5" t="s">
        <v>4873</v>
      </c>
      <c r="D88" s="45" t="s">
        <v>1139</v>
      </c>
      <c r="E88" s="45" t="s">
        <v>1140</v>
      </c>
      <c r="F88" s="45" t="s">
        <v>282</v>
      </c>
      <c r="G88" s="45" t="s">
        <v>1120</v>
      </c>
      <c r="H88" s="45" t="s">
        <v>1130</v>
      </c>
      <c r="I88" s="45" t="s">
        <v>1130</v>
      </c>
      <c r="J88" s="45" t="s">
        <v>4873</v>
      </c>
      <c r="K88" s="45" t="s">
        <v>5044</v>
      </c>
      <c r="L88" s="45" t="s">
        <v>1122</v>
      </c>
      <c r="M88" s="45" t="s">
        <v>1311</v>
      </c>
      <c r="N88" s="45" t="s">
        <v>1312</v>
      </c>
      <c r="O88" s="45" t="s">
        <v>1123</v>
      </c>
      <c r="P88" s="46" t="str">
        <f>HYPERLINK("https://cofre.sieg.com/ajax/danfe.aspx?nfe=26230103008270000137550010000306491340000009","Ver Danfe")</f>
        <v>Ver Danfe</v>
      </c>
      <c r="Q88" s="46" t="str">
        <f>HYPERLINK("https://cofre.sieg.com/ajax/xml.aspx?nfe=26230103008270000137550010000306491340000009","Baixar Xml")</f>
        <v>Baixar Xml</v>
      </c>
    </row>
    <row r="89" spans="1:17" x14ac:dyDescent="0.75">
      <c r="A89" s="5">
        <v>30664</v>
      </c>
      <c r="B89" s="55">
        <v>528</v>
      </c>
      <c r="C89" s="5" t="s">
        <v>4877</v>
      </c>
      <c r="D89" s="45" t="s">
        <v>1139</v>
      </c>
      <c r="E89" s="45" t="s">
        <v>1140</v>
      </c>
      <c r="F89" s="45" t="s">
        <v>282</v>
      </c>
      <c r="G89" s="45" t="s">
        <v>1120</v>
      </c>
      <c r="H89" s="45" t="s">
        <v>1130</v>
      </c>
      <c r="I89" s="45" t="s">
        <v>1130</v>
      </c>
      <c r="J89" s="45" t="s">
        <v>4877</v>
      </c>
      <c r="K89" s="45" t="s">
        <v>5045</v>
      </c>
      <c r="L89" s="45" t="s">
        <v>1122</v>
      </c>
      <c r="M89" s="45" t="s">
        <v>1311</v>
      </c>
      <c r="N89" s="45" t="s">
        <v>1312</v>
      </c>
      <c r="O89" s="45" t="s">
        <v>1123</v>
      </c>
      <c r="P89" s="46" t="str">
        <f>HYPERLINK("https://cofre.sieg.com/ajax/danfe.aspx?nfe=26230103008270000137550010000306641340000005","Ver Danfe")</f>
        <v>Ver Danfe</v>
      </c>
      <c r="Q89" s="46" t="str">
        <f>HYPERLINK("https://cofre.sieg.com/ajax/xml.aspx?nfe=26230103008270000137550010000306641340000005","Baixar Xml")</f>
        <v>Baixar Xml</v>
      </c>
    </row>
    <row r="90" spans="1:17" x14ac:dyDescent="0.75">
      <c r="A90" s="5">
        <v>30689</v>
      </c>
      <c r="B90" s="55">
        <v>1136</v>
      </c>
      <c r="C90" s="5" t="s">
        <v>4883</v>
      </c>
      <c r="D90" s="45" t="s">
        <v>1139</v>
      </c>
      <c r="E90" s="45" t="s">
        <v>1140</v>
      </c>
      <c r="F90" s="45" t="s">
        <v>282</v>
      </c>
      <c r="G90" s="45" t="s">
        <v>1120</v>
      </c>
      <c r="H90" s="45" t="s">
        <v>1130</v>
      </c>
      <c r="I90" s="45" t="s">
        <v>1130</v>
      </c>
      <c r="J90" s="45" t="s">
        <v>4883</v>
      </c>
      <c r="K90" s="45" t="s">
        <v>5046</v>
      </c>
      <c r="L90" s="45" t="s">
        <v>1122</v>
      </c>
      <c r="M90" s="45"/>
      <c r="N90" s="45"/>
      <c r="O90" s="45" t="s">
        <v>1123</v>
      </c>
      <c r="P90" s="46" t="str">
        <f>HYPERLINK("https://cofre.sieg.com/ajax/danfe.aspx?nfe=26230103008270000137550010000306891340000004","Ver Danfe")</f>
        <v>Ver Danfe</v>
      </c>
      <c r="Q90" s="46" t="str">
        <f>HYPERLINK("https://cofre.sieg.com/ajax/xml.aspx?nfe=26230103008270000137550010000306891340000004","Baixar Xml")</f>
        <v>Baixar Xml</v>
      </c>
    </row>
    <row r="91" spans="1:17" x14ac:dyDescent="0.75">
      <c r="A91" s="5">
        <v>30706</v>
      </c>
      <c r="B91" s="55">
        <v>692</v>
      </c>
      <c r="C91" s="5" t="s">
        <v>4884</v>
      </c>
      <c r="D91" s="45" t="s">
        <v>1139</v>
      </c>
      <c r="E91" s="45" t="s">
        <v>1140</v>
      </c>
      <c r="F91" s="45" t="s">
        <v>282</v>
      </c>
      <c r="G91" s="45" t="s">
        <v>1120</v>
      </c>
      <c r="H91" s="45" t="s">
        <v>1130</v>
      </c>
      <c r="I91" s="45" t="s">
        <v>1130</v>
      </c>
      <c r="J91" s="45" t="s">
        <v>4884</v>
      </c>
      <c r="K91" s="45" t="s">
        <v>5047</v>
      </c>
      <c r="L91" s="45" t="s">
        <v>1122</v>
      </c>
      <c r="M91" s="45" t="s">
        <v>1311</v>
      </c>
      <c r="N91" s="45" t="s">
        <v>1312</v>
      </c>
      <c r="O91" s="45" t="s">
        <v>1123</v>
      </c>
      <c r="P91" s="46" t="str">
        <f>HYPERLINK("https://cofre.sieg.com/ajax/danfe.aspx?nfe=26230103008270000137550010000307061340000007","Ver Danfe")</f>
        <v>Ver Danfe</v>
      </c>
      <c r="Q91" s="46" t="str">
        <f>HYPERLINK("https://cofre.sieg.com/ajax/xml.aspx?nfe=26230103008270000137550010000307061340000007","Baixar Xml")</f>
        <v>Baixar Xml</v>
      </c>
    </row>
    <row r="92" spans="1:17" x14ac:dyDescent="0.75">
      <c r="A92" s="5">
        <v>30730</v>
      </c>
      <c r="B92" s="55">
        <v>688</v>
      </c>
      <c r="C92" s="5" t="s">
        <v>4887</v>
      </c>
      <c r="D92" s="45" t="s">
        <v>1139</v>
      </c>
      <c r="E92" s="45" t="s">
        <v>1140</v>
      </c>
      <c r="F92" s="45" t="s">
        <v>282</v>
      </c>
      <c r="G92" s="45" t="s">
        <v>1120</v>
      </c>
      <c r="H92" s="45" t="s">
        <v>1130</v>
      </c>
      <c r="I92" s="45" t="s">
        <v>1130</v>
      </c>
      <c r="J92" s="45" t="s">
        <v>4887</v>
      </c>
      <c r="K92" s="45" t="s">
        <v>5048</v>
      </c>
      <c r="L92" s="45" t="s">
        <v>1122</v>
      </c>
      <c r="M92" s="45" t="s">
        <v>1311</v>
      </c>
      <c r="N92" s="45" t="s">
        <v>1312</v>
      </c>
      <c r="O92" s="45" t="s">
        <v>1123</v>
      </c>
      <c r="P92" s="46" t="str">
        <f>HYPERLINK("https://cofre.sieg.com/ajax/danfe.aspx?nfe=26230103008270000137550010000307301340000002","Ver Danfe")</f>
        <v>Ver Danfe</v>
      </c>
      <c r="Q92" s="46" t="str">
        <f>HYPERLINK("https://cofre.sieg.com/ajax/xml.aspx?nfe=26230103008270000137550010000307301340000002","Baixar Xml")</f>
        <v>Baixar Xml</v>
      </c>
    </row>
    <row r="93" spans="1:17" x14ac:dyDescent="0.75">
      <c r="A93" s="5">
        <v>30746</v>
      </c>
      <c r="B93" s="55">
        <v>2035</v>
      </c>
      <c r="C93" s="5" t="s">
        <v>4891</v>
      </c>
      <c r="D93" s="45" t="s">
        <v>1139</v>
      </c>
      <c r="E93" s="45" t="s">
        <v>1140</v>
      </c>
      <c r="F93" s="45" t="s">
        <v>282</v>
      </c>
      <c r="G93" s="45" t="s">
        <v>1120</v>
      </c>
      <c r="H93" s="45" t="s">
        <v>1130</v>
      </c>
      <c r="I93" s="45" t="s">
        <v>1130</v>
      </c>
      <c r="J93" s="45" t="s">
        <v>4891</v>
      </c>
      <c r="K93" s="45" t="s">
        <v>5049</v>
      </c>
      <c r="L93" s="45" t="s">
        <v>1122</v>
      </c>
      <c r="M93" s="45" t="s">
        <v>1311</v>
      </c>
      <c r="N93" s="45" t="s">
        <v>1312</v>
      </c>
      <c r="O93" s="45" t="s">
        <v>1123</v>
      </c>
      <c r="P93" s="46" t="str">
        <f>HYPERLINK("https://cofre.sieg.com/ajax/danfe.aspx?nfe=26230103008270000137550010000307461340000002","Ver Danfe")</f>
        <v>Ver Danfe</v>
      </c>
      <c r="Q93" s="46" t="str">
        <f>HYPERLINK("https://cofre.sieg.com/ajax/xml.aspx?nfe=26230103008270000137550010000307461340000002","Baixar Xml")</f>
        <v>Baixar Xml</v>
      </c>
    </row>
    <row r="94" spans="1:17" x14ac:dyDescent="0.75">
      <c r="A94" s="5">
        <v>30771</v>
      </c>
      <c r="B94" s="55">
        <v>2564</v>
      </c>
      <c r="C94" s="5" t="s">
        <v>4899</v>
      </c>
      <c r="D94" s="45" t="s">
        <v>1139</v>
      </c>
      <c r="E94" s="45" t="s">
        <v>1140</v>
      </c>
      <c r="F94" s="45" t="s">
        <v>282</v>
      </c>
      <c r="G94" s="45" t="s">
        <v>1120</v>
      </c>
      <c r="H94" s="45" t="s">
        <v>1130</v>
      </c>
      <c r="I94" s="45" t="s">
        <v>1130</v>
      </c>
      <c r="J94" s="45" t="s">
        <v>4899</v>
      </c>
      <c r="K94" s="45" t="s">
        <v>5050</v>
      </c>
      <c r="L94" s="45" t="s">
        <v>1122</v>
      </c>
      <c r="M94" s="45" t="s">
        <v>1311</v>
      </c>
      <c r="N94" s="45" t="s">
        <v>1312</v>
      </c>
      <c r="O94" s="45" t="s">
        <v>1123</v>
      </c>
      <c r="P94" s="46" t="str">
        <f>HYPERLINK("https://cofre.sieg.com/ajax/danfe.aspx?nfe=26230103008270000137550010000307711340000005","Ver Danfe")</f>
        <v>Ver Danfe</v>
      </c>
      <c r="Q94" s="46" t="str">
        <f>HYPERLINK("https://cofre.sieg.com/ajax/xml.aspx?nfe=26230103008270000137550010000307711340000005","Baixar Xml")</f>
        <v>Baixar Xml</v>
      </c>
    </row>
    <row r="95" spans="1:17" x14ac:dyDescent="0.75">
      <c r="A95" s="5">
        <v>30787</v>
      </c>
      <c r="B95" s="55">
        <v>1708</v>
      </c>
      <c r="C95" s="5" t="s">
        <v>4900</v>
      </c>
      <c r="D95" s="45" t="s">
        <v>1139</v>
      </c>
      <c r="E95" s="45" t="s">
        <v>1140</v>
      </c>
      <c r="F95" s="45" t="s">
        <v>282</v>
      </c>
      <c r="G95" s="45" t="s">
        <v>1120</v>
      </c>
      <c r="H95" s="45" t="s">
        <v>1130</v>
      </c>
      <c r="I95" s="45" t="s">
        <v>1130</v>
      </c>
      <c r="J95" s="45" t="s">
        <v>4900</v>
      </c>
      <c r="K95" s="45" t="s">
        <v>5051</v>
      </c>
      <c r="L95" s="45" t="s">
        <v>1122</v>
      </c>
      <c r="M95" s="45" t="s">
        <v>1311</v>
      </c>
      <c r="N95" s="45" t="s">
        <v>1312</v>
      </c>
      <c r="O95" s="45" t="s">
        <v>1123</v>
      </c>
      <c r="P95" s="46" t="str">
        <f>HYPERLINK("https://cofre.sieg.com/ajax/danfe.aspx?nfe=26230103008270000137550010000307871340000005","Ver Danfe")</f>
        <v>Ver Danfe</v>
      </c>
      <c r="Q95" s="46" t="str">
        <f>HYPERLINK("https://cofre.sieg.com/ajax/xml.aspx?nfe=26230103008270000137550010000307871340000005","Baixar Xml")</f>
        <v>Baixar Xml</v>
      </c>
    </row>
    <row r="96" spans="1:17" x14ac:dyDescent="0.75">
      <c r="A96" s="5">
        <v>30812</v>
      </c>
      <c r="B96" s="55">
        <v>1124</v>
      </c>
      <c r="C96" s="5" t="s">
        <v>4907</v>
      </c>
      <c r="D96" s="45" t="s">
        <v>1139</v>
      </c>
      <c r="E96" s="45" t="s">
        <v>1140</v>
      </c>
      <c r="F96" s="45" t="s">
        <v>282</v>
      </c>
      <c r="G96" s="45" t="s">
        <v>1120</v>
      </c>
      <c r="H96" s="45" t="s">
        <v>1130</v>
      </c>
      <c r="I96" s="45" t="s">
        <v>1130</v>
      </c>
      <c r="J96" s="45" t="s">
        <v>4907</v>
      </c>
      <c r="K96" s="45" t="s">
        <v>5052</v>
      </c>
      <c r="L96" s="45" t="s">
        <v>1122</v>
      </c>
      <c r="M96" s="45"/>
      <c r="N96" s="45"/>
      <c r="O96" s="45" t="s">
        <v>1123</v>
      </c>
      <c r="P96" s="46" t="str">
        <f>HYPERLINK("https://cofre.sieg.com/ajax/danfe.aspx?nfe=26230103008270000137550010000308121340000000","Ver Danfe")</f>
        <v>Ver Danfe</v>
      </c>
      <c r="Q96" s="46" t="str">
        <f>HYPERLINK("https://cofre.sieg.com/ajax/xml.aspx?nfe=26230103008270000137550010000308121340000000","Baixar Xml")</f>
        <v>Baixar Xml</v>
      </c>
    </row>
    <row r="97" spans="1:17" x14ac:dyDescent="0.75">
      <c r="A97" s="5">
        <v>30829</v>
      </c>
      <c r="B97" s="55">
        <v>1278</v>
      </c>
      <c r="C97" s="5" t="s">
        <v>4908</v>
      </c>
      <c r="D97" s="45" t="s">
        <v>1139</v>
      </c>
      <c r="E97" s="45" t="s">
        <v>1140</v>
      </c>
      <c r="F97" s="45" t="s">
        <v>282</v>
      </c>
      <c r="G97" s="45" t="s">
        <v>1120</v>
      </c>
      <c r="H97" s="45" t="s">
        <v>1130</v>
      </c>
      <c r="I97" s="45" t="s">
        <v>1130</v>
      </c>
      <c r="J97" s="45" t="s">
        <v>4908</v>
      </c>
      <c r="K97" s="45" t="s">
        <v>5053</v>
      </c>
      <c r="L97" s="45" t="s">
        <v>1122</v>
      </c>
      <c r="M97" s="45" t="s">
        <v>1311</v>
      </c>
      <c r="N97" s="45" t="s">
        <v>1312</v>
      </c>
      <c r="O97" s="45" t="s">
        <v>1123</v>
      </c>
      <c r="P97" s="46" t="str">
        <f>HYPERLINK("https://cofre.sieg.com/ajax/danfe.aspx?nfe=26230103008270000137550010000308291340000007","Ver Danfe")</f>
        <v>Ver Danfe</v>
      </c>
      <c r="Q97" s="46" t="str">
        <f>HYPERLINK("https://cofre.sieg.com/ajax/xml.aspx?nfe=26230103008270000137550010000308291340000007","Baixar Xml")</f>
        <v>Baixar Xml</v>
      </c>
    </row>
    <row r="98" spans="1:17" x14ac:dyDescent="0.75">
      <c r="A98" s="5">
        <v>30852</v>
      </c>
      <c r="B98" s="55">
        <v>1409</v>
      </c>
      <c r="C98" s="5" t="s">
        <v>4912</v>
      </c>
      <c r="D98" s="45" t="s">
        <v>1139</v>
      </c>
      <c r="E98" s="45" t="s">
        <v>1140</v>
      </c>
      <c r="F98" s="45" t="s">
        <v>282</v>
      </c>
      <c r="G98" s="45" t="s">
        <v>1120</v>
      </c>
      <c r="H98" s="45" t="s">
        <v>1130</v>
      </c>
      <c r="I98" s="45" t="s">
        <v>1130</v>
      </c>
      <c r="J98" s="45" t="s">
        <v>4912</v>
      </c>
      <c r="K98" s="45" t="s">
        <v>5054</v>
      </c>
      <c r="L98" s="45" t="s">
        <v>1122</v>
      </c>
      <c r="M98" s="45" t="s">
        <v>1311</v>
      </c>
      <c r="N98" s="45" t="s">
        <v>1312</v>
      </c>
      <c r="O98" s="45" t="s">
        <v>1123</v>
      </c>
      <c r="P98" s="46" t="str">
        <f>HYPERLINK("https://cofre.sieg.com/ajax/danfe.aspx?nfe=26230103008270000137550010000308521340000005","Ver Danfe")</f>
        <v>Ver Danfe</v>
      </c>
      <c r="Q98" s="46" t="str">
        <f>HYPERLINK("https://cofre.sieg.com/ajax/xml.aspx?nfe=26230103008270000137550010000308521340000005","Baixar Xml")</f>
        <v>Baixar Xml</v>
      </c>
    </row>
    <row r="99" spans="1:17" x14ac:dyDescent="0.75">
      <c r="A99" s="5">
        <v>30869</v>
      </c>
      <c r="B99" s="55">
        <v>1534</v>
      </c>
      <c r="C99" s="5" t="s">
        <v>4919</v>
      </c>
      <c r="D99" s="45" t="s">
        <v>1139</v>
      </c>
      <c r="E99" s="45" t="s">
        <v>1140</v>
      </c>
      <c r="F99" s="45" t="s">
        <v>282</v>
      </c>
      <c r="G99" s="45" t="s">
        <v>1120</v>
      </c>
      <c r="H99" s="45" t="s">
        <v>1130</v>
      </c>
      <c r="I99" s="45" t="s">
        <v>1130</v>
      </c>
      <c r="J99" s="45" t="s">
        <v>4919</v>
      </c>
      <c r="K99" s="45" t="s">
        <v>5055</v>
      </c>
      <c r="L99" s="45" t="s">
        <v>1122</v>
      </c>
      <c r="M99" s="45" t="s">
        <v>1311</v>
      </c>
      <c r="N99" s="45" t="s">
        <v>1312</v>
      </c>
      <c r="O99" s="45" t="s">
        <v>1123</v>
      </c>
      <c r="P99" s="46" t="str">
        <f>HYPERLINK("https://cofre.sieg.com/ajax/danfe.aspx?nfe=26230103008270000137550010000308691340000002","Ver Danfe")</f>
        <v>Ver Danfe</v>
      </c>
      <c r="Q99" s="46" t="str">
        <f>HYPERLINK("https://cofre.sieg.com/ajax/xml.aspx?nfe=26230103008270000137550010000308691340000002","Baixar Xml")</f>
        <v>Baixar Xml</v>
      </c>
    </row>
    <row r="100" spans="1:17" x14ac:dyDescent="0.75">
      <c r="A100" s="5">
        <v>30894</v>
      </c>
      <c r="B100" s="55">
        <v>1301</v>
      </c>
      <c r="C100" s="5" t="s">
        <v>4923</v>
      </c>
      <c r="D100" s="45" t="s">
        <v>1139</v>
      </c>
      <c r="E100" s="45" t="s">
        <v>1140</v>
      </c>
      <c r="F100" s="45" t="s">
        <v>282</v>
      </c>
      <c r="G100" s="45" t="s">
        <v>1120</v>
      </c>
      <c r="H100" s="45" t="s">
        <v>1130</v>
      </c>
      <c r="I100" s="45" t="s">
        <v>1130</v>
      </c>
      <c r="J100" s="45" t="s">
        <v>4923</v>
      </c>
      <c r="K100" s="45" t="s">
        <v>5056</v>
      </c>
      <c r="L100" s="45" t="s">
        <v>1122</v>
      </c>
      <c r="M100" s="45"/>
      <c r="N100" s="45"/>
      <c r="O100" s="45" t="s">
        <v>1123</v>
      </c>
      <c r="P100" s="46" t="str">
        <f>HYPERLINK("https://cofre.sieg.com/ajax/danfe.aspx?nfe=26230103008270000137550010000308941340000005","Ver Danfe")</f>
        <v>Ver Danfe</v>
      </c>
      <c r="Q100" s="46" t="str">
        <f>HYPERLINK("https://cofre.sieg.com/ajax/xml.aspx?nfe=26230103008270000137550010000308941340000005","Baixar Xml")</f>
        <v>Baixar Xml</v>
      </c>
    </row>
    <row r="101" spans="1:17" x14ac:dyDescent="0.75">
      <c r="A101" s="5">
        <v>30911</v>
      </c>
      <c r="B101" s="55">
        <v>1684</v>
      </c>
      <c r="C101" s="5" t="s">
        <v>4930</v>
      </c>
      <c r="D101" s="45" t="s">
        <v>1139</v>
      </c>
      <c r="E101" s="45" t="s">
        <v>1140</v>
      </c>
      <c r="F101" s="45" t="s">
        <v>282</v>
      </c>
      <c r="G101" s="45" t="s">
        <v>1120</v>
      </c>
      <c r="H101" s="45" t="s">
        <v>1130</v>
      </c>
      <c r="I101" s="45" t="s">
        <v>1130</v>
      </c>
      <c r="J101" s="45" t="s">
        <v>4930</v>
      </c>
      <c r="K101" s="45" t="s">
        <v>5057</v>
      </c>
      <c r="L101" s="45" t="s">
        <v>1122</v>
      </c>
      <c r="M101" s="45" t="s">
        <v>1311</v>
      </c>
      <c r="N101" s="45" t="s">
        <v>1312</v>
      </c>
      <c r="O101" s="45" t="s">
        <v>1123</v>
      </c>
      <c r="P101" s="46" t="str">
        <f>HYPERLINK("https://cofre.sieg.com/ajax/danfe.aspx?nfe=26230103008270000137550010000309111340000008","Ver Danfe")</f>
        <v>Ver Danfe</v>
      </c>
      <c r="Q101" s="46" t="str">
        <f>HYPERLINK("https://cofre.sieg.com/ajax/xml.aspx?nfe=26230103008270000137550010000309111340000008","Baixar Xml")</f>
        <v>Baixar Xml</v>
      </c>
    </row>
    <row r="102" spans="1:17" x14ac:dyDescent="0.75">
      <c r="A102" s="5">
        <v>30936</v>
      </c>
      <c r="B102" s="55">
        <v>1172</v>
      </c>
      <c r="C102" s="5" t="s">
        <v>4937</v>
      </c>
      <c r="D102" s="45" t="s">
        <v>1139</v>
      </c>
      <c r="E102" s="45" t="s">
        <v>1140</v>
      </c>
      <c r="F102" s="45" t="s">
        <v>282</v>
      </c>
      <c r="G102" s="45" t="s">
        <v>1120</v>
      </c>
      <c r="H102" s="45" t="s">
        <v>1130</v>
      </c>
      <c r="I102" s="45" t="s">
        <v>1130</v>
      </c>
      <c r="J102" s="45" t="s">
        <v>4937</v>
      </c>
      <c r="K102" s="45" t="s">
        <v>5058</v>
      </c>
      <c r="L102" s="45" t="s">
        <v>1122</v>
      </c>
      <c r="M102" s="45"/>
      <c r="N102" s="45"/>
      <c r="O102" s="45" t="s">
        <v>1123</v>
      </c>
      <c r="P102" s="46" t="str">
        <f>HYPERLINK("https://cofre.sieg.com/ajax/danfe.aspx?nfe=26230103008270000137550010000309361340000007","Ver Danfe")</f>
        <v>Ver Danfe</v>
      </c>
      <c r="Q102" s="46" t="str">
        <f>HYPERLINK("https://cofre.sieg.com/ajax/xml.aspx?nfe=26230103008270000137550010000309361340000007","Baixar Xml")</f>
        <v>Baixar Xml</v>
      </c>
    </row>
    <row r="103" spans="1:17" x14ac:dyDescent="0.75">
      <c r="A103" s="5">
        <v>30951</v>
      </c>
      <c r="B103" s="55">
        <v>620</v>
      </c>
      <c r="C103" s="5" t="s">
        <v>4938</v>
      </c>
      <c r="D103" s="45" t="s">
        <v>1139</v>
      </c>
      <c r="E103" s="45" t="s">
        <v>1140</v>
      </c>
      <c r="F103" s="45" t="s">
        <v>282</v>
      </c>
      <c r="G103" s="45" t="s">
        <v>1120</v>
      </c>
      <c r="H103" s="45" t="s">
        <v>1130</v>
      </c>
      <c r="I103" s="45" t="s">
        <v>1130</v>
      </c>
      <c r="J103" s="45" t="s">
        <v>4938</v>
      </c>
      <c r="K103" s="45" t="s">
        <v>5059</v>
      </c>
      <c r="L103" s="45" t="s">
        <v>1122</v>
      </c>
      <c r="M103" s="45" t="s">
        <v>1311</v>
      </c>
      <c r="N103" s="45" t="s">
        <v>1312</v>
      </c>
      <c r="O103" s="45" t="s">
        <v>1123</v>
      </c>
      <c r="P103" s="46" t="str">
        <f>HYPERLINK("https://cofre.sieg.com/ajax/danfe.aspx?nfe=26230103008270000137550010000309511340000003","Ver Danfe")</f>
        <v>Ver Danfe</v>
      </c>
      <c r="Q103" s="46" t="str">
        <f>HYPERLINK("https://cofre.sieg.com/ajax/xml.aspx?nfe=26230103008270000137550010000309511340000003","Baixar Xml")</f>
        <v>Baixar Xml</v>
      </c>
    </row>
    <row r="104" spans="1:17" x14ac:dyDescent="0.75">
      <c r="A104" s="5">
        <v>7138</v>
      </c>
      <c r="B104" s="55">
        <v>1393.29</v>
      </c>
      <c r="C104" s="5" t="s">
        <v>4857</v>
      </c>
      <c r="D104" s="45" t="s">
        <v>1142</v>
      </c>
      <c r="E104" s="45" t="s">
        <v>1143</v>
      </c>
      <c r="F104" s="45" t="s">
        <v>286</v>
      </c>
      <c r="G104" s="45" t="s">
        <v>1120</v>
      </c>
      <c r="H104" s="45" t="s">
        <v>1133</v>
      </c>
      <c r="I104" s="45" t="s">
        <v>1133</v>
      </c>
      <c r="J104" s="45" t="s">
        <v>4857</v>
      </c>
      <c r="K104" s="45" t="s">
        <v>5060</v>
      </c>
      <c r="L104" s="45" t="s">
        <v>1122</v>
      </c>
      <c r="M104" s="45"/>
      <c r="N104" s="45"/>
      <c r="O104" s="45" t="s">
        <v>1123</v>
      </c>
      <c r="P104" s="46" t="str">
        <f>HYPERLINK("https://cofre.sieg.com/ajax/danfe.aspx?nfe=26230103281744000110550120000071381001263769","Ver Danfe")</f>
        <v>Ver Danfe</v>
      </c>
      <c r="Q104" s="46" t="str">
        <f>HYPERLINK("https://cofre.sieg.com/ajax/xml.aspx?nfe=26230103281744000110550120000071381001263769","Baixar Xml")</f>
        <v>Baixar Xml</v>
      </c>
    </row>
    <row r="105" spans="1:17" x14ac:dyDescent="0.75">
      <c r="A105" s="5">
        <v>6035</v>
      </c>
      <c r="B105" s="55">
        <v>12056.98</v>
      </c>
      <c r="C105" s="5" t="s">
        <v>4826</v>
      </c>
      <c r="D105" s="45" t="s">
        <v>1144</v>
      </c>
      <c r="E105" s="45" t="s">
        <v>1145</v>
      </c>
      <c r="F105" s="45" t="s">
        <v>286</v>
      </c>
      <c r="G105" s="45" t="s">
        <v>1120</v>
      </c>
      <c r="H105" s="45" t="s">
        <v>1133</v>
      </c>
      <c r="I105" s="45" t="s">
        <v>1133</v>
      </c>
      <c r="J105" s="45" t="s">
        <v>4826</v>
      </c>
      <c r="K105" s="45" t="s">
        <v>5061</v>
      </c>
      <c r="L105" s="45" t="s">
        <v>1122</v>
      </c>
      <c r="M105" s="45" t="s">
        <v>1311</v>
      </c>
      <c r="N105" s="45" t="s">
        <v>1312</v>
      </c>
      <c r="O105" s="45" t="s">
        <v>1123</v>
      </c>
      <c r="P105" s="46" t="str">
        <f>HYPERLINK("https://cofre.sieg.com/ajax/danfe.aspx?nfe=26230103281744000209550120000060351001253554","Ver Danfe")</f>
        <v>Ver Danfe</v>
      </c>
      <c r="Q105" s="46" t="str">
        <f>HYPERLINK("https://cofre.sieg.com/ajax/xml.aspx?nfe=26230103281744000209550120000060351001253554","Baixar Xml")</f>
        <v>Baixar Xml</v>
      </c>
    </row>
    <row r="106" spans="1:17" x14ac:dyDescent="0.75">
      <c r="A106" s="5">
        <v>52770</v>
      </c>
      <c r="B106" s="55">
        <v>290</v>
      </c>
      <c r="C106" s="5" t="s">
        <v>4826</v>
      </c>
      <c r="D106" s="45" t="s">
        <v>1146</v>
      </c>
      <c r="E106" s="45" t="s">
        <v>1147</v>
      </c>
      <c r="F106" s="45" t="s">
        <v>302</v>
      </c>
      <c r="G106" s="45" t="s">
        <v>1120</v>
      </c>
      <c r="H106" s="45" t="s">
        <v>1133</v>
      </c>
      <c r="I106" s="45" t="s">
        <v>1133</v>
      </c>
      <c r="J106" s="45" t="s">
        <v>4826</v>
      </c>
      <c r="K106" s="45" t="s">
        <v>5062</v>
      </c>
      <c r="L106" s="45" t="s">
        <v>1122</v>
      </c>
      <c r="M106" s="45" t="s">
        <v>1311</v>
      </c>
      <c r="N106" s="45" t="s">
        <v>1312</v>
      </c>
      <c r="O106" s="45" t="s">
        <v>1123</v>
      </c>
      <c r="P106" s="46" t="str">
        <f>HYPERLINK("https://cofre.sieg.com/ajax/danfe.aspx?nfe=26230103651710000170550010000527701202337356","Ver Danfe")</f>
        <v>Ver Danfe</v>
      </c>
      <c r="Q106" s="46" t="str">
        <f>HYPERLINK("https://cofre.sieg.com/ajax/xml.aspx?nfe=26230103651710000170550010000527701202337356","Baixar Xml")</f>
        <v>Baixar Xml</v>
      </c>
    </row>
    <row r="107" spans="1:17" x14ac:dyDescent="0.75">
      <c r="A107" s="5">
        <v>52801</v>
      </c>
      <c r="B107" s="55">
        <v>165</v>
      </c>
      <c r="C107" s="5" t="s">
        <v>4826</v>
      </c>
      <c r="D107" s="45" t="s">
        <v>1146</v>
      </c>
      <c r="E107" s="45" t="s">
        <v>1147</v>
      </c>
      <c r="F107" s="45" t="s">
        <v>302</v>
      </c>
      <c r="G107" s="45" t="s">
        <v>1120</v>
      </c>
      <c r="H107" s="45" t="s">
        <v>1133</v>
      </c>
      <c r="I107" s="45" t="s">
        <v>1133</v>
      </c>
      <c r="J107" s="45" t="s">
        <v>4826</v>
      </c>
      <c r="K107" s="45" t="s">
        <v>5063</v>
      </c>
      <c r="L107" s="45" t="s">
        <v>1122</v>
      </c>
      <c r="M107" s="45" t="s">
        <v>1311</v>
      </c>
      <c r="N107" s="45" t="s">
        <v>1312</v>
      </c>
      <c r="O107" s="45" t="s">
        <v>1123</v>
      </c>
      <c r="P107" s="46" t="str">
        <f>HYPERLINK("https://cofre.sieg.com/ajax/danfe.aspx?nfe=26230103651710000170550010000528011202377461","Ver Danfe")</f>
        <v>Ver Danfe</v>
      </c>
      <c r="Q107" s="46" t="str">
        <f>HYPERLINK("https://cofre.sieg.com/ajax/xml.aspx?nfe=26230103651710000170550010000528011202377461","Baixar Xml")</f>
        <v>Baixar Xml</v>
      </c>
    </row>
    <row r="108" spans="1:17" x14ac:dyDescent="0.75">
      <c r="A108" s="5">
        <v>52828</v>
      </c>
      <c r="B108" s="55">
        <v>220</v>
      </c>
      <c r="C108" s="5" t="s">
        <v>4839</v>
      </c>
      <c r="D108" s="45" t="s">
        <v>1146</v>
      </c>
      <c r="E108" s="45" t="s">
        <v>1147</v>
      </c>
      <c r="F108" s="45" t="s">
        <v>302</v>
      </c>
      <c r="G108" s="45" t="s">
        <v>1120</v>
      </c>
      <c r="H108" s="45" t="s">
        <v>1133</v>
      </c>
      <c r="I108" s="45" t="s">
        <v>1133</v>
      </c>
      <c r="J108" s="45" t="s">
        <v>4839</v>
      </c>
      <c r="K108" s="45" t="s">
        <v>5064</v>
      </c>
      <c r="L108" s="45" t="s">
        <v>1122</v>
      </c>
      <c r="M108" s="45"/>
      <c r="N108" s="45"/>
      <c r="O108" s="45" t="s">
        <v>1123</v>
      </c>
      <c r="P108" s="46" t="str">
        <f>HYPERLINK("https://cofre.sieg.com/ajax/danfe.aspx?nfe=26230103651710000170550010000528281202376060","Ver Danfe")</f>
        <v>Ver Danfe</v>
      </c>
      <c r="Q108" s="46" t="str">
        <f>HYPERLINK("https://cofre.sieg.com/ajax/xml.aspx?nfe=26230103651710000170550010000528281202376060","Baixar Xml")</f>
        <v>Baixar Xml</v>
      </c>
    </row>
    <row r="109" spans="1:17" x14ac:dyDescent="0.75">
      <c r="A109" s="5">
        <v>52835</v>
      </c>
      <c r="B109" s="55">
        <v>110</v>
      </c>
      <c r="C109" s="5" t="s">
        <v>4839</v>
      </c>
      <c r="D109" s="45" t="s">
        <v>1146</v>
      </c>
      <c r="E109" s="45" t="s">
        <v>1147</v>
      </c>
      <c r="F109" s="45" t="s">
        <v>302</v>
      </c>
      <c r="G109" s="45" t="s">
        <v>1120</v>
      </c>
      <c r="H109" s="45" t="s">
        <v>1133</v>
      </c>
      <c r="I109" s="45" t="s">
        <v>1133</v>
      </c>
      <c r="J109" s="45" t="s">
        <v>4839</v>
      </c>
      <c r="K109" s="45" t="s">
        <v>5065</v>
      </c>
      <c r="L109" s="45" t="s">
        <v>1122</v>
      </c>
      <c r="M109" s="45"/>
      <c r="N109" s="45"/>
      <c r="O109" s="45" t="s">
        <v>1123</v>
      </c>
      <c r="P109" s="46" t="str">
        <f>HYPERLINK("https://cofre.sieg.com/ajax/danfe.aspx?nfe=26230103651710000170550010000528351202381440","Ver Danfe")</f>
        <v>Ver Danfe</v>
      </c>
      <c r="Q109" s="46" t="str">
        <f>HYPERLINK("https://cofre.sieg.com/ajax/xml.aspx?nfe=26230103651710000170550010000528351202381440","Baixar Xml")</f>
        <v>Baixar Xml</v>
      </c>
    </row>
    <row r="110" spans="1:17" x14ac:dyDescent="0.75">
      <c r="A110" s="5">
        <v>52891</v>
      </c>
      <c r="B110" s="55">
        <v>110</v>
      </c>
      <c r="C110" s="5" t="s">
        <v>4844</v>
      </c>
      <c r="D110" s="45" t="s">
        <v>1146</v>
      </c>
      <c r="E110" s="45" t="s">
        <v>1147</v>
      </c>
      <c r="F110" s="45" t="s">
        <v>302</v>
      </c>
      <c r="G110" s="45" t="s">
        <v>1120</v>
      </c>
      <c r="H110" s="45" t="s">
        <v>1133</v>
      </c>
      <c r="I110" s="45" t="s">
        <v>1133</v>
      </c>
      <c r="J110" s="45" t="s">
        <v>4844</v>
      </c>
      <c r="K110" s="45" t="s">
        <v>5066</v>
      </c>
      <c r="L110" s="45" t="s">
        <v>1122</v>
      </c>
      <c r="M110" s="45" t="s">
        <v>1311</v>
      </c>
      <c r="N110" s="45" t="s">
        <v>1312</v>
      </c>
      <c r="O110" s="45" t="s">
        <v>1123</v>
      </c>
      <c r="P110" s="46" t="str">
        <f>HYPERLINK("https://cofre.sieg.com/ajax/danfe.aspx?nfe=26230103651710000170550010000528911202330195","Ver Danfe")</f>
        <v>Ver Danfe</v>
      </c>
      <c r="Q110" s="46" t="str">
        <f>HYPERLINK("https://cofre.sieg.com/ajax/xml.aspx?nfe=26230103651710000170550010000528911202330195","Baixar Xml")</f>
        <v>Baixar Xml</v>
      </c>
    </row>
    <row r="111" spans="1:17" x14ac:dyDescent="0.75">
      <c r="A111" s="5">
        <v>52910</v>
      </c>
      <c r="B111" s="55">
        <v>310</v>
      </c>
      <c r="C111" s="5" t="s">
        <v>4857</v>
      </c>
      <c r="D111" s="45" t="s">
        <v>1146</v>
      </c>
      <c r="E111" s="45" t="s">
        <v>1147</v>
      </c>
      <c r="F111" s="45" t="s">
        <v>302</v>
      </c>
      <c r="G111" s="45" t="s">
        <v>1120</v>
      </c>
      <c r="H111" s="45" t="s">
        <v>1133</v>
      </c>
      <c r="I111" s="45" t="s">
        <v>1133</v>
      </c>
      <c r="J111" s="45" t="s">
        <v>4857</v>
      </c>
      <c r="K111" s="45" t="s">
        <v>5067</v>
      </c>
      <c r="L111" s="45" t="s">
        <v>1122</v>
      </c>
      <c r="M111" s="45" t="s">
        <v>1311</v>
      </c>
      <c r="N111" s="45" t="s">
        <v>1312</v>
      </c>
      <c r="O111" s="45" t="s">
        <v>1123</v>
      </c>
      <c r="P111" s="46" t="str">
        <f>HYPERLINK("https://cofre.sieg.com/ajax/danfe.aspx?nfe=26230103651710000170550010000529101202353346","Ver Danfe")</f>
        <v>Ver Danfe</v>
      </c>
      <c r="Q111" s="46" t="str">
        <f>HYPERLINK("https://cofre.sieg.com/ajax/xml.aspx?nfe=26230103651710000170550010000529101202353346","Baixar Xml")</f>
        <v>Baixar Xml</v>
      </c>
    </row>
    <row r="112" spans="1:17" x14ac:dyDescent="0.75">
      <c r="A112" s="5">
        <v>52938</v>
      </c>
      <c r="B112" s="55">
        <v>365</v>
      </c>
      <c r="C112" s="5" t="s">
        <v>4857</v>
      </c>
      <c r="D112" s="45" t="s">
        <v>1146</v>
      </c>
      <c r="E112" s="45" t="s">
        <v>1147</v>
      </c>
      <c r="F112" s="45" t="s">
        <v>302</v>
      </c>
      <c r="G112" s="45" t="s">
        <v>1120</v>
      </c>
      <c r="H112" s="45" t="s">
        <v>1133</v>
      </c>
      <c r="I112" s="45" t="s">
        <v>1133</v>
      </c>
      <c r="J112" s="45" t="s">
        <v>4857</v>
      </c>
      <c r="K112" s="45" t="s">
        <v>5068</v>
      </c>
      <c r="L112" s="45" t="s">
        <v>1122</v>
      </c>
      <c r="M112" s="45"/>
      <c r="N112" s="45"/>
      <c r="O112" s="45" t="s">
        <v>1123</v>
      </c>
      <c r="P112" s="46" t="str">
        <f>HYPERLINK("https://cofre.sieg.com/ajax/danfe.aspx?nfe=26230103651710000170550010000529381202353347","Ver Danfe")</f>
        <v>Ver Danfe</v>
      </c>
      <c r="Q112" s="46" t="str">
        <f>HYPERLINK("https://cofre.sieg.com/ajax/xml.aspx?nfe=26230103651710000170550010000529381202353347","Baixar Xml")</f>
        <v>Baixar Xml</v>
      </c>
    </row>
    <row r="113" spans="1:17" x14ac:dyDescent="0.75">
      <c r="A113" s="5">
        <v>52955</v>
      </c>
      <c r="B113" s="55">
        <v>365</v>
      </c>
      <c r="C113" s="5" t="s">
        <v>4861</v>
      </c>
      <c r="D113" s="45" t="s">
        <v>1146</v>
      </c>
      <c r="E113" s="45" t="s">
        <v>1147</v>
      </c>
      <c r="F113" s="45" t="s">
        <v>302</v>
      </c>
      <c r="G113" s="45" t="s">
        <v>1120</v>
      </c>
      <c r="H113" s="45" t="s">
        <v>1133</v>
      </c>
      <c r="I113" s="45" t="s">
        <v>1133</v>
      </c>
      <c r="J113" s="45" t="s">
        <v>4861</v>
      </c>
      <c r="K113" s="45" t="s">
        <v>5069</v>
      </c>
      <c r="L113" s="45" t="s">
        <v>1122</v>
      </c>
      <c r="M113" s="45" t="s">
        <v>1311</v>
      </c>
      <c r="N113" s="45" t="s">
        <v>1312</v>
      </c>
      <c r="O113" s="45" t="s">
        <v>1123</v>
      </c>
      <c r="P113" s="46" t="str">
        <f>HYPERLINK("https://cofre.sieg.com/ajax/danfe.aspx?nfe=26230103651710000170550010000529551202379045","Ver Danfe")</f>
        <v>Ver Danfe</v>
      </c>
      <c r="Q113" s="46" t="str">
        <f>HYPERLINK("https://cofre.sieg.com/ajax/xml.aspx?nfe=26230103651710000170550010000529551202379045","Baixar Xml")</f>
        <v>Baixar Xml</v>
      </c>
    </row>
    <row r="114" spans="1:17" x14ac:dyDescent="0.75">
      <c r="A114" s="5">
        <v>53064</v>
      </c>
      <c r="B114" s="55">
        <v>360</v>
      </c>
      <c r="C114" s="5" t="s">
        <v>4877</v>
      </c>
      <c r="D114" s="45" t="s">
        <v>1146</v>
      </c>
      <c r="E114" s="45" t="s">
        <v>1147</v>
      </c>
      <c r="F114" s="45" t="s">
        <v>302</v>
      </c>
      <c r="G114" s="45" t="s">
        <v>1120</v>
      </c>
      <c r="H114" s="45" t="s">
        <v>1133</v>
      </c>
      <c r="I114" s="45" t="s">
        <v>1133</v>
      </c>
      <c r="J114" s="45" t="s">
        <v>4877</v>
      </c>
      <c r="K114" s="45" t="s">
        <v>5070</v>
      </c>
      <c r="L114" s="45" t="s">
        <v>1122</v>
      </c>
      <c r="M114" s="45"/>
      <c r="N114" s="45"/>
      <c r="O114" s="45" t="s">
        <v>1123</v>
      </c>
      <c r="P114" s="46" t="str">
        <f>HYPERLINK("https://cofre.sieg.com/ajax/danfe.aspx?nfe=26230103651710000170550010000530641202376067","Ver Danfe")</f>
        <v>Ver Danfe</v>
      </c>
      <c r="Q114" s="46" t="str">
        <f>HYPERLINK("https://cofre.sieg.com/ajax/xml.aspx?nfe=26230103651710000170550010000530641202376067","Baixar Xml")</f>
        <v>Baixar Xml</v>
      </c>
    </row>
    <row r="115" spans="1:17" x14ac:dyDescent="0.75">
      <c r="A115" s="5">
        <v>53092</v>
      </c>
      <c r="B115" s="55">
        <v>220</v>
      </c>
      <c r="C115" s="5" t="s">
        <v>4883</v>
      </c>
      <c r="D115" s="45" t="s">
        <v>1146</v>
      </c>
      <c r="E115" s="45" t="s">
        <v>1147</v>
      </c>
      <c r="F115" s="45" t="s">
        <v>302</v>
      </c>
      <c r="G115" s="45" t="s">
        <v>1120</v>
      </c>
      <c r="H115" s="45" t="s">
        <v>1133</v>
      </c>
      <c r="I115" s="45" t="s">
        <v>1133</v>
      </c>
      <c r="J115" s="45" t="s">
        <v>4883</v>
      </c>
      <c r="K115" s="45" t="s">
        <v>5071</v>
      </c>
      <c r="L115" s="45" t="s">
        <v>1122</v>
      </c>
      <c r="M115" s="45"/>
      <c r="N115" s="45"/>
      <c r="O115" s="45" t="s">
        <v>1123</v>
      </c>
      <c r="P115" s="46" t="str">
        <f>HYPERLINK("https://cofre.sieg.com/ajax/danfe.aspx?nfe=26230103651710000170550010000530921202357954","Ver Danfe")</f>
        <v>Ver Danfe</v>
      </c>
      <c r="Q115" s="46" t="str">
        <f>HYPERLINK("https://cofre.sieg.com/ajax/xml.aspx?nfe=26230103651710000170550010000530921202357954","Baixar Xml")</f>
        <v>Baixar Xml</v>
      </c>
    </row>
    <row r="116" spans="1:17" x14ac:dyDescent="0.75">
      <c r="A116" s="5">
        <v>53165</v>
      </c>
      <c r="B116" s="55">
        <v>765</v>
      </c>
      <c r="C116" s="5" t="s">
        <v>4891</v>
      </c>
      <c r="D116" s="45" t="s">
        <v>1146</v>
      </c>
      <c r="E116" s="45" t="s">
        <v>1147</v>
      </c>
      <c r="F116" s="45" t="s">
        <v>302</v>
      </c>
      <c r="G116" s="45" t="s">
        <v>1120</v>
      </c>
      <c r="H116" s="45" t="s">
        <v>1133</v>
      </c>
      <c r="I116" s="45" t="s">
        <v>1133</v>
      </c>
      <c r="J116" s="45" t="s">
        <v>4891</v>
      </c>
      <c r="K116" s="45" t="s">
        <v>5072</v>
      </c>
      <c r="L116" s="45" t="s">
        <v>1122</v>
      </c>
      <c r="M116" s="45" t="s">
        <v>1311</v>
      </c>
      <c r="N116" s="45" t="s">
        <v>1312</v>
      </c>
      <c r="O116" s="45" t="s">
        <v>1123</v>
      </c>
      <c r="P116" s="46" t="str">
        <f>HYPERLINK("https://cofre.sieg.com/ajax/danfe.aspx?nfe=26230103651710000170550010000531651202370550","Ver Danfe")</f>
        <v>Ver Danfe</v>
      </c>
      <c r="Q116" s="46" t="str">
        <f>HYPERLINK("https://cofre.sieg.com/ajax/xml.aspx?nfe=26230103651710000170550010000531651202370550","Baixar Xml")</f>
        <v>Baixar Xml</v>
      </c>
    </row>
    <row r="117" spans="1:17" x14ac:dyDescent="0.75">
      <c r="A117" s="5">
        <v>53258</v>
      </c>
      <c r="B117" s="55">
        <v>365</v>
      </c>
      <c r="C117" s="5" t="s">
        <v>4907</v>
      </c>
      <c r="D117" s="45" t="s">
        <v>1146</v>
      </c>
      <c r="E117" s="45" t="s">
        <v>1147</v>
      </c>
      <c r="F117" s="45" t="s">
        <v>302</v>
      </c>
      <c r="G117" s="45" t="s">
        <v>1120</v>
      </c>
      <c r="H117" s="45" t="s">
        <v>1133</v>
      </c>
      <c r="I117" s="45" t="s">
        <v>1133</v>
      </c>
      <c r="J117" s="45" t="s">
        <v>4907</v>
      </c>
      <c r="K117" s="45" t="s">
        <v>5073</v>
      </c>
      <c r="L117" s="45" t="s">
        <v>1122</v>
      </c>
      <c r="M117" s="45"/>
      <c r="N117" s="45"/>
      <c r="O117" s="45" t="s">
        <v>1123</v>
      </c>
      <c r="P117" s="46" t="str">
        <f>HYPERLINK("https://cofre.sieg.com/ajax/danfe.aspx?nfe=26230103651710000170550010000532581202336409","Ver Danfe")</f>
        <v>Ver Danfe</v>
      </c>
      <c r="Q117" s="46" t="str">
        <f>HYPERLINK("https://cofre.sieg.com/ajax/xml.aspx?nfe=26230103651710000170550010000532581202336409","Baixar Xml")</f>
        <v>Baixar Xml</v>
      </c>
    </row>
    <row r="118" spans="1:17" x14ac:dyDescent="0.75">
      <c r="A118" s="5">
        <v>53259</v>
      </c>
      <c r="B118" s="55">
        <v>510</v>
      </c>
      <c r="C118" s="5" t="s">
        <v>4907</v>
      </c>
      <c r="D118" s="45" t="s">
        <v>1146</v>
      </c>
      <c r="E118" s="45" t="s">
        <v>1147</v>
      </c>
      <c r="F118" s="45" t="s">
        <v>302</v>
      </c>
      <c r="G118" s="45" t="s">
        <v>1120</v>
      </c>
      <c r="H118" s="45" t="s">
        <v>1133</v>
      </c>
      <c r="I118" s="45" t="s">
        <v>1133</v>
      </c>
      <c r="J118" s="45" t="s">
        <v>4907</v>
      </c>
      <c r="K118" s="45" t="s">
        <v>5074</v>
      </c>
      <c r="L118" s="45" t="s">
        <v>1122</v>
      </c>
      <c r="M118" s="45"/>
      <c r="N118" s="45"/>
      <c r="O118" s="45" t="s">
        <v>1123</v>
      </c>
      <c r="P118" s="46" t="str">
        <f>HYPERLINK("https://cofre.sieg.com/ajax/danfe.aspx?nfe=26230103651710000170550010000532591202353343","Ver Danfe")</f>
        <v>Ver Danfe</v>
      </c>
      <c r="Q118" s="46" t="str">
        <f>HYPERLINK("https://cofre.sieg.com/ajax/xml.aspx?nfe=26230103651710000170550010000532591202353343","Baixar Xml")</f>
        <v>Baixar Xml</v>
      </c>
    </row>
    <row r="119" spans="1:17" x14ac:dyDescent="0.75">
      <c r="A119" s="5">
        <v>53279</v>
      </c>
      <c r="B119" s="55">
        <v>220</v>
      </c>
      <c r="C119" s="5" t="s">
        <v>4908</v>
      </c>
      <c r="D119" s="45" t="s">
        <v>1146</v>
      </c>
      <c r="E119" s="45" t="s">
        <v>1147</v>
      </c>
      <c r="F119" s="45" t="s">
        <v>302</v>
      </c>
      <c r="G119" s="45" t="s">
        <v>1120</v>
      </c>
      <c r="H119" s="45" t="s">
        <v>1133</v>
      </c>
      <c r="I119" s="45" t="s">
        <v>1133</v>
      </c>
      <c r="J119" s="45" t="s">
        <v>4908</v>
      </c>
      <c r="K119" s="45" t="s">
        <v>5075</v>
      </c>
      <c r="L119" s="45" t="s">
        <v>1122</v>
      </c>
      <c r="M119" s="45" t="s">
        <v>1311</v>
      </c>
      <c r="N119" s="45" t="s">
        <v>1312</v>
      </c>
      <c r="O119" s="45" t="s">
        <v>1123</v>
      </c>
      <c r="P119" s="46" t="str">
        <f>HYPERLINK("https://cofre.sieg.com/ajax/danfe.aspx?nfe=26230103651710000170550010000532791202376060","Ver Danfe")</f>
        <v>Ver Danfe</v>
      </c>
      <c r="Q119" s="46" t="str">
        <f>HYPERLINK("https://cofre.sieg.com/ajax/xml.aspx?nfe=26230103651710000170550010000532791202376060","Baixar Xml")</f>
        <v>Baixar Xml</v>
      </c>
    </row>
    <row r="120" spans="1:17" x14ac:dyDescent="0.75">
      <c r="A120" s="5">
        <v>53336</v>
      </c>
      <c r="B120" s="55">
        <v>420</v>
      </c>
      <c r="C120" s="5" t="s">
        <v>4919</v>
      </c>
      <c r="D120" s="45" t="s">
        <v>1146</v>
      </c>
      <c r="E120" s="45" t="s">
        <v>1147</v>
      </c>
      <c r="F120" s="45" t="s">
        <v>302</v>
      </c>
      <c r="G120" s="45" t="s">
        <v>1120</v>
      </c>
      <c r="H120" s="45" t="s">
        <v>1133</v>
      </c>
      <c r="I120" s="45" t="s">
        <v>1133</v>
      </c>
      <c r="J120" s="45" t="s">
        <v>4919</v>
      </c>
      <c r="K120" s="45" t="s">
        <v>5076</v>
      </c>
      <c r="L120" s="45" t="s">
        <v>1122</v>
      </c>
      <c r="M120" s="45" t="s">
        <v>1311</v>
      </c>
      <c r="N120" s="45" t="s">
        <v>1312</v>
      </c>
      <c r="O120" s="45" t="s">
        <v>1123</v>
      </c>
      <c r="P120" s="46" t="str">
        <f>HYPERLINK("https://cofre.sieg.com/ajax/danfe.aspx?nfe=26230103651710000170550010000533361202301417","Ver Danfe")</f>
        <v>Ver Danfe</v>
      </c>
      <c r="Q120" s="46" t="str">
        <f>HYPERLINK("https://cofre.sieg.com/ajax/xml.aspx?nfe=26230103651710000170550010000533361202301417","Baixar Xml")</f>
        <v>Baixar Xml</v>
      </c>
    </row>
    <row r="121" spans="1:17" x14ac:dyDescent="0.75">
      <c r="A121" s="5">
        <v>53441</v>
      </c>
      <c r="B121" s="55">
        <v>110</v>
      </c>
      <c r="C121" s="5" t="s">
        <v>4938</v>
      </c>
      <c r="D121" s="45" t="s">
        <v>1146</v>
      </c>
      <c r="E121" s="45" t="s">
        <v>1147</v>
      </c>
      <c r="F121" s="45" t="s">
        <v>302</v>
      </c>
      <c r="G121" s="45" t="s">
        <v>1120</v>
      </c>
      <c r="H121" s="45" t="s">
        <v>1133</v>
      </c>
      <c r="I121" s="45" t="s">
        <v>1133</v>
      </c>
      <c r="J121" s="45" t="s">
        <v>4938</v>
      </c>
      <c r="K121" s="45" t="s">
        <v>5077</v>
      </c>
      <c r="L121" s="45" t="s">
        <v>1122</v>
      </c>
      <c r="M121" s="45"/>
      <c r="N121" s="45"/>
      <c r="O121" s="45" t="s">
        <v>1123</v>
      </c>
      <c r="P121" s="46" t="str">
        <f>HYPERLINK("https://cofre.sieg.com/ajax/danfe.aspx?nfe=26230103651710000170550010000534411202328965","Ver Danfe")</f>
        <v>Ver Danfe</v>
      </c>
      <c r="Q121" s="46" t="str">
        <f>HYPERLINK("https://cofre.sieg.com/ajax/xml.aspx?nfe=26230103651710000170550010000534411202328965","Baixar Xml")</f>
        <v>Baixar Xml</v>
      </c>
    </row>
    <row r="122" spans="1:17" x14ac:dyDescent="0.75">
      <c r="A122" s="5">
        <v>53442</v>
      </c>
      <c r="B122" s="55">
        <v>370</v>
      </c>
      <c r="C122" s="5" t="s">
        <v>4938</v>
      </c>
      <c r="D122" s="45" t="s">
        <v>1146</v>
      </c>
      <c r="E122" s="45" t="s">
        <v>1147</v>
      </c>
      <c r="F122" s="45" t="s">
        <v>302</v>
      </c>
      <c r="G122" s="45" t="s">
        <v>1120</v>
      </c>
      <c r="H122" s="45" t="s">
        <v>1133</v>
      </c>
      <c r="I122" s="45" t="s">
        <v>1133</v>
      </c>
      <c r="J122" s="45" t="s">
        <v>4938</v>
      </c>
      <c r="K122" s="45" t="s">
        <v>5078</v>
      </c>
      <c r="L122" s="45" t="s">
        <v>1122</v>
      </c>
      <c r="M122" s="45"/>
      <c r="N122" s="45"/>
      <c r="O122" s="45" t="s">
        <v>1123</v>
      </c>
      <c r="P122" s="46" t="str">
        <f>HYPERLINK("https://cofre.sieg.com/ajax/danfe.aspx?nfe=26230103651710000170550010000534421202377467","Ver Danfe")</f>
        <v>Ver Danfe</v>
      </c>
      <c r="Q122" s="46" t="str">
        <f>HYPERLINK("https://cofre.sieg.com/ajax/xml.aspx?nfe=26230103651710000170550010000534421202377467","Baixar Xml")</f>
        <v>Baixar Xml</v>
      </c>
    </row>
    <row r="123" spans="1:17" x14ac:dyDescent="0.75">
      <c r="A123" s="5">
        <v>1037</v>
      </c>
      <c r="B123" s="55">
        <v>630</v>
      </c>
      <c r="C123" s="5" t="s">
        <v>4908</v>
      </c>
      <c r="D123" s="45" t="s">
        <v>5079</v>
      </c>
      <c r="E123" s="45" t="s">
        <v>5080</v>
      </c>
      <c r="F123" s="45" t="s">
        <v>5081</v>
      </c>
      <c r="G123" s="45" t="s">
        <v>1120</v>
      </c>
      <c r="H123" s="45" t="s">
        <v>1121</v>
      </c>
      <c r="I123" s="45" t="s">
        <v>1121</v>
      </c>
      <c r="J123" s="45" t="s">
        <v>4908</v>
      </c>
      <c r="K123" s="45" t="s">
        <v>5082</v>
      </c>
      <c r="L123" s="45" t="s">
        <v>1122</v>
      </c>
      <c r="M123" s="45" t="s">
        <v>1311</v>
      </c>
      <c r="N123" s="45" t="s">
        <v>1312</v>
      </c>
      <c r="O123" s="45" t="s">
        <v>1123</v>
      </c>
      <c r="P123" s="46" t="str">
        <f>HYPERLINK("https://cofre.sieg.com/ajax/danfe.aspx?nfe=26230103740592000176550020000010371331594558","Ver Danfe")</f>
        <v>Ver Danfe</v>
      </c>
      <c r="Q123" s="46" t="str">
        <f>HYPERLINK("https://cofre.sieg.com/ajax/xml.aspx?nfe=26230103740592000176550020000010371331594558","Baixar Xml")</f>
        <v>Baixar Xml</v>
      </c>
    </row>
    <row r="124" spans="1:17" x14ac:dyDescent="0.75">
      <c r="A124" s="5">
        <v>30671</v>
      </c>
      <c r="B124" s="55">
        <v>5171.25</v>
      </c>
      <c r="C124" s="5" t="s">
        <v>4825</v>
      </c>
      <c r="D124" s="45" t="s">
        <v>5083</v>
      </c>
      <c r="E124" s="45" t="s">
        <v>5084</v>
      </c>
      <c r="F124" s="45" t="s">
        <v>262</v>
      </c>
      <c r="G124" s="45" t="s">
        <v>1120</v>
      </c>
      <c r="H124" s="45" t="s">
        <v>5085</v>
      </c>
      <c r="I124" s="45" t="s">
        <v>5085</v>
      </c>
      <c r="J124" s="45" t="s">
        <v>4826</v>
      </c>
      <c r="K124" s="45" t="s">
        <v>5086</v>
      </c>
      <c r="L124" s="45" t="s">
        <v>1122</v>
      </c>
      <c r="M124" s="45" t="s">
        <v>1311</v>
      </c>
      <c r="N124" s="45" t="s">
        <v>1312</v>
      </c>
      <c r="O124" s="45" t="s">
        <v>1123</v>
      </c>
      <c r="P124" s="46" t="str">
        <f>HYPERLINK("https://cofre.sieg.com/ajax/danfe.aspx?nfe=26230103892821000259550010000306711000462673","Ver Danfe")</f>
        <v>Ver Danfe</v>
      </c>
      <c r="Q124" s="46" t="str">
        <f>HYPERLINK("https://cofre.sieg.com/ajax/xml.aspx?nfe=26230103892821000259550010000306711000462673","Baixar Xml")</f>
        <v>Baixar Xml</v>
      </c>
    </row>
    <row r="125" spans="1:17" x14ac:dyDescent="0.75">
      <c r="A125" s="5">
        <v>30855</v>
      </c>
      <c r="B125" s="55">
        <v>5288.5</v>
      </c>
      <c r="C125" s="5" t="s">
        <v>4937</v>
      </c>
      <c r="D125" s="45" t="s">
        <v>5083</v>
      </c>
      <c r="E125" s="45" t="s">
        <v>5084</v>
      </c>
      <c r="F125" s="45" t="s">
        <v>262</v>
      </c>
      <c r="G125" s="45" t="s">
        <v>1120</v>
      </c>
      <c r="H125" s="45" t="s">
        <v>5085</v>
      </c>
      <c r="I125" s="45" t="s">
        <v>5085</v>
      </c>
      <c r="J125" s="45" t="s">
        <v>4937</v>
      </c>
      <c r="K125" s="45" t="s">
        <v>5087</v>
      </c>
      <c r="L125" s="45" t="s">
        <v>1122</v>
      </c>
      <c r="M125" s="45" t="s">
        <v>1311</v>
      </c>
      <c r="N125" s="45" t="s">
        <v>1312</v>
      </c>
      <c r="O125" s="45" t="s">
        <v>1123</v>
      </c>
      <c r="P125" s="46" t="str">
        <f>HYPERLINK("https://cofre.sieg.com/ajax/danfe.aspx?nfe=26230103892821000259550010000308551000466021","Ver Danfe")</f>
        <v>Ver Danfe</v>
      </c>
      <c r="Q125" s="46" t="str">
        <f>HYPERLINK("https://cofre.sieg.com/ajax/xml.aspx?nfe=26230103892821000259550010000308551000466021","Baixar Xml")</f>
        <v>Baixar Xml</v>
      </c>
    </row>
    <row r="126" spans="1:17" x14ac:dyDescent="0.75">
      <c r="A126" s="5">
        <v>26009</v>
      </c>
      <c r="B126" s="55">
        <v>560</v>
      </c>
      <c r="C126" s="5" t="s">
        <v>4834</v>
      </c>
      <c r="D126" s="45" t="s">
        <v>1208</v>
      </c>
      <c r="E126" s="45" t="s">
        <v>1209</v>
      </c>
      <c r="F126" s="45" t="s">
        <v>1210</v>
      </c>
      <c r="G126" s="45" t="s">
        <v>1120</v>
      </c>
      <c r="H126" s="45" t="s">
        <v>1211</v>
      </c>
      <c r="I126" s="45" t="s">
        <v>1211</v>
      </c>
      <c r="J126" s="45" t="s">
        <v>4834</v>
      </c>
      <c r="K126" s="45" t="s">
        <v>5088</v>
      </c>
      <c r="L126" s="45" t="s">
        <v>1122</v>
      </c>
      <c r="M126" s="45" t="s">
        <v>1311</v>
      </c>
      <c r="N126" s="45" t="s">
        <v>1312</v>
      </c>
      <c r="O126" s="45" t="s">
        <v>1123</v>
      </c>
      <c r="P126" s="46" t="str">
        <f>HYPERLINK("https://cofre.sieg.com/ajax/danfe.aspx?nfe=26230104269297000146550010000260091868391381","Ver Danfe")</f>
        <v>Ver Danfe</v>
      </c>
      <c r="Q126" s="46" t="str">
        <f>HYPERLINK("https://cofre.sieg.com/ajax/xml.aspx?nfe=26230104269297000146550010000260091868391381","Baixar Xml")</f>
        <v>Baixar Xml</v>
      </c>
    </row>
    <row r="127" spans="1:17" x14ac:dyDescent="0.75">
      <c r="A127" s="5">
        <v>26043</v>
      </c>
      <c r="B127" s="55">
        <v>415</v>
      </c>
      <c r="C127" s="5" t="s">
        <v>4844</v>
      </c>
      <c r="D127" s="45" t="s">
        <v>1208</v>
      </c>
      <c r="E127" s="45" t="s">
        <v>1209</v>
      </c>
      <c r="F127" s="45" t="s">
        <v>1210</v>
      </c>
      <c r="G127" s="45" t="s">
        <v>1120</v>
      </c>
      <c r="H127" s="45" t="s">
        <v>1211</v>
      </c>
      <c r="I127" s="45" t="s">
        <v>1211</v>
      </c>
      <c r="J127" s="45" t="s">
        <v>4844</v>
      </c>
      <c r="K127" s="45" t="s">
        <v>5089</v>
      </c>
      <c r="L127" s="45" t="s">
        <v>1122</v>
      </c>
      <c r="M127" s="45"/>
      <c r="N127" s="45"/>
      <c r="O127" s="45" t="s">
        <v>1123</v>
      </c>
      <c r="P127" s="46" t="str">
        <f>HYPERLINK("https://cofre.sieg.com/ajax/danfe.aspx?nfe=26230104269297000146550010000260431474664445","Ver Danfe")</f>
        <v>Ver Danfe</v>
      </c>
      <c r="Q127" s="46" t="str">
        <f>HYPERLINK("https://cofre.sieg.com/ajax/xml.aspx?nfe=26230104269297000146550010000260431474664445","Baixar Xml")</f>
        <v>Baixar Xml</v>
      </c>
    </row>
    <row r="128" spans="1:17" x14ac:dyDescent="0.75">
      <c r="A128" s="5">
        <v>26082</v>
      </c>
      <c r="B128" s="55">
        <v>570</v>
      </c>
      <c r="C128" s="5" t="s">
        <v>4857</v>
      </c>
      <c r="D128" s="45" t="s">
        <v>1208</v>
      </c>
      <c r="E128" s="45" t="s">
        <v>1209</v>
      </c>
      <c r="F128" s="45" t="s">
        <v>1210</v>
      </c>
      <c r="G128" s="45" t="s">
        <v>1120</v>
      </c>
      <c r="H128" s="45" t="s">
        <v>1211</v>
      </c>
      <c r="I128" s="45" t="s">
        <v>1211</v>
      </c>
      <c r="J128" s="45" t="s">
        <v>4857</v>
      </c>
      <c r="K128" s="45" t="s">
        <v>5090</v>
      </c>
      <c r="L128" s="45" t="s">
        <v>1122</v>
      </c>
      <c r="M128" s="45" t="s">
        <v>1311</v>
      </c>
      <c r="N128" s="45" t="s">
        <v>1312</v>
      </c>
      <c r="O128" s="45" t="s">
        <v>1123</v>
      </c>
      <c r="P128" s="46" t="str">
        <f>HYPERLINK("https://cofre.sieg.com/ajax/danfe.aspx?nfe=26230104269297000146550010000260821053814414","Ver Danfe")</f>
        <v>Ver Danfe</v>
      </c>
      <c r="Q128" s="46" t="str">
        <f>HYPERLINK("https://cofre.sieg.com/ajax/xml.aspx?nfe=26230104269297000146550010000260821053814414","Baixar Xml")</f>
        <v>Baixar Xml</v>
      </c>
    </row>
    <row r="129" spans="1:17" x14ac:dyDescent="0.75">
      <c r="A129" s="5">
        <v>26114</v>
      </c>
      <c r="B129" s="55">
        <v>590</v>
      </c>
      <c r="C129" s="5" t="s">
        <v>4862</v>
      </c>
      <c r="D129" s="45" t="s">
        <v>1208</v>
      </c>
      <c r="E129" s="45" t="s">
        <v>1209</v>
      </c>
      <c r="F129" s="45" t="s">
        <v>1210</v>
      </c>
      <c r="G129" s="45" t="s">
        <v>1120</v>
      </c>
      <c r="H129" s="45" t="s">
        <v>1211</v>
      </c>
      <c r="I129" s="45" t="s">
        <v>1211</v>
      </c>
      <c r="J129" s="45" t="s">
        <v>4862</v>
      </c>
      <c r="K129" s="45" t="s">
        <v>5091</v>
      </c>
      <c r="L129" s="45" t="s">
        <v>1122</v>
      </c>
      <c r="M129" s="45" t="s">
        <v>1311</v>
      </c>
      <c r="N129" s="45" t="s">
        <v>1312</v>
      </c>
      <c r="O129" s="45" t="s">
        <v>1123</v>
      </c>
      <c r="P129" s="46" t="str">
        <f>HYPERLINK("https://cofre.sieg.com/ajax/danfe.aspx?nfe=26230104269297000146550010000261141318930323","Ver Danfe")</f>
        <v>Ver Danfe</v>
      </c>
      <c r="Q129" s="46" t="str">
        <f>HYPERLINK("https://cofre.sieg.com/ajax/xml.aspx?nfe=26230104269297000146550010000261141318930323","Baixar Xml")</f>
        <v>Baixar Xml</v>
      </c>
    </row>
    <row r="130" spans="1:17" x14ac:dyDescent="0.75">
      <c r="A130" s="5">
        <v>26155</v>
      </c>
      <c r="B130" s="55">
        <v>640</v>
      </c>
      <c r="C130" s="5" t="s">
        <v>4877</v>
      </c>
      <c r="D130" s="45" t="s">
        <v>1208</v>
      </c>
      <c r="E130" s="45" t="s">
        <v>1209</v>
      </c>
      <c r="F130" s="45" t="s">
        <v>1210</v>
      </c>
      <c r="G130" s="45" t="s">
        <v>1120</v>
      </c>
      <c r="H130" s="45" t="s">
        <v>1211</v>
      </c>
      <c r="I130" s="45" t="s">
        <v>1211</v>
      </c>
      <c r="J130" s="45" t="s">
        <v>4877</v>
      </c>
      <c r="K130" s="45" t="s">
        <v>5092</v>
      </c>
      <c r="L130" s="45" t="s">
        <v>1122</v>
      </c>
      <c r="M130" s="45" t="s">
        <v>1311</v>
      </c>
      <c r="N130" s="45" t="s">
        <v>1312</v>
      </c>
      <c r="O130" s="45" t="s">
        <v>1123</v>
      </c>
      <c r="P130" s="46" t="str">
        <f>HYPERLINK("https://cofre.sieg.com/ajax/danfe.aspx?nfe=26230104269297000146550010000261551554064084","Ver Danfe")</f>
        <v>Ver Danfe</v>
      </c>
      <c r="Q130" s="46" t="str">
        <f>HYPERLINK("https://cofre.sieg.com/ajax/xml.aspx?nfe=26230104269297000146550010000261551554064084","Baixar Xml")</f>
        <v>Baixar Xml</v>
      </c>
    </row>
    <row r="131" spans="1:17" x14ac:dyDescent="0.75">
      <c r="A131" s="5">
        <v>26193</v>
      </c>
      <c r="B131" s="55">
        <v>480</v>
      </c>
      <c r="C131" s="5" t="s">
        <v>4884</v>
      </c>
      <c r="D131" s="45" t="s">
        <v>1208</v>
      </c>
      <c r="E131" s="45" t="s">
        <v>1209</v>
      </c>
      <c r="F131" s="45" t="s">
        <v>1210</v>
      </c>
      <c r="G131" s="45" t="s">
        <v>1120</v>
      </c>
      <c r="H131" s="45" t="s">
        <v>1211</v>
      </c>
      <c r="I131" s="45" t="s">
        <v>1211</v>
      </c>
      <c r="J131" s="45" t="s">
        <v>4884</v>
      </c>
      <c r="K131" s="45" t="s">
        <v>5093</v>
      </c>
      <c r="L131" s="45" t="s">
        <v>1122</v>
      </c>
      <c r="M131" s="45"/>
      <c r="N131" s="45"/>
      <c r="O131" s="45" t="s">
        <v>1123</v>
      </c>
      <c r="P131" s="46" t="str">
        <f>HYPERLINK("https://cofre.sieg.com/ajax/danfe.aspx?nfe=26230104269297000146550010000261931263348095","Ver Danfe")</f>
        <v>Ver Danfe</v>
      </c>
      <c r="Q131" s="46" t="str">
        <f>HYPERLINK("https://cofre.sieg.com/ajax/xml.aspx?nfe=26230104269297000146550010000261931263348095","Baixar Xml")</f>
        <v>Baixar Xml</v>
      </c>
    </row>
    <row r="132" spans="1:17" x14ac:dyDescent="0.75">
      <c r="A132" s="5">
        <v>26231</v>
      </c>
      <c r="B132" s="55">
        <v>670</v>
      </c>
      <c r="C132" s="5" t="s">
        <v>4899</v>
      </c>
      <c r="D132" s="45" t="s">
        <v>1208</v>
      </c>
      <c r="E132" s="45" t="s">
        <v>1209</v>
      </c>
      <c r="F132" s="45" t="s">
        <v>1210</v>
      </c>
      <c r="G132" s="45" t="s">
        <v>1120</v>
      </c>
      <c r="H132" s="45" t="s">
        <v>1211</v>
      </c>
      <c r="I132" s="45" t="s">
        <v>1211</v>
      </c>
      <c r="J132" s="45" t="s">
        <v>4899</v>
      </c>
      <c r="K132" s="45" t="s">
        <v>5094</v>
      </c>
      <c r="L132" s="45" t="s">
        <v>1122</v>
      </c>
      <c r="M132" s="45"/>
      <c r="N132" s="45"/>
      <c r="O132" s="45" t="s">
        <v>1123</v>
      </c>
      <c r="P132" s="46" t="str">
        <f>HYPERLINK("https://cofre.sieg.com/ajax/danfe.aspx?nfe=26230104269297000146550010000262311055106044","Ver Danfe")</f>
        <v>Ver Danfe</v>
      </c>
      <c r="Q132" s="46" t="str">
        <f>HYPERLINK("https://cofre.sieg.com/ajax/xml.aspx?nfe=26230104269297000146550010000262311055106044","Baixar Xml")</f>
        <v>Baixar Xml</v>
      </c>
    </row>
    <row r="133" spans="1:17" x14ac:dyDescent="0.75">
      <c r="A133" s="5">
        <v>26266</v>
      </c>
      <c r="B133" s="55">
        <v>660</v>
      </c>
      <c r="C133" s="5" t="s">
        <v>4907</v>
      </c>
      <c r="D133" s="45" t="s">
        <v>1208</v>
      </c>
      <c r="E133" s="45" t="s">
        <v>1209</v>
      </c>
      <c r="F133" s="45" t="s">
        <v>1210</v>
      </c>
      <c r="G133" s="45" t="s">
        <v>1120</v>
      </c>
      <c r="H133" s="45" t="s">
        <v>1211</v>
      </c>
      <c r="I133" s="45" t="s">
        <v>1211</v>
      </c>
      <c r="J133" s="45" t="s">
        <v>4907</v>
      </c>
      <c r="K133" s="45" t="s">
        <v>5095</v>
      </c>
      <c r="L133" s="45" t="s">
        <v>1122</v>
      </c>
      <c r="M133" s="45"/>
      <c r="N133" s="45"/>
      <c r="O133" s="45" t="s">
        <v>1123</v>
      </c>
      <c r="P133" s="46" t="str">
        <f>HYPERLINK("https://cofre.sieg.com/ajax/danfe.aspx?nfe=26230104269297000146550010000262661260305105","Ver Danfe")</f>
        <v>Ver Danfe</v>
      </c>
      <c r="Q133" s="46" t="str">
        <f>HYPERLINK("https://cofre.sieg.com/ajax/xml.aspx?nfe=26230104269297000146550010000262661260305105","Baixar Xml")</f>
        <v>Baixar Xml</v>
      </c>
    </row>
    <row r="134" spans="1:17" x14ac:dyDescent="0.75">
      <c r="A134" s="5">
        <v>26294</v>
      </c>
      <c r="B134" s="55">
        <v>320</v>
      </c>
      <c r="C134" s="5" t="s">
        <v>4912</v>
      </c>
      <c r="D134" s="45" t="s">
        <v>1208</v>
      </c>
      <c r="E134" s="45" t="s">
        <v>1209</v>
      </c>
      <c r="F134" s="45" t="s">
        <v>1210</v>
      </c>
      <c r="G134" s="45" t="s">
        <v>1120</v>
      </c>
      <c r="H134" s="45" t="s">
        <v>1211</v>
      </c>
      <c r="I134" s="45" t="s">
        <v>1211</v>
      </c>
      <c r="J134" s="45" t="s">
        <v>4912</v>
      </c>
      <c r="K134" s="45" t="s">
        <v>5096</v>
      </c>
      <c r="L134" s="45" t="s">
        <v>1122</v>
      </c>
      <c r="M134" s="45" t="s">
        <v>1311</v>
      </c>
      <c r="N134" s="45" t="s">
        <v>1312</v>
      </c>
      <c r="O134" s="45" t="s">
        <v>1123</v>
      </c>
      <c r="P134" s="46" t="str">
        <f>HYPERLINK("https://cofre.sieg.com/ajax/danfe.aspx?nfe=26230104269297000146550010000262941142801816","Ver Danfe")</f>
        <v>Ver Danfe</v>
      </c>
      <c r="Q134" s="46" t="str">
        <f>HYPERLINK("https://cofre.sieg.com/ajax/xml.aspx?nfe=26230104269297000146550010000262941142801816","Baixar Xml")</f>
        <v>Baixar Xml</v>
      </c>
    </row>
    <row r="135" spans="1:17" x14ac:dyDescent="0.75">
      <c r="A135" s="5">
        <v>26345</v>
      </c>
      <c r="B135" s="55">
        <v>660</v>
      </c>
      <c r="C135" s="5" t="s">
        <v>4930</v>
      </c>
      <c r="D135" s="45" t="s">
        <v>1208</v>
      </c>
      <c r="E135" s="45" t="s">
        <v>1209</v>
      </c>
      <c r="F135" s="45" t="s">
        <v>1210</v>
      </c>
      <c r="G135" s="45" t="s">
        <v>1120</v>
      </c>
      <c r="H135" s="45" t="s">
        <v>1211</v>
      </c>
      <c r="I135" s="45" t="s">
        <v>1211</v>
      </c>
      <c r="J135" s="45" t="s">
        <v>4930</v>
      </c>
      <c r="K135" s="45" t="s">
        <v>5097</v>
      </c>
      <c r="L135" s="45" t="s">
        <v>1122</v>
      </c>
      <c r="M135" s="45"/>
      <c r="N135" s="45"/>
      <c r="O135" s="45" t="s">
        <v>1123</v>
      </c>
      <c r="P135" s="46" t="str">
        <f>HYPERLINK("https://cofre.sieg.com/ajax/danfe.aspx?nfe=26230104269297000146550010000263451773514918","Ver Danfe")</f>
        <v>Ver Danfe</v>
      </c>
      <c r="Q135" s="46" t="str">
        <f>HYPERLINK("https://cofre.sieg.com/ajax/xml.aspx?nfe=26230104269297000146550010000263451773514918","Baixar Xml")</f>
        <v>Baixar Xml</v>
      </c>
    </row>
    <row r="136" spans="1:17" x14ac:dyDescent="0.75">
      <c r="A136" s="5">
        <v>26373</v>
      </c>
      <c r="B136" s="55">
        <v>390</v>
      </c>
      <c r="C136" s="5" t="s">
        <v>4938</v>
      </c>
      <c r="D136" s="45" t="s">
        <v>1208</v>
      </c>
      <c r="E136" s="45" t="s">
        <v>1209</v>
      </c>
      <c r="F136" s="45" t="s">
        <v>1210</v>
      </c>
      <c r="G136" s="45" t="s">
        <v>1120</v>
      </c>
      <c r="H136" s="45" t="s">
        <v>1211</v>
      </c>
      <c r="I136" s="45" t="s">
        <v>1211</v>
      </c>
      <c r="J136" s="45" t="s">
        <v>4938</v>
      </c>
      <c r="K136" s="45" t="s">
        <v>5098</v>
      </c>
      <c r="L136" s="45" t="s">
        <v>1122</v>
      </c>
      <c r="M136" s="45"/>
      <c r="N136" s="45"/>
      <c r="O136" s="45" t="s">
        <v>1123</v>
      </c>
      <c r="P136" s="46" t="str">
        <f>HYPERLINK("https://cofre.sieg.com/ajax/danfe.aspx?nfe=26230104269297000146550010000263731282142217","Ver Danfe")</f>
        <v>Ver Danfe</v>
      </c>
      <c r="Q136" s="46" t="str">
        <f>HYPERLINK("https://cofre.sieg.com/ajax/xml.aspx?nfe=26230104269297000146550010000263731282142217","Baixar Xml")</f>
        <v>Baixar Xml</v>
      </c>
    </row>
    <row r="137" spans="1:17" x14ac:dyDescent="0.75">
      <c r="A137" s="5">
        <v>167938</v>
      </c>
      <c r="B137" s="55">
        <v>213</v>
      </c>
      <c r="C137" s="5" t="s">
        <v>4825</v>
      </c>
      <c r="D137" s="45" t="s">
        <v>1151</v>
      </c>
      <c r="E137" s="45" t="s">
        <v>1152</v>
      </c>
      <c r="F137" s="45" t="s">
        <v>304</v>
      </c>
      <c r="G137" s="45" t="s">
        <v>1120</v>
      </c>
      <c r="H137" s="45" t="s">
        <v>1153</v>
      </c>
      <c r="I137" s="45" t="s">
        <v>1153</v>
      </c>
      <c r="J137" s="45" t="s">
        <v>4825</v>
      </c>
      <c r="K137" s="45" t="s">
        <v>5099</v>
      </c>
      <c r="L137" s="45" t="s">
        <v>1122</v>
      </c>
      <c r="M137" s="45" t="s">
        <v>1311</v>
      </c>
      <c r="N137" s="45" t="s">
        <v>1312</v>
      </c>
      <c r="O137" s="45" t="s">
        <v>1123</v>
      </c>
      <c r="P137" s="46" t="str">
        <f>HYPERLINK("https://cofre.sieg.com/ajax/danfe.aspx?nfe=26230104940750001176550010001679381774952323","Ver Danfe")</f>
        <v>Ver Danfe</v>
      </c>
      <c r="Q137" s="46" t="str">
        <f>HYPERLINK("https://cofre.sieg.com/ajax/xml.aspx?nfe=26230104940750001176550010001679381774952323","Baixar Xml")</f>
        <v>Baixar Xml</v>
      </c>
    </row>
    <row r="138" spans="1:17" x14ac:dyDescent="0.75">
      <c r="A138" s="5">
        <v>168024</v>
      </c>
      <c r="B138" s="55">
        <v>991</v>
      </c>
      <c r="C138" s="5" t="s">
        <v>4826</v>
      </c>
      <c r="D138" s="45" t="s">
        <v>1151</v>
      </c>
      <c r="E138" s="45" t="s">
        <v>1152</v>
      </c>
      <c r="F138" s="45" t="s">
        <v>304</v>
      </c>
      <c r="G138" s="45" t="s">
        <v>1120</v>
      </c>
      <c r="H138" s="45" t="s">
        <v>1153</v>
      </c>
      <c r="I138" s="45" t="s">
        <v>1153</v>
      </c>
      <c r="J138" s="45" t="s">
        <v>4826</v>
      </c>
      <c r="K138" s="45" t="s">
        <v>5100</v>
      </c>
      <c r="L138" s="45" t="s">
        <v>1122</v>
      </c>
      <c r="M138" s="45" t="s">
        <v>1311</v>
      </c>
      <c r="N138" s="45" t="s">
        <v>1312</v>
      </c>
      <c r="O138" s="45" t="s">
        <v>1123</v>
      </c>
      <c r="P138" s="46" t="str">
        <f>HYPERLINK("https://cofre.sieg.com/ajax/danfe.aspx?nfe=26230104940750001176550010001680241439042841","Ver Danfe")</f>
        <v>Ver Danfe</v>
      </c>
      <c r="Q138" s="46" t="str">
        <f>HYPERLINK("https://cofre.sieg.com/ajax/xml.aspx?nfe=26230104940750001176550010001680241439042841","Baixar Xml")</f>
        <v>Baixar Xml</v>
      </c>
    </row>
    <row r="139" spans="1:17" x14ac:dyDescent="0.75">
      <c r="A139" s="5">
        <v>168174</v>
      </c>
      <c r="B139" s="55">
        <v>644</v>
      </c>
      <c r="C139" s="5" t="s">
        <v>4839</v>
      </c>
      <c r="D139" s="45" t="s">
        <v>1151</v>
      </c>
      <c r="E139" s="45" t="s">
        <v>1152</v>
      </c>
      <c r="F139" s="45" t="s">
        <v>304</v>
      </c>
      <c r="G139" s="45" t="s">
        <v>1120</v>
      </c>
      <c r="H139" s="45" t="s">
        <v>1153</v>
      </c>
      <c r="I139" s="45" t="s">
        <v>1153</v>
      </c>
      <c r="J139" s="45" t="s">
        <v>4839</v>
      </c>
      <c r="K139" s="45" t="s">
        <v>5101</v>
      </c>
      <c r="L139" s="45" t="s">
        <v>1122</v>
      </c>
      <c r="M139" s="45"/>
      <c r="N139" s="45"/>
      <c r="O139" s="45" t="s">
        <v>1123</v>
      </c>
      <c r="P139" s="46" t="str">
        <f>HYPERLINK("https://cofre.sieg.com/ajax/danfe.aspx?nfe=26230104940750001176550010001681741537656213","Ver Danfe")</f>
        <v>Ver Danfe</v>
      </c>
      <c r="Q139" s="46" t="str">
        <f>HYPERLINK("https://cofre.sieg.com/ajax/xml.aspx?nfe=26230104940750001176550010001681741537656213","Baixar Xml")</f>
        <v>Baixar Xml</v>
      </c>
    </row>
    <row r="140" spans="1:17" x14ac:dyDescent="0.75">
      <c r="A140" s="5">
        <v>168225</v>
      </c>
      <c r="B140" s="55">
        <v>378</v>
      </c>
      <c r="C140" s="5" t="s">
        <v>4844</v>
      </c>
      <c r="D140" s="45" t="s">
        <v>1151</v>
      </c>
      <c r="E140" s="45" t="s">
        <v>1152</v>
      </c>
      <c r="F140" s="45" t="s">
        <v>304</v>
      </c>
      <c r="G140" s="45" t="s">
        <v>1120</v>
      </c>
      <c r="H140" s="45" t="s">
        <v>1153</v>
      </c>
      <c r="I140" s="45" t="s">
        <v>1153</v>
      </c>
      <c r="J140" s="45" t="s">
        <v>4844</v>
      </c>
      <c r="K140" s="45" t="s">
        <v>5102</v>
      </c>
      <c r="L140" s="45" t="s">
        <v>1122</v>
      </c>
      <c r="M140" s="45"/>
      <c r="N140" s="45"/>
      <c r="O140" s="45" t="s">
        <v>1123</v>
      </c>
      <c r="P140" s="46" t="str">
        <f>HYPERLINK("https://cofre.sieg.com/ajax/danfe.aspx?nfe=26230104940750001176550010001682251795515206","Ver Danfe")</f>
        <v>Ver Danfe</v>
      </c>
      <c r="Q140" s="46" t="str">
        <f>HYPERLINK("https://cofre.sieg.com/ajax/xml.aspx?nfe=26230104940750001176550010001682251795515206","Baixar Xml")</f>
        <v>Baixar Xml</v>
      </c>
    </row>
    <row r="141" spans="1:17" x14ac:dyDescent="0.75">
      <c r="A141" s="5">
        <v>168263</v>
      </c>
      <c r="B141" s="55">
        <v>150</v>
      </c>
      <c r="C141" s="5" t="s">
        <v>4846</v>
      </c>
      <c r="D141" s="45" t="s">
        <v>1151</v>
      </c>
      <c r="E141" s="45" t="s">
        <v>1152</v>
      </c>
      <c r="F141" s="45" t="s">
        <v>304</v>
      </c>
      <c r="G141" s="45" t="s">
        <v>1120</v>
      </c>
      <c r="H141" s="45" t="s">
        <v>1153</v>
      </c>
      <c r="I141" s="45" t="s">
        <v>1153</v>
      </c>
      <c r="J141" s="45" t="s">
        <v>4846</v>
      </c>
      <c r="K141" s="45" t="s">
        <v>5103</v>
      </c>
      <c r="L141" s="45" t="s">
        <v>1122</v>
      </c>
      <c r="M141" s="45" t="s">
        <v>1311</v>
      </c>
      <c r="N141" s="45" t="s">
        <v>1312</v>
      </c>
      <c r="O141" s="45" t="s">
        <v>1123</v>
      </c>
      <c r="P141" s="46" t="str">
        <f>HYPERLINK("https://cofre.sieg.com/ajax/danfe.aspx?nfe=26230104940750001176550010001682631406504942","Ver Danfe")</f>
        <v>Ver Danfe</v>
      </c>
      <c r="Q141" s="46" t="str">
        <f>HYPERLINK("https://cofre.sieg.com/ajax/xml.aspx?nfe=26230104940750001176550010001682631406504942","Baixar Xml")</f>
        <v>Baixar Xml</v>
      </c>
    </row>
    <row r="142" spans="1:17" x14ac:dyDescent="0.75">
      <c r="A142" s="5">
        <v>168376</v>
      </c>
      <c r="B142" s="55">
        <v>611</v>
      </c>
      <c r="C142" s="5" t="s">
        <v>4861</v>
      </c>
      <c r="D142" s="45" t="s">
        <v>1151</v>
      </c>
      <c r="E142" s="45" t="s">
        <v>1152</v>
      </c>
      <c r="F142" s="45" t="s">
        <v>304</v>
      </c>
      <c r="G142" s="45" t="s">
        <v>1120</v>
      </c>
      <c r="H142" s="45" t="s">
        <v>1153</v>
      </c>
      <c r="I142" s="45" t="s">
        <v>1153</v>
      </c>
      <c r="J142" s="45" t="s">
        <v>4861</v>
      </c>
      <c r="K142" s="45" t="s">
        <v>5104</v>
      </c>
      <c r="L142" s="45" t="s">
        <v>1122</v>
      </c>
      <c r="M142" s="45"/>
      <c r="N142" s="45"/>
      <c r="O142" s="45" t="s">
        <v>1123</v>
      </c>
      <c r="P142" s="46" t="str">
        <f>HYPERLINK("https://cofre.sieg.com/ajax/danfe.aspx?nfe=26230104940750001176550010001683761084167912","Ver Danfe")</f>
        <v>Ver Danfe</v>
      </c>
      <c r="Q142" s="46" t="str">
        <f>HYPERLINK("https://cofre.sieg.com/ajax/xml.aspx?nfe=26230104940750001176550010001683761084167912","Baixar Xml")</f>
        <v>Baixar Xml</v>
      </c>
    </row>
    <row r="143" spans="1:17" x14ac:dyDescent="0.75">
      <c r="A143" s="5">
        <v>168410</v>
      </c>
      <c r="B143" s="55">
        <v>130</v>
      </c>
      <c r="C143" s="5" t="s">
        <v>4861</v>
      </c>
      <c r="D143" s="45" t="s">
        <v>1151</v>
      </c>
      <c r="E143" s="45" t="s">
        <v>1152</v>
      </c>
      <c r="F143" s="45" t="s">
        <v>304</v>
      </c>
      <c r="G143" s="45" t="s">
        <v>1120</v>
      </c>
      <c r="H143" s="45" t="s">
        <v>1153</v>
      </c>
      <c r="I143" s="45" t="s">
        <v>1153</v>
      </c>
      <c r="J143" s="45" t="s">
        <v>4862</v>
      </c>
      <c r="K143" s="45" t="s">
        <v>5105</v>
      </c>
      <c r="L143" s="45" t="s">
        <v>1122</v>
      </c>
      <c r="M143" s="45" t="s">
        <v>1311</v>
      </c>
      <c r="N143" s="45" t="s">
        <v>1312</v>
      </c>
      <c r="O143" s="45" t="s">
        <v>1123</v>
      </c>
      <c r="P143" s="46" t="str">
        <f>HYPERLINK("https://cofre.sieg.com/ajax/danfe.aspx?nfe=26230104940750001176550010001684101127173670","Ver Danfe")</f>
        <v>Ver Danfe</v>
      </c>
      <c r="Q143" s="46" t="str">
        <f>HYPERLINK("https://cofre.sieg.com/ajax/xml.aspx?nfe=26230104940750001176550010001684101127173670","Baixar Xml")</f>
        <v>Baixar Xml</v>
      </c>
    </row>
    <row r="144" spans="1:17" x14ac:dyDescent="0.75">
      <c r="A144" s="5">
        <v>168624</v>
      </c>
      <c r="B144" s="55">
        <v>215</v>
      </c>
      <c r="C144" s="5" t="s">
        <v>4877</v>
      </c>
      <c r="D144" s="45" t="s">
        <v>1151</v>
      </c>
      <c r="E144" s="45" t="s">
        <v>1152</v>
      </c>
      <c r="F144" s="45" t="s">
        <v>304</v>
      </c>
      <c r="G144" s="45" t="s">
        <v>1120</v>
      </c>
      <c r="H144" s="45" t="s">
        <v>1153</v>
      </c>
      <c r="I144" s="45" t="s">
        <v>1153</v>
      </c>
      <c r="J144" s="45" t="s">
        <v>4877</v>
      </c>
      <c r="K144" s="45" t="s">
        <v>5106</v>
      </c>
      <c r="L144" s="45" t="s">
        <v>1122</v>
      </c>
      <c r="M144" s="45" t="s">
        <v>1311</v>
      </c>
      <c r="N144" s="45" t="s">
        <v>1312</v>
      </c>
      <c r="O144" s="45" t="s">
        <v>1123</v>
      </c>
      <c r="P144" s="46" t="str">
        <f>HYPERLINK("https://cofre.sieg.com/ajax/danfe.aspx?nfe=26230104940750001176550010001686241384920438","Ver Danfe")</f>
        <v>Ver Danfe</v>
      </c>
      <c r="Q144" s="46" t="str">
        <f>HYPERLINK("https://cofre.sieg.com/ajax/xml.aspx?nfe=26230104940750001176550010001686241384920438","Baixar Xml")</f>
        <v>Baixar Xml</v>
      </c>
    </row>
    <row r="145" spans="1:17" x14ac:dyDescent="0.75">
      <c r="A145" s="5">
        <v>168662</v>
      </c>
      <c r="B145" s="55">
        <v>245</v>
      </c>
      <c r="C145" s="5" t="s">
        <v>4883</v>
      </c>
      <c r="D145" s="45" t="s">
        <v>1151</v>
      </c>
      <c r="E145" s="45" t="s">
        <v>1152</v>
      </c>
      <c r="F145" s="45" t="s">
        <v>304</v>
      </c>
      <c r="G145" s="45" t="s">
        <v>1120</v>
      </c>
      <c r="H145" s="45" t="s">
        <v>1153</v>
      </c>
      <c r="I145" s="45" t="s">
        <v>1153</v>
      </c>
      <c r="J145" s="45" t="s">
        <v>4883</v>
      </c>
      <c r="K145" s="45" t="s">
        <v>5107</v>
      </c>
      <c r="L145" s="45" t="s">
        <v>1122</v>
      </c>
      <c r="M145" s="45"/>
      <c r="N145" s="45"/>
      <c r="O145" s="45" t="s">
        <v>1123</v>
      </c>
      <c r="P145" s="46" t="str">
        <f>HYPERLINK("https://cofre.sieg.com/ajax/danfe.aspx?nfe=26230104940750001176550010001686621743259298","Ver Danfe")</f>
        <v>Ver Danfe</v>
      </c>
      <c r="Q145" s="46" t="str">
        <f>HYPERLINK("https://cofre.sieg.com/ajax/xml.aspx?nfe=26230104940750001176550010001686621743259298","Baixar Xml")</f>
        <v>Baixar Xml</v>
      </c>
    </row>
    <row r="146" spans="1:17" x14ac:dyDescent="0.75">
      <c r="A146" s="5">
        <v>168712</v>
      </c>
      <c r="B146" s="55">
        <v>185</v>
      </c>
      <c r="C146" s="5" t="s">
        <v>4884</v>
      </c>
      <c r="D146" s="45" t="s">
        <v>1151</v>
      </c>
      <c r="E146" s="45" t="s">
        <v>1152</v>
      </c>
      <c r="F146" s="45" t="s">
        <v>304</v>
      </c>
      <c r="G146" s="45" t="s">
        <v>1120</v>
      </c>
      <c r="H146" s="45" t="s">
        <v>1153</v>
      </c>
      <c r="I146" s="45" t="s">
        <v>1153</v>
      </c>
      <c r="J146" s="45" t="s">
        <v>4884</v>
      </c>
      <c r="K146" s="45" t="s">
        <v>5108</v>
      </c>
      <c r="L146" s="45" t="s">
        <v>1122</v>
      </c>
      <c r="M146" s="45" t="s">
        <v>1311</v>
      </c>
      <c r="N146" s="45" t="s">
        <v>1312</v>
      </c>
      <c r="O146" s="45" t="s">
        <v>1123</v>
      </c>
      <c r="P146" s="46" t="str">
        <f>HYPERLINK("https://cofre.sieg.com/ajax/danfe.aspx?nfe=26230104940750001176550010001687121743002363","Ver Danfe")</f>
        <v>Ver Danfe</v>
      </c>
      <c r="Q146" s="46" t="str">
        <f>HYPERLINK("https://cofre.sieg.com/ajax/xml.aspx?nfe=26230104940750001176550010001687121743002363","Baixar Xml")</f>
        <v>Baixar Xml</v>
      </c>
    </row>
    <row r="147" spans="1:17" x14ac:dyDescent="0.75">
      <c r="A147" s="5">
        <v>168857</v>
      </c>
      <c r="B147" s="55">
        <v>180</v>
      </c>
      <c r="C147" s="5" t="s">
        <v>4891</v>
      </c>
      <c r="D147" s="45" t="s">
        <v>1151</v>
      </c>
      <c r="E147" s="45" t="s">
        <v>1152</v>
      </c>
      <c r="F147" s="45" t="s">
        <v>304</v>
      </c>
      <c r="G147" s="45" t="s">
        <v>1120</v>
      </c>
      <c r="H147" s="45" t="s">
        <v>1153</v>
      </c>
      <c r="I147" s="45" t="s">
        <v>1153</v>
      </c>
      <c r="J147" s="45" t="s">
        <v>4891</v>
      </c>
      <c r="K147" s="45" t="s">
        <v>5109</v>
      </c>
      <c r="L147" s="45" t="s">
        <v>1122</v>
      </c>
      <c r="M147" s="45" t="s">
        <v>1311</v>
      </c>
      <c r="N147" s="45" t="s">
        <v>1312</v>
      </c>
      <c r="O147" s="45" t="s">
        <v>1123</v>
      </c>
      <c r="P147" s="46" t="str">
        <f>HYPERLINK("https://cofre.sieg.com/ajax/danfe.aspx?nfe=26230104940750001176550010001688571392904960","Ver Danfe")</f>
        <v>Ver Danfe</v>
      </c>
      <c r="Q147" s="46" t="str">
        <f>HYPERLINK("https://cofre.sieg.com/ajax/xml.aspx?nfe=26230104940750001176550010001688571392904960","Baixar Xml")</f>
        <v>Baixar Xml</v>
      </c>
    </row>
    <row r="148" spans="1:17" x14ac:dyDescent="0.75">
      <c r="A148" s="5">
        <v>169036</v>
      </c>
      <c r="B148" s="55">
        <v>240</v>
      </c>
      <c r="C148" s="5" t="s">
        <v>4907</v>
      </c>
      <c r="D148" s="45" t="s">
        <v>1151</v>
      </c>
      <c r="E148" s="45" t="s">
        <v>1152</v>
      </c>
      <c r="F148" s="45" t="s">
        <v>304</v>
      </c>
      <c r="G148" s="45" t="s">
        <v>1120</v>
      </c>
      <c r="H148" s="45" t="s">
        <v>1153</v>
      </c>
      <c r="I148" s="45" t="s">
        <v>1153</v>
      </c>
      <c r="J148" s="45" t="s">
        <v>4907</v>
      </c>
      <c r="K148" s="45" t="s">
        <v>5110</v>
      </c>
      <c r="L148" s="45" t="s">
        <v>1122</v>
      </c>
      <c r="M148" s="45" t="s">
        <v>1311</v>
      </c>
      <c r="N148" s="45" t="s">
        <v>1312</v>
      </c>
      <c r="O148" s="45" t="s">
        <v>1123</v>
      </c>
      <c r="P148" s="46" t="str">
        <f>HYPERLINK("https://cofre.sieg.com/ajax/danfe.aspx?nfe=26230104940750001176550010001690361959571810","Ver Danfe")</f>
        <v>Ver Danfe</v>
      </c>
      <c r="Q148" s="46" t="str">
        <f>HYPERLINK("https://cofre.sieg.com/ajax/xml.aspx?nfe=26230104940750001176550010001690361959571810","Baixar Xml")</f>
        <v>Baixar Xml</v>
      </c>
    </row>
    <row r="149" spans="1:17" x14ac:dyDescent="0.75">
      <c r="A149" s="5">
        <v>169113</v>
      </c>
      <c r="B149" s="55">
        <v>334</v>
      </c>
      <c r="C149" s="5" t="s">
        <v>4908</v>
      </c>
      <c r="D149" s="45" t="s">
        <v>1151</v>
      </c>
      <c r="E149" s="45" t="s">
        <v>1152</v>
      </c>
      <c r="F149" s="45" t="s">
        <v>304</v>
      </c>
      <c r="G149" s="45" t="s">
        <v>1120</v>
      </c>
      <c r="H149" s="45" t="s">
        <v>1153</v>
      </c>
      <c r="I149" s="45" t="s">
        <v>1153</v>
      </c>
      <c r="J149" s="45" t="s">
        <v>4908</v>
      </c>
      <c r="K149" s="45" t="s">
        <v>5111</v>
      </c>
      <c r="L149" s="45" t="s">
        <v>1122</v>
      </c>
      <c r="M149" s="45" t="s">
        <v>1311</v>
      </c>
      <c r="N149" s="45" t="s">
        <v>1312</v>
      </c>
      <c r="O149" s="45" t="s">
        <v>1123</v>
      </c>
      <c r="P149" s="46" t="str">
        <f>HYPERLINK("https://cofre.sieg.com/ajax/danfe.aspx?nfe=26230104940750001176550010001691131773092599","Ver Danfe")</f>
        <v>Ver Danfe</v>
      </c>
      <c r="Q149" s="46" t="str">
        <f>HYPERLINK("https://cofre.sieg.com/ajax/xml.aspx?nfe=26230104940750001176550010001691131773092599","Baixar Xml")</f>
        <v>Baixar Xml</v>
      </c>
    </row>
    <row r="150" spans="1:17" x14ac:dyDescent="0.75">
      <c r="A150" s="5">
        <v>169304</v>
      </c>
      <c r="B150" s="55">
        <v>485</v>
      </c>
      <c r="C150" s="5" t="s">
        <v>4919</v>
      </c>
      <c r="D150" s="45" t="s">
        <v>1151</v>
      </c>
      <c r="E150" s="45" t="s">
        <v>1152</v>
      </c>
      <c r="F150" s="45" t="s">
        <v>304</v>
      </c>
      <c r="G150" s="45" t="s">
        <v>1120</v>
      </c>
      <c r="H150" s="45" t="s">
        <v>1153</v>
      </c>
      <c r="I150" s="45" t="s">
        <v>1153</v>
      </c>
      <c r="J150" s="45" t="s">
        <v>4919</v>
      </c>
      <c r="K150" s="45" t="s">
        <v>5112</v>
      </c>
      <c r="L150" s="45" t="s">
        <v>1122</v>
      </c>
      <c r="M150" s="45" t="s">
        <v>1314</v>
      </c>
      <c r="N150" s="45" t="s">
        <v>1315</v>
      </c>
      <c r="O150" s="45" t="s">
        <v>1150</v>
      </c>
      <c r="P150" s="46" t="str">
        <f>HYPERLINK("https://cofre.sieg.com/ajax/danfe.aspx?nfe=26230104940750001176550010001693041399097541","Ver Danfe")</f>
        <v>Ver Danfe</v>
      </c>
      <c r="Q150" s="46" t="str">
        <f>HYPERLINK("https://cofre.sieg.com/ajax/xml.aspx?nfe=26230104940750001176550010001693041399097541","Baixar Xml")</f>
        <v>Baixar Xml</v>
      </c>
    </row>
    <row r="151" spans="1:17" x14ac:dyDescent="0.75">
      <c r="A151" s="5">
        <v>169383</v>
      </c>
      <c r="B151" s="55">
        <v>635</v>
      </c>
      <c r="C151" s="5" t="s">
        <v>4919</v>
      </c>
      <c r="D151" s="45" t="s">
        <v>1151</v>
      </c>
      <c r="E151" s="45" t="s">
        <v>1152</v>
      </c>
      <c r="F151" s="45" t="s">
        <v>304</v>
      </c>
      <c r="G151" s="45" t="s">
        <v>1120</v>
      </c>
      <c r="H151" s="45" t="s">
        <v>1153</v>
      </c>
      <c r="I151" s="45" t="s">
        <v>1153</v>
      </c>
      <c r="J151" s="45" t="s">
        <v>4919</v>
      </c>
      <c r="K151" s="45" t="s">
        <v>5113</v>
      </c>
      <c r="L151" s="45" t="s">
        <v>1122</v>
      </c>
      <c r="M151" s="45" t="s">
        <v>1311</v>
      </c>
      <c r="N151" s="45" t="s">
        <v>1312</v>
      </c>
      <c r="O151" s="45" t="s">
        <v>1123</v>
      </c>
      <c r="P151" s="46" t="str">
        <f>HYPERLINK("https://cofre.sieg.com/ajax/danfe.aspx?nfe=26230104940750001176550010001693831023105479","Ver Danfe")</f>
        <v>Ver Danfe</v>
      </c>
      <c r="Q151" s="46" t="str">
        <f>HYPERLINK("https://cofre.sieg.com/ajax/xml.aspx?nfe=26230104940750001176550010001693831023105479","Baixar Xml")</f>
        <v>Baixar Xml</v>
      </c>
    </row>
    <row r="152" spans="1:17" x14ac:dyDescent="0.75">
      <c r="A152" s="5">
        <v>169513</v>
      </c>
      <c r="B152" s="55">
        <v>210</v>
      </c>
      <c r="C152" s="5" t="s">
        <v>4930</v>
      </c>
      <c r="D152" s="45" t="s">
        <v>1151</v>
      </c>
      <c r="E152" s="45" t="s">
        <v>1152</v>
      </c>
      <c r="F152" s="45" t="s">
        <v>304</v>
      </c>
      <c r="G152" s="45" t="s">
        <v>1120</v>
      </c>
      <c r="H152" s="45" t="s">
        <v>1153</v>
      </c>
      <c r="I152" s="45" t="s">
        <v>1153</v>
      </c>
      <c r="J152" s="45" t="s">
        <v>4930</v>
      </c>
      <c r="K152" s="45" t="s">
        <v>5114</v>
      </c>
      <c r="L152" s="45" t="s">
        <v>1122</v>
      </c>
      <c r="M152" s="45" t="s">
        <v>1311</v>
      </c>
      <c r="N152" s="45" t="s">
        <v>1312</v>
      </c>
      <c r="O152" s="45" t="s">
        <v>1123</v>
      </c>
      <c r="P152" s="46" t="str">
        <f>HYPERLINK("https://cofre.sieg.com/ajax/danfe.aspx?nfe=26230104940750001176550010001695131533609149","Ver Danfe")</f>
        <v>Ver Danfe</v>
      </c>
      <c r="Q152" s="46" t="str">
        <f>HYPERLINK("https://cofre.sieg.com/ajax/xml.aspx?nfe=26230104940750001176550010001695131533609149","Baixar Xml")</f>
        <v>Baixar Xml</v>
      </c>
    </row>
    <row r="153" spans="1:17" x14ac:dyDescent="0.75">
      <c r="A153" s="5">
        <v>169544</v>
      </c>
      <c r="B153" s="55">
        <v>90</v>
      </c>
      <c r="C153" s="5" t="s">
        <v>4937</v>
      </c>
      <c r="D153" s="45" t="s">
        <v>1151</v>
      </c>
      <c r="E153" s="45" t="s">
        <v>1152</v>
      </c>
      <c r="F153" s="45" t="s">
        <v>304</v>
      </c>
      <c r="G153" s="45" t="s">
        <v>1120</v>
      </c>
      <c r="H153" s="45" t="s">
        <v>1153</v>
      </c>
      <c r="I153" s="45" t="s">
        <v>1153</v>
      </c>
      <c r="J153" s="45" t="s">
        <v>4937</v>
      </c>
      <c r="K153" s="45" t="s">
        <v>5115</v>
      </c>
      <c r="L153" s="45" t="s">
        <v>1122</v>
      </c>
      <c r="M153" s="45"/>
      <c r="N153" s="45"/>
      <c r="O153" s="45" t="s">
        <v>1123</v>
      </c>
      <c r="P153" s="46" t="str">
        <f>HYPERLINK("https://cofre.sieg.com/ajax/danfe.aspx?nfe=26230104940750001176550010001695441913790984","Ver Danfe")</f>
        <v>Ver Danfe</v>
      </c>
      <c r="Q153" s="46" t="str">
        <f>HYPERLINK("https://cofre.sieg.com/ajax/xml.aspx?nfe=26230104940750001176550010001695441913790984","Baixar Xml")</f>
        <v>Baixar Xml</v>
      </c>
    </row>
    <row r="154" spans="1:17" x14ac:dyDescent="0.75">
      <c r="A154" s="5">
        <v>169627</v>
      </c>
      <c r="B154" s="55">
        <v>450</v>
      </c>
      <c r="C154" s="5" t="s">
        <v>4938</v>
      </c>
      <c r="D154" s="45" t="s">
        <v>1151</v>
      </c>
      <c r="E154" s="45" t="s">
        <v>1152</v>
      </c>
      <c r="F154" s="45" t="s">
        <v>304</v>
      </c>
      <c r="G154" s="45" t="s">
        <v>1120</v>
      </c>
      <c r="H154" s="45" t="s">
        <v>1153</v>
      </c>
      <c r="I154" s="45" t="s">
        <v>1153</v>
      </c>
      <c r="J154" s="45" t="s">
        <v>4938</v>
      </c>
      <c r="K154" s="45" t="s">
        <v>5116</v>
      </c>
      <c r="L154" s="45" t="s">
        <v>1122</v>
      </c>
      <c r="M154" s="45" t="s">
        <v>1311</v>
      </c>
      <c r="N154" s="45" t="s">
        <v>1312</v>
      </c>
      <c r="O154" s="45" t="s">
        <v>1123</v>
      </c>
      <c r="P154" s="46" t="str">
        <f>HYPERLINK("https://cofre.sieg.com/ajax/danfe.aspx?nfe=26230104940750001176550010001696271925714549","Ver Danfe")</f>
        <v>Ver Danfe</v>
      </c>
      <c r="Q154" s="46" t="str">
        <f>HYPERLINK("https://cofre.sieg.com/ajax/xml.aspx?nfe=26230104940750001176550010001696271925714549","Baixar Xml")</f>
        <v>Baixar Xml</v>
      </c>
    </row>
    <row r="155" spans="1:17" x14ac:dyDescent="0.75">
      <c r="A155" s="5">
        <v>1481</v>
      </c>
      <c r="B155" s="55">
        <v>1280</v>
      </c>
      <c r="C155" s="5" t="s">
        <v>4826</v>
      </c>
      <c r="D155" s="45" t="s">
        <v>1212</v>
      </c>
      <c r="E155" s="45" t="s">
        <v>1213</v>
      </c>
      <c r="F155" s="45" t="s">
        <v>1214</v>
      </c>
      <c r="G155" s="45" t="s">
        <v>1120</v>
      </c>
      <c r="H155" s="45" t="s">
        <v>1121</v>
      </c>
      <c r="I155" s="45" t="s">
        <v>1121</v>
      </c>
      <c r="J155" s="45" t="s">
        <v>4834</v>
      </c>
      <c r="K155" s="45" t="s">
        <v>5117</v>
      </c>
      <c r="L155" s="45" t="s">
        <v>1122</v>
      </c>
      <c r="M155" s="45" t="s">
        <v>1148</v>
      </c>
      <c r="N155" s="45" t="s">
        <v>1149</v>
      </c>
      <c r="O155" s="45" t="s">
        <v>1150</v>
      </c>
      <c r="P155" s="46" t="str">
        <f>HYPERLINK("https://cofre.sieg.com/ajax/danfe.aspx?nfe=26230107844788001729550550000014811202003167","Ver Danfe")</f>
        <v>Ver Danfe</v>
      </c>
      <c r="Q155" s="46" t="str">
        <f>HYPERLINK("https://cofre.sieg.com/ajax/xml.aspx?nfe=26230107844788001729550550000014811202003167","Baixar Xml")</f>
        <v>Baixar Xml</v>
      </c>
    </row>
    <row r="156" spans="1:17" x14ac:dyDescent="0.75">
      <c r="A156" s="5">
        <v>1483</v>
      </c>
      <c r="B156" s="55">
        <v>880</v>
      </c>
      <c r="C156" s="5" t="s">
        <v>4839</v>
      </c>
      <c r="D156" s="45" t="s">
        <v>1212</v>
      </c>
      <c r="E156" s="45" t="s">
        <v>1213</v>
      </c>
      <c r="F156" s="45" t="s">
        <v>1214</v>
      </c>
      <c r="G156" s="45" t="s">
        <v>1120</v>
      </c>
      <c r="H156" s="45" t="s">
        <v>1121</v>
      </c>
      <c r="I156" s="45" t="s">
        <v>1121</v>
      </c>
      <c r="J156" s="45" t="s">
        <v>4839</v>
      </c>
      <c r="K156" s="45" t="s">
        <v>5118</v>
      </c>
      <c r="L156" s="45" t="s">
        <v>1122</v>
      </c>
      <c r="M156" s="45" t="s">
        <v>1311</v>
      </c>
      <c r="N156" s="45" t="s">
        <v>1312</v>
      </c>
      <c r="O156" s="45" t="s">
        <v>1123</v>
      </c>
      <c r="P156" s="46" t="str">
        <f>HYPERLINK("https://cofre.sieg.com/ajax/danfe.aspx?nfe=26230107844788001729550550000014831041405344","Ver Danfe")</f>
        <v>Ver Danfe</v>
      </c>
      <c r="Q156" s="46" t="str">
        <f>HYPERLINK("https://cofre.sieg.com/ajax/xml.aspx?nfe=26230107844788001729550550000014831041405344","Baixar Xml")</f>
        <v>Baixar Xml</v>
      </c>
    </row>
    <row r="157" spans="1:17" x14ac:dyDescent="0.75">
      <c r="A157" s="5">
        <v>1797</v>
      </c>
      <c r="B157" s="55">
        <v>72</v>
      </c>
      <c r="C157" s="5" t="s">
        <v>4908</v>
      </c>
      <c r="D157" s="45" t="s">
        <v>5119</v>
      </c>
      <c r="E157" s="45" t="s">
        <v>5120</v>
      </c>
      <c r="F157" s="45" t="s">
        <v>5121</v>
      </c>
      <c r="G157" s="45" t="s">
        <v>1120</v>
      </c>
      <c r="H157" s="45" t="s">
        <v>1133</v>
      </c>
      <c r="I157" s="45" t="s">
        <v>1133</v>
      </c>
      <c r="J157" s="45" t="s">
        <v>4908</v>
      </c>
      <c r="K157" s="45" t="s">
        <v>5122</v>
      </c>
      <c r="L157" s="45" t="s">
        <v>1122</v>
      </c>
      <c r="M157" s="45" t="s">
        <v>1311</v>
      </c>
      <c r="N157" s="45" t="s">
        <v>1312</v>
      </c>
      <c r="O157" s="45" t="s">
        <v>1123</v>
      </c>
      <c r="P157" s="46" t="str">
        <f>HYPERLINK("https://cofre.sieg.com/ajax/danfe.aspx?nfe=26230108035528000108550030000017971587166979","Ver Danfe")</f>
        <v>Ver Danfe</v>
      </c>
      <c r="Q157" s="46" t="str">
        <f>HYPERLINK("https://cofre.sieg.com/ajax/xml.aspx?nfe=26230108035528000108550030000017971587166979","Baixar Xml")</f>
        <v>Baixar Xml</v>
      </c>
    </row>
    <row r="158" spans="1:17" x14ac:dyDescent="0.75">
      <c r="A158" s="5">
        <v>12850</v>
      </c>
      <c r="B158" s="55">
        <v>184.9</v>
      </c>
      <c r="C158" s="5" t="s">
        <v>4844</v>
      </c>
      <c r="D158" s="45" t="s">
        <v>5123</v>
      </c>
      <c r="E158" s="45" t="s">
        <v>5124</v>
      </c>
      <c r="F158" s="45" t="s">
        <v>423</v>
      </c>
      <c r="G158" s="45" t="s">
        <v>1120</v>
      </c>
      <c r="H158" s="45" t="s">
        <v>1133</v>
      </c>
      <c r="I158" s="45" t="s">
        <v>1133</v>
      </c>
      <c r="J158" s="45" t="s">
        <v>4844</v>
      </c>
      <c r="K158" s="45" t="s">
        <v>5125</v>
      </c>
      <c r="L158" s="45" t="s">
        <v>1122</v>
      </c>
      <c r="M158" s="45" t="s">
        <v>1311</v>
      </c>
      <c r="N158" s="45" t="s">
        <v>1312</v>
      </c>
      <c r="O158" s="45" t="s">
        <v>1123</v>
      </c>
      <c r="P158" s="46" t="str">
        <f>HYPERLINK("https://cofre.sieg.com/ajax/danfe.aspx?nfe=26230108104986000151550010000128501006719235","Ver Danfe")</f>
        <v>Ver Danfe</v>
      </c>
      <c r="Q158" s="46" t="str">
        <f>HYPERLINK("https://cofre.sieg.com/ajax/xml.aspx?nfe=26230108104986000151550010000128501006719235","Baixar Xml")</f>
        <v>Baixar Xml</v>
      </c>
    </row>
    <row r="159" spans="1:17" x14ac:dyDescent="0.75">
      <c r="A159" s="5">
        <v>181740</v>
      </c>
      <c r="B159" s="55">
        <v>47.6</v>
      </c>
      <c r="C159" s="5" t="s">
        <v>4923</v>
      </c>
      <c r="D159" s="45" t="s">
        <v>1154</v>
      </c>
      <c r="E159" s="45" t="s">
        <v>1155</v>
      </c>
      <c r="F159" s="45" t="s">
        <v>347</v>
      </c>
      <c r="G159" s="45" t="s">
        <v>1120</v>
      </c>
      <c r="H159" s="45" t="s">
        <v>1121</v>
      </c>
      <c r="I159" s="45" t="s">
        <v>1121</v>
      </c>
      <c r="J159" s="45" t="s">
        <v>4923</v>
      </c>
      <c r="K159" s="45" t="s">
        <v>5126</v>
      </c>
      <c r="L159" s="45" t="s">
        <v>1122</v>
      </c>
      <c r="M159" s="45"/>
      <c r="N159" s="45"/>
      <c r="O159" s="45" t="s">
        <v>1123</v>
      </c>
      <c r="P159" s="46" t="str">
        <f>HYPERLINK("https://cofre.sieg.com/ajax/danfe.aspx?nfe=26230109104065000151550010001817401802258914","Ver Danfe")</f>
        <v>Ver Danfe</v>
      </c>
      <c r="Q159" s="46" t="str">
        <f>HYPERLINK("https://cofre.sieg.com/ajax/xml.aspx?nfe=26230109104065000151550010001817401802258914","Baixar Xml")</f>
        <v>Baixar Xml</v>
      </c>
    </row>
    <row r="160" spans="1:17" x14ac:dyDescent="0.75">
      <c r="A160" s="5">
        <v>56153</v>
      </c>
      <c r="B160" s="55">
        <v>14769.12</v>
      </c>
      <c r="C160" s="5" t="s">
        <v>4826</v>
      </c>
      <c r="D160" s="45" t="s">
        <v>1156</v>
      </c>
      <c r="E160" s="45" t="s">
        <v>1157</v>
      </c>
      <c r="F160" s="45" t="s">
        <v>267</v>
      </c>
      <c r="G160" s="45" t="s">
        <v>1120</v>
      </c>
      <c r="H160" s="45" t="s">
        <v>1126</v>
      </c>
      <c r="I160" s="45" t="s">
        <v>1126</v>
      </c>
      <c r="J160" s="45" t="s">
        <v>4826</v>
      </c>
      <c r="K160" s="45" t="s">
        <v>5127</v>
      </c>
      <c r="L160" s="45" t="s">
        <v>1122</v>
      </c>
      <c r="M160" s="45" t="s">
        <v>1311</v>
      </c>
      <c r="N160" s="45" t="s">
        <v>1312</v>
      </c>
      <c r="O160" s="45" t="s">
        <v>1123</v>
      </c>
      <c r="P160" s="46" t="str">
        <f>HYPERLINK("https://cofre.sieg.com/ajax/danfe.aspx?nfe=26230109166344000654550010000561531858523357","Ver Danfe")</f>
        <v>Ver Danfe</v>
      </c>
      <c r="Q160" s="46" t="str">
        <f>HYPERLINK("https://cofre.sieg.com/ajax/xml.aspx?nfe=26230109166344000654550010000561531858523357","Baixar Xml")</f>
        <v>Baixar Xml</v>
      </c>
    </row>
    <row r="161" spans="1:17" x14ac:dyDescent="0.75">
      <c r="A161" s="5">
        <v>56211</v>
      </c>
      <c r="B161" s="55">
        <v>13050.3</v>
      </c>
      <c r="C161" s="5" t="s">
        <v>4861</v>
      </c>
      <c r="D161" s="45" t="s">
        <v>1156</v>
      </c>
      <c r="E161" s="45" t="s">
        <v>1157</v>
      </c>
      <c r="F161" s="45" t="s">
        <v>267</v>
      </c>
      <c r="G161" s="45" t="s">
        <v>1120</v>
      </c>
      <c r="H161" s="45" t="s">
        <v>1126</v>
      </c>
      <c r="I161" s="45" t="s">
        <v>1126</v>
      </c>
      <c r="J161" s="45" t="s">
        <v>4861</v>
      </c>
      <c r="K161" s="45" t="s">
        <v>5128</v>
      </c>
      <c r="L161" s="45" t="s">
        <v>1122</v>
      </c>
      <c r="M161" s="45" t="s">
        <v>1311</v>
      </c>
      <c r="N161" s="45" t="s">
        <v>1312</v>
      </c>
      <c r="O161" s="45" t="s">
        <v>1123</v>
      </c>
      <c r="P161" s="46" t="str">
        <f>HYPERLINK("https://cofre.sieg.com/ajax/danfe.aspx?nfe=26230109166344000654550010000562111159652617","Ver Danfe")</f>
        <v>Ver Danfe</v>
      </c>
      <c r="Q161" s="46" t="str">
        <f>HYPERLINK("https://cofre.sieg.com/ajax/xml.aspx?nfe=26230109166344000654550010000562111159652617","Baixar Xml")</f>
        <v>Baixar Xml</v>
      </c>
    </row>
    <row r="162" spans="1:17" x14ac:dyDescent="0.75">
      <c r="A162" s="5">
        <v>56285</v>
      </c>
      <c r="B162" s="55">
        <v>24891.06</v>
      </c>
      <c r="C162" s="5" t="s">
        <v>4887</v>
      </c>
      <c r="D162" s="45" t="s">
        <v>1156</v>
      </c>
      <c r="E162" s="45" t="s">
        <v>1157</v>
      </c>
      <c r="F162" s="45" t="s">
        <v>267</v>
      </c>
      <c r="G162" s="45" t="s">
        <v>1120</v>
      </c>
      <c r="H162" s="45" t="s">
        <v>1126</v>
      </c>
      <c r="I162" s="45" t="s">
        <v>1126</v>
      </c>
      <c r="J162" s="45" t="s">
        <v>4887</v>
      </c>
      <c r="K162" s="45" t="s">
        <v>5129</v>
      </c>
      <c r="L162" s="45" t="s">
        <v>1122</v>
      </c>
      <c r="M162" s="45" t="s">
        <v>1311</v>
      </c>
      <c r="N162" s="45" t="s">
        <v>1312</v>
      </c>
      <c r="O162" s="45" t="s">
        <v>1123</v>
      </c>
      <c r="P162" s="46" t="str">
        <f>HYPERLINK("https://cofre.sieg.com/ajax/danfe.aspx?nfe=26230109166344000654550010000562851933033306","Ver Danfe")</f>
        <v>Ver Danfe</v>
      </c>
      <c r="Q162" s="46" t="str">
        <f>HYPERLINK("https://cofre.sieg.com/ajax/xml.aspx?nfe=26230109166344000654550010000562851933033306","Baixar Xml")</f>
        <v>Baixar Xml</v>
      </c>
    </row>
    <row r="163" spans="1:17" x14ac:dyDescent="0.75">
      <c r="A163" s="5">
        <v>56341</v>
      </c>
      <c r="B163" s="55">
        <v>19352.64</v>
      </c>
      <c r="C163" s="5" t="s">
        <v>4908</v>
      </c>
      <c r="D163" s="45" t="s">
        <v>1156</v>
      </c>
      <c r="E163" s="45" t="s">
        <v>1157</v>
      </c>
      <c r="F163" s="45" t="s">
        <v>267</v>
      </c>
      <c r="G163" s="45" t="s">
        <v>1120</v>
      </c>
      <c r="H163" s="45" t="s">
        <v>1126</v>
      </c>
      <c r="I163" s="45" t="s">
        <v>1126</v>
      </c>
      <c r="J163" s="45" t="s">
        <v>4908</v>
      </c>
      <c r="K163" s="45" t="s">
        <v>5130</v>
      </c>
      <c r="L163" s="45" t="s">
        <v>1122</v>
      </c>
      <c r="M163" s="45" t="s">
        <v>1311</v>
      </c>
      <c r="N163" s="45" t="s">
        <v>1312</v>
      </c>
      <c r="O163" s="45" t="s">
        <v>1123</v>
      </c>
      <c r="P163" s="46" t="str">
        <f>HYPERLINK("https://cofre.sieg.com/ajax/danfe.aspx?nfe=26230109166344000654550010000563411067231393","Ver Danfe")</f>
        <v>Ver Danfe</v>
      </c>
      <c r="Q163" s="46" t="str">
        <f>HYPERLINK("https://cofre.sieg.com/ajax/xml.aspx?nfe=26230109166344000654550010000563411067231393","Baixar Xml")</f>
        <v>Baixar Xml</v>
      </c>
    </row>
    <row r="164" spans="1:17" x14ac:dyDescent="0.75">
      <c r="A164" s="5">
        <v>5349</v>
      </c>
      <c r="B164" s="55">
        <v>275</v>
      </c>
      <c r="C164" s="5" t="s">
        <v>4825</v>
      </c>
      <c r="D164" s="45" t="s">
        <v>1158</v>
      </c>
      <c r="E164" s="45" t="s">
        <v>369</v>
      </c>
      <c r="F164" s="45" t="s">
        <v>369</v>
      </c>
      <c r="G164" s="45" t="s">
        <v>1120</v>
      </c>
      <c r="H164" s="45" t="s">
        <v>1159</v>
      </c>
      <c r="I164" s="45" t="s">
        <v>1159</v>
      </c>
      <c r="J164" s="45" t="s">
        <v>4826</v>
      </c>
      <c r="K164" s="45" t="s">
        <v>5131</v>
      </c>
      <c r="L164" s="45" t="s">
        <v>1122</v>
      </c>
      <c r="M164" s="45"/>
      <c r="N164" s="45"/>
      <c r="O164" s="45" t="s">
        <v>1123</v>
      </c>
      <c r="P164" s="46" t="str">
        <f>HYPERLINK("https://cofre.sieg.com/ajax/danfe.aspx?nfe=26230109581439000120550010000053491987760499","Ver Danfe")</f>
        <v>Ver Danfe</v>
      </c>
      <c r="Q164" s="46" t="str">
        <f>HYPERLINK("https://cofre.sieg.com/ajax/xml.aspx?nfe=26230109581439000120550010000053491987760499","Baixar Xml")</f>
        <v>Baixar Xml</v>
      </c>
    </row>
    <row r="165" spans="1:17" x14ac:dyDescent="0.75">
      <c r="A165" s="5">
        <v>1278842</v>
      </c>
      <c r="B165" s="55">
        <v>1400</v>
      </c>
      <c r="C165" s="5" t="s">
        <v>4826</v>
      </c>
      <c r="D165" s="45" t="s">
        <v>1160</v>
      </c>
      <c r="E165" s="45" t="s">
        <v>266</v>
      </c>
      <c r="F165" s="45" t="s">
        <v>266</v>
      </c>
      <c r="G165" s="45" t="s">
        <v>1120</v>
      </c>
      <c r="H165" s="45" t="s">
        <v>1316</v>
      </c>
      <c r="I165" s="45" t="s">
        <v>1316</v>
      </c>
      <c r="J165" s="45" t="s">
        <v>4826</v>
      </c>
      <c r="K165" s="45" t="s">
        <v>5132</v>
      </c>
      <c r="L165" s="45" t="s">
        <v>1122</v>
      </c>
      <c r="M165" s="45" t="s">
        <v>1311</v>
      </c>
      <c r="N165" s="45" t="s">
        <v>1312</v>
      </c>
      <c r="O165" s="45" t="s">
        <v>1123</v>
      </c>
      <c r="P165" s="46" t="str">
        <f>HYPERLINK("https://cofre.sieg.com/ajax/danfe.aspx?nfe=26230110572014000133558900012788421232662647","Ver Danfe")</f>
        <v>Ver Danfe</v>
      </c>
      <c r="Q165" s="46" t="str">
        <f>HYPERLINK("https://cofre.sieg.com/ajax/xml.aspx?nfe=26230110572014000133558900012788421232662647","Baixar Xml")</f>
        <v>Baixar Xml</v>
      </c>
    </row>
    <row r="166" spans="1:17" x14ac:dyDescent="0.75">
      <c r="A166" s="5">
        <v>1280649</v>
      </c>
      <c r="B166" s="55">
        <v>725</v>
      </c>
      <c r="C166" s="5" t="s">
        <v>4839</v>
      </c>
      <c r="D166" s="45" t="s">
        <v>1160</v>
      </c>
      <c r="E166" s="45" t="s">
        <v>266</v>
      </c>
      <c r="F166" s="45" t="s">
        <v>266</v>
      </c>
      <c r="G166" s="45" t="s">
        <v>1120</v>
      </c>
      <c r="H166" s="45" t="s">
        <v>1316</v>
      </c>
      <c r="I166" s="45" t="s">
        <v>1316</v>
      </c>
      <c r="J166" s="45" t="s">
        <v>4839</v>
      </c>
      <c r="K166" s="45" t="s">
        <v>5133</v>
      </c>
      <c r="L166" s="45" t="s">
        <v>1122</v>
      </c>
      <c r="M166" s="45"/>
      <c r="N166" s="45"/>
      <c r="O166" s="45" t="s">
        <v>1123</v>
      </c>
      <c r="P166" s="46" t="str">
        <f>HYPERLINK("https://cofre.sieg.com/ajax/danfe.aspx?nfe=26230110572014000133558900012806491638759914","Ver Danfe")</f>
        <v>Ver Danfe</v>
      </c>
      <c r="Q166" s="46" t="str">
        <f>HYPERLINK("https://cofre.sieg.com/ajax/xml.aspx?nfe=26230110572014000133558900012806491638759914","Baixar Xml")</f>
        <v>Baixar Xml</v>
      </c>
    </row>
    <row r="167" spans="1:17" x14ac:dyDescent="0.75">
      <c r="A167" s="5">
        <v>1282871</v>
      </c>
      <c r="B167" s="55">
        <v>1362.5</v>
      </c>
      <c r="C167" s="5" t="s">
        <v>4846</v>
      </c>
      <c r="D167" s="45" t="s">
        <v>1160</v>
      </c>
      <c r="E167" s="45" t="s">
        <v>266</v>
      </c>
      <c r="F167" s="45" t="s">
        <v>266</v>
      </c>
      <c r="G167" s="45" t="s">
        <v>1120</v>
      </c>
      <c r="H167" s="45" t="s">
        <v>1316</v>
      </c>
      <c r="I167" s="45" t="s">
        <v>1316</v>
      </c>
      <c r="J167" s="45" t="s">
        <v>4846</v>
      </c>
      <c r="K167" s="45" t="s">
        <v>5134</v>
      </c>
      <c r="L167" s="45" t="s">
        <v>1122</v>
      </c>
      <c r="M167" s="45" t="s">
        <v>1311</v>
      </c>
      <c r="N167" s="45" t="s">
        <v>1312</v>
      </c>
      <c r="O167" s="45" t="s">
        <v>1123</v>
      </c>
      <c r="P167" s="46" t="str">
        <f>HYPERLINK("https://cofre.sieg.com/ajax/danfe.aspx?nfe=26230110572014000133558900012828711781967283","Ver Danfe")</f>
        <v>Ver Danfe</v>
      </c>
      <c r="Q167" s="46" t="str">
        <f>HYPERLINK("https://cofre.sieg.com/ajax/xml.aspx?nfe=26230110572014000133558900012828711781967283","Baixar Xml")</f>
        <v>Baixar Xml</v>
      </c>
    </row>
    <row r="168" spans="1:17" x14ac:dyDescent="0.75">
      <c r="A168" s="5">
        <v>1284676</v>
      </c>
      <c r="B168" s="55">
        <v>367.5</v>
      </c>
      <c r="C168" s="5" t="s">
        <v>4861</v>
      </c>
      <c r="D168" s="45" t="s">
        <v>1160</v>
      </c>
      <c r="E168" s="45" t="s">
        <v>266</v>
      </c>
      <c r="F168" s="45" t="s">
        <v>266</v>
      </c>
      <c r="G168" s="45" t="s">
        <v>1120</v>
      </c>
      <c r="H168" s="45" t="s">
        <v>1121</v>
      </c>
      <c r="I168" s="45" t="s">
        <v>1121</v>
      </c>
      <c r="J168" s="45" t="s">
        <v>4861</v>
      </c>
      <c r="K168" s="45" t="s">
        <v>5135</v>
      </c>
      <c r="L168" s="45" t="s">
        <v>1122</v>
      </c>
      <c r="M168" s="45" t="s">
        <v>1311</v>
      </c>
      <c r="N168" s="45" t="s">
        <v>1312</v>
      </c>
      <c r="O168" s="45" t="s">
        <v>1123</v>
      </c>
      <c r="P168" s="46" t="str">
        <f>HYPERLINK("https://cofre.sieg.com/ajax/danfe.aspx?nfe=26230110572014000133558900012846761140888870","Ver Danfe")</f>
        <v>Ver Danfe</v>
      </c>
      <c r="Q168" s="46" t="str">
        <f>HYPERLINK("https://cofre.sieg.com/ajax/xml.aspx?nfe=26230110572014000133558900012846761140888870","Baixar Xml")</f>
        <v>Baixar Xml</v>
      </c>
    </row>
    <row r="169" spans="1:17" x14ac:dyDescent="0.75">
      <c r="A169" s="5">
        <v>1284844</v>
      </c>
      <c r="B169" s="55">
        <v>1110</v>
      </c>
      <c r="C169" s="5" t="s">
        <v>4861</v>
      </c>
      <c r="D169" s="45" t="s">
        <v>1160</v>
      </c>
      <c r="E169" s="45" t="s">
        <v>266</v>
      </c>
      <c r="F169" s="45" t="s">
        <v>266</v>
      </c>
      <c r="G169" s="45" t="s">
        <v>1120</v>
      </c>
      <c r="H169" s="45" t="s">
        <v>1121</v>
      </c>
      <c r="I169" s="45" t="s">
        <v>1121</v>
      </c>
      <c r="J169" s="45" t="s">
        <v>4861</v>
      </c>
      <c r="K169" s="45" t="s">
        <v>5136</v>
      </c>
      <c r="L169" s="45" t="s">
        <v>1122</v>
      </c>
      <c r="M169" s="45"/>
      <c r="N169" s="45"/>
      <c r="O169" s="45" t="s">
        <v>1123</v>
      </c>
      <c r="P169" s="46" t="str">
        <f>HYPERLINK("https://cofre.sieg.com/ajax/danfe.aspx?nfe=26230110572014000133558900012848441278854158","Ver Danfe")</f>
        <v>Ver Danfe</v>
      </c>
      <c r="Q169" s="46" t="str">
        <f>HYPERLINK("https://cofre.sieg.com/ajax/xml.aspx?nfe=26230110572014000133558900012848441278854158","Baixar Xml")</f>
        <v>Baixar Xml</v>
      </c>
    </row>
    <row r="170" spans="1:17" x14ac:dyDescent="0.75">
      <c r="A170" s="5">
        <v>1286163</v>
      </c>
      <c r="B170" s="55">
        <v>1250</v>
      </c>
      <c r="C170" s="5" t="s">
        <v>4866</v>
      </c>
      <c r="D170" s="45" t="s">
        <v>1160</v>
      </c>
      <c r="E170" s="45" t="s">
        <v>266</v>
      </c>
      <c r="F170" s="45" t="s">
        <v>266</v>
      </c>
      <c r="G170" s="45" t="s">
        <v>1120</v>
      </c>
      <c r="H170" s="45" t="s">
        <v>1316</v>
      </c>
      <c r="I170" s="45" t="s">
        <v>1316</v>
      </c>
      <c r="J170" s="45" t="s">
        <v>4866</v>
      </c>
      <c r="K170" s="45" t="s">
        <v>5137</v>
      </c>
      <c r="L170" s="45" t="s">
        <v>1122</v>
      </c>
      <c r="M170" s="45"/>
      <c r="N170" s="45"/>
      <c r="O170" s="45" t="s">
        <v>1123</v>
      </c>
      <c r="P170" s="46" t="str">
        <f>HYPERLINK("https://cofre.sieg.com/ajax/danfe.aspx?nfe=26230110572014000133558900012861631571196459","Ver Danfe")</f>
        <v>Ver Danfe</v>
      </c>
      <c r="Q170" s="46" t="str">
        <f>HYPERLINK("https://cofre.sieg.com/ajax/xml.aspx?nfe=26230110572014000133558900012861631571196459","Baixar Xml")</f>
        <v>Baixar Xml</v>
      </c>
    </row>
    <row r="171" spans="1:17" x14ac:dyDescent="0.75">
      <c r="A171" s="5">
        <v>1288310</v>
      </c>
      <c r="B171" s="55">
        <v>1450</v>
      </c>
      <c r="C171" s="5" t="s">
        <v>4877</v>
      </c>
      <c r="D171" s="45" t="s">
        <v>1160</v>
      </c>
      <c r="E171" s="45" t="s">
        <v>266</v>
      </c>
      <c r="F171" s="45" t="s">
        <v>266</v>
      </c>
      <c r="G171" s="45" t="s">
        <v>1120</v>
      </c>
      <c r="H171" s="45" t="s">
        <v>1316</v>
      </c>
      <c r="I171" s="45" t="s">
        <v>1316</v>
      </c>
      <c r="J171" s="45" t="s">
        <v>4877</v>
      </c>
      <c r="K171" s="45" t="s">
        <v>5138</v>
      </c>
      <c r="L171" s="45" t="s">
        <v>1122</v>
      </c>
      <c r="M171" s="45"/>
      <c r="N171" s="45"/>
      <c r="O171" s="45" t="s">
        <v>1123</v>
      </c>
      <c r="P171" s="46" t="str">
        <f>HYPERLINK("https://cofre.sieg.com/ajax/danfe.aspx?nfe=26230110572014000133558900012883101570744092","Ver Danfe")</f>
        <v>Ver Danfe</v>
      </c>
      <c r="Q171" s="46" t="str">
        <f>HYPERLINK("https://cofre.sieg.com/ajax/xml.aspx?nfe=26230110572014000133558900012883101570744092","Baixar Xml")</f>
        <v>Baixar Xml</v>
      </c>
    </row>
    <row r="172" spans="1:17" x14ac:dyDescent="0.75">
      <c r="A172" s="5">
        <v>1292635</v>
      </c>
      <c r="B172" s="55">
        <v>850</v>
      </c>
      <c r="C172" s="5" t="s">
        <v>4891</v>
      </c>
      <c r="D172" s="45" t="s">
        <v>1160</v>
      </c>
      <c r="E172" s="45" t="s">
        <v>266</v>
      </c>
      <c r="F172" s="45" t="s">
        <v>266</v>
      </c>
      <c r="G172" s="45" t="s">
        <v>1120</v>
      </c>
      <c r="H172" s="45" t="s">
        <v>1121</v>
      </c>
      <c r="I172" s="45" t="s">
        <v>1121</v>
      </c>
      <c r="J172" s="45" t="s">
        <v>4891</v>
      </c>
      <c r="K172" s="45" t="s">
        <v>5139</v>
      </c>
      <c r="L172" s="45" t="s">
        <v>1122</v>
      </c>
      <c r="M172" s="45"/>
      <c r="N172" s="45"/>
      <c r="O172" s="45" t="s">
        <v>1123</v>
      </c>
      <c r="P172" s="46" t="str">
        <f>HYPERLINK("https://cofre.sieg.com/ajax/danfe.aspx?nfe=26230110572014000133558900012926351436745219","Ver Danfe")</f>
        <v>Ver Danfe</v>
      </c>
      <c r="Q172" s="46" t="str">
        <f>HYPERLINK("https://cofre.sieg.com/ajax/xml.aspx?nfe=26230110572014000133558900012926351436745219","Baixar Xml")</f>
        <v>Baixar Xml</v>
      </c>
    </row>
    <row r="173" spans="1:17" x14ac:dyDescent="0.75">
      <c r="A173" s="5">
        <v>1294148</v>
      </c>
      <c r="B173" s="55">
        <v>795</v>
      </c>
      <c r="C173" s="5" t="s">
        <v>4900</v>
      </c>
      <c r="D173" s="45" t="s">
        <v>1160</v>
      </c>
      <c r="E173" s="45" t="s">
        <v>266</v>
      </c>
      <c r="F173" s="45" t="s">
        <v>266</v>
      </c>
      <c r="G173" s="45" t="s">
        <v>1120</v>
      </c>
      <c r="H173" s="45" t="s">
        <v>1121</v>
      </c>
      <c r="I173" s="45" t="s">
        <v>1121</v>
      </c>
      <c r="J173" s="45" t="s">
        <v>4900</v>
      </c>
      <c r="K173" s="45" t="s">
        <v>5140</v>
      </c>
      <c r="L173" s="45" t="s">
        <v>1122</v>
      </c>
      <c r="M173" s="45" t="s">
        <v>1311</v>
      </c>
      <c r="N173" s="45" t="s">
        <v>1312</v>
      </c>
      <c r="O173" s="45" t="s">
        <v>1123</v>
      </c>
      <c r="P173" s="46" t="str">
        <f>HYPERLINK("https://cofre.sieg.com/ajax/danfe.aspx?nfe=26230110572014000133558900012941481699371018","Ver Danfe")</f>
        <v>Ver Danfe</v>
      </c>
      <c r="Q173" s="46" t="str">
        <f>HYPERLINK("https://cofre.sieg.com/ajax/xml.aspx?nfe=26230110572014000133558900012941481699371018","Baixar Xml")</f>
        <v>Baixar Xml</v>
      </c>
    </row>
    <row r="174" spans="1:17" x14ac:dyDescent="0.75">
      <c r="A174" s="5">
        <v>1296359</v>
      </c>
      <c r="B174" s="55">
        <v>860</v>
      </c>
      <c r="C174" s="5" t="s">
        <v>4908</v>
      </c>
      <c r="D174" s="45" t="s">
        <v>1160</v>
      </c>
      <c r="E174" s="45" t="s">
        <v>266</v>
      </c>
      <c r="F174" s="45" t="s">
        <v>266</v>
      </c>
      <c r="G174" s="45" t="s">
        <v>1120</v>
      </c>
      <c r="H174" s="45" t="s">
        <v>1121</v>
      </c>
      <c r="I174" s="45" t="s">
        <v>1121</v>
      </c>
      <c r="J174" s="45" t="s">
        <v>4908</v>
      </c>
      <c r="K174" s="45" t="s">
        <v>5141</v>
      </c>
      <c r="L174" s="45" t="s">
        <v>1122</v>
      </c>
      <c r="M174" s="45" t="s">
        <v>1311</v>
      </c>
      <c r="N174" s="45" t="s">
        <v>1312</v>
      </c>
      <c r="O174" s="45" t="s">
        <v>1123</v>
      </c>
      <c r="P174" s="46" t="str">
        <f>HYPERLINK("https://cofre.sieg.com/ajax/danfe.aspx?nfe=26230110572014000133558900012963591505775944","Ver Danfe")</f>
        <v>Ver Danfe</v>
      </c>
      <c r="Q174" s="46" t="str">
        <f>HYPERLINK("https://cofre.sieg.com/ajax/xml.aspx?nfe=26230110572014000133558900012963591505775944","Baixar Xml")</f>
        <v>Baixar Xml</v>
      </c>
    </row>
    <row r="175" spans="1:17" x14ac:dyDescent="0.75">
      <c r="A175" s="5">
        <v>1298389</v>
      </c>
      <c r="B175" s="55">
        <v>655</v>
      </c>
      <c r="C175" s="5" t="s">
        <v>4919</v>
      </c>
      <c r="D175" s="45" t="s">
        <v>1160</v>
      </c>
      <c r="E175" s="45" t="s">
        <v>266</v>
      </c>
      <c r="F175" s="45" t="s">
        <v>266</v>
      </c>
      <c r="G175" s="45" t="s">
        <v>1120</v>
      </c>
      <c r="H175" s="45" t="s">
        <v>1121</v>
      </c>
      <c r="I175" s="45" t="s">
        <v>1121</v>
      </c>
      <c r="J175" s="45" t="s">
        <v>4919</v>
      </c>
      <c r="K175" s="45" t="s">
        <v>5142</v>
      </c>
      <c r="L175" s="45" t="s">
        <v>1122</v>
      </c>
      <c r="M175" s="45" t="s">
        <v>1311</v>
      </c>
      <c r="N175" s="45" t="s">
        <v>1312</v>
      </c>
      <c r="O175" s="45" t="s">
        <v>1123</v>
      </c>
      <c r="P175" s="46" t="str">
        <f>HYPERLINK("https://cofre.sieg.com/ajax/danfe.aspx?nfe=26230110572014000133558900012983891984467321","Ver Danfe")</f>
        <v>Ver Danfe</v>
      </c>
      <c r="Q175" s="46" t="str">
        <f>HYPERLINK("https://cofre.sieg.com/ajax/xml.aspx?nfe=26230110572014000133558900012983891984467321","Baixar Xml")</f>
        <v>Baixar Xml</v>
      </c>
    </row>
    <row r="176" spans="1:17" x14ac:dyDescent="0.75">
      <c r="A176" s="5">
        <v>1300525</v>
      </c>
      <c r="B176" s="55">
        <v>1170</v>
      </c>
      <c r="C176" s="5" t="s">
        <v>4930</v>
      </c>
      <c r="D176" s="45" t="s">
        <v>1160</v>
      </c>
      <c r="E176" s="45" t="s">
        <v>266</v>
      </c>
      <c r="F176" s="45" t="s">
        <v>266</v>
      </c>
      <c r="G176" s="45" t="s">
        <v>1120</v>
      </c>
      <c r="H176" s="45" t="s">
        <v>1316</v>
      </c>
      <c r="I176" s="45" t="s">
        <v>1316</v>
      </c>
      <c r="J176" s="45" t="s">
        <v>4933</v>
      </c>
      <c r="K176" s="45" t="s">
        <v>5143</v>
      </c>
      <c r="L176" s="45" t="s">
        <v>1122</v>
      </c>
      <c r="M176" s="45"/>
      <c r="N176" s="45"/>
      <c r="O176" s="45" t="s">
        <v>1123</v>
      </c>
      <c r="P176" s="46" t="str">
        <f>HYPERLINK("https://cofre.sieg.com/ajax/danfe.aspx?nfe=26230110572014000133558900013005251833396643","Ver Danfe")</f>
        <v>Ver Danfe</v>
      </c>
      <c r="Q176" s="46" t="str">
        <f>HYPERLINK("https://cofre.sieg.com/ajax/xml.aspx?nfe=26230110572014000133558900013005251833396643","Baixar Xml")</f>
        <v>Baixar Xml</v>
      </c>
    </row>
    <row r="177" spans="1:17" x14ac:dyDescent="0.75">
      <c r="A177" s="5">
        <v>1300556</v>
      </c>
      <c r="B177" s="55">
        <v>1170</v>
      </c>
      <c r="C177" s="5" t="s">
        <v>4933</v>
      </c>
      <c r="D177" s="45" t="s">
        <v>1160</v>
      </c>
      <c r="E177" s="45" t="s">
        <v>266</v>
      </c>
      <c r="F177" s="45" t="s">
        <v>266</v>
      </c>
      <c r="G177" s="45" t="s">
        <v>1120</v>
      </c>
      <c r="H177" s="45" t="s">
        <v>1316</v>
      </c>
      <c r="I177" s="45" t="s">
        <v>1316</v>
      </c>
      <c r="J177" s="45" t="s">
        <v>4933</v>
      </c>
      <c r="K177" s="45" t="s">
        <v>5144</v>
      </c>
      <c r="L177" s="45" t="s">
        <v>1122</v>
      </c>
      <c r="M177" s="45"/>
      <c r="N177" s="45"/>
      <c r="O177" s="45" t="s">
        <v>1123</v>
      </c>
      <c r="P177" s="46" t="str">
        <f>HYPERLINK("https://cofre.sieg.com/ajax/danfe.aspx?nfe=26230110572014000133558900013005561658190537","Ver Danfe")</f>
        <v>Ver Danfe</v>
      </c>
      <c r="Q177" s="46" t="str">
        <f>HYPERLINK("https://cofre.sieg.com/ajax/xml.aspx?nfe=26230110572014000133558900013005561658190537","Baixar Xml")</f>
        <v>Baixar Xml</v>
      </c>
    </row>
    <row r="178" spans="1:17" x14ac:dyDescent="0.75">
      <c r="A178" s="5">
        <v>1302634</v>
      </c>
      <c r="B178" s="55">
        <v>990</v>
      </c>
      <c r="C178" s="5" t="s">
        <v>4938</v>
      </c>
      <c r="D178" s="45" t="s">
        <v>1160</v>
      </c>
      <c r="E178" s="45" t="s">
        <v>266</v>
      </c>
      <c r="F178" s="45" t="s">
        <v>266</v>
      </c>
      <c r="G178" s="45" t="s">
        <v>1120</v>
      </c>
      <c r="H178" s="45" t="s">
        <v>1121</v>
      </c>
      <c r="I178" s="45" t="s">
        <v>1121</v>
      </c>
      <c r="J178" s="45" t="s">
        <v>4938</v>
      </c>
      <c r="K178" s="45" t="s">
        <v>5145</v>
      </c>
      <c r="L178" s="45" t="s">
        <v>1122</v>
      </c>
      <c r="M178" s="45" t="s">
        <v>1311</v>
      </c>
      <c r="N178" s="45" t="s">
        <v>1312</v>
      </c>
      <c r="O178" s="45" t="s">
        <v>1123</v>
      </c>
      <c r="P178" s="46" t="str">
        <f>HYPERLINK("https://cofre.sieg.com/ajax/danfe.aspx?nfe=26230110572014000133558900013026341350425065","Ver Danfe")</f>
        <v>Ver Danfe</v>
      </c>
      <c r="Q178" s="46" t="str">
        <f>HYPERLINK("https://cofre.sieg.com/ajax/xml.aspx?nfe=26230110572014000133558900013026341350425065","Baixar Xml")</f>
        <v>Baixar Xml</v>
      </c>
    </row>
    <row r="179" spans="1:17" x14ac:dyDescent="0.75">
      <c r="A179" s="5">
        <v>9</v>
      </c>
      <c r="B179" s="55">
        <v>1260</v>
      </c>
      <c r="C179" s="5" t="s">
        <v>4844</v>
      </c>
      <c r="D179" s="45" t="s">
        <v>5146</v>
      </c>
      <c r="E179" s="45" t="s">
        <v>5147</v>
      </c>
      <c r="F179" s="45" t="s">
        <v>5148</v>
      </c>
      <c r="G179" s="45" t="s">
        <v>1120</v>
      </c>
      <c r="H179" s="45" t="s">
        <v>1133</v>
      </c>
      <c r="I179" s="45" t="s">
        <v>1133</v>
      </c>
      <c r="J179" s="45" t="s">
        <v>4844</v>
      </c>
      <c r="K179" s="45" t="s">
        <v>5149</v>
      </c>
      <c r="L179" s="45" t="s">
        <v>1122</v>
      </c>
      <c r="M179" s="45" t="s">
        <v>1311</v>
      </c>
      <c r="N179" s="45" t="s">
        <v>1312</v>
      </c>
      <c r="O179" s="45" t="s">
        <v>1123</v>
      </c>
      <c r="P179" s="46" t="str">
        <f>HYPERLINK("https://cofre.sieg.com/ajax/danfe.aspx?nfe=26230111009656000272550010000000091549641180","Ver Danfe")</f>
        <v>Ver Danfe</v>
      </c>
      <c r="Q179" s="46" t="str">
        <f>HYPERLINK("https://cofre.sieg.com/ajax/xml.aspx?nfe=26230111009656000272550010000000091549641180","Baixar Xml")</f>
        <v>Baixar Xml</v>
      </c>
    </row>
    <row r="180" spans="1:17" x14ac:dyDescent="0.75">
      <c r="A180" s="5">
        <v>412353</v>
      </c>
      <c r="B180" s="55">
        <v>385.31</v>
      </c>
      <c r="C180" s="5" t="s">
        <v>4825</v>
      </c>
      <c r="D180" s="45" t="s">
        <v>1161</v>
      </c>
      <c r="E180" s="45" t="s">
        <v>1162</v>
      </c>
      <c r="F180" s="45" t="s">
        <v>278</v>
      </c>
      <c r="G180" s="45" t="s">
        <v>1120</v>
      </c>
      <c r="H180" s="45" t="s">
        <v>1130</v>
      </c>
      <c r="I180" s="45" t="s">
        <v>1130</v>
      </c>
      <c r="J180" s="45" t="s">
        <v>4825</v>
      </c>
      <c r="K180" s="45" t="s">
        <v>5150</v>
      </c>
      <c r="L180" s="45" t="s">
        <v>1122</v>
      </c>
      <c r="M180" s="45" t="s">
        <v>1311</v>
      </c>
      <c r="N180" s="45" t="s">
        <v>1312</v>
      </c>
      <c r="O180" s="45" t="s">
        <v>1123</v>
      </c>
      <c r="P180" s="46" t="str">
        <f>HYPERLINK("https://cofre.sieg.com/ajax/danfe.aspx?nfe=26230111840014000130550010004123531737053713","Ver Danfe")</f>
        <v>Ver Danfe</v>
      </c>
      <c r="Q180" s="46" t="str">
        <f>HYPERLINK("https://cofre.sieg.com/ajax/xml.aspx?nfe=26230111840014000130550010004123531737053713","Baixar Xml")</f>
        <v>Baixar Xml</v>
      </c>
    </row>
    <row r="181" spans="1:17" x14ac:dyDescent="0.75">
      <c r="A181" s="5">
        <v>414827</v>
      </c>
      <c r="B181" s="55">
        <v>776.27</v>
      </c>
      <c r="C181" s="5" t="s">
        <v>4899</v>
      </c>
      <c r="D181" s="45" t="s">
        <v>1161</v>
      </c>
      <c r="E181" s="45" t="s">
        <v>1162</v>
      </c>
      <c r="F181" s="45" t="s">
        <v>278</v>
      </c>
      <c r="G181" s="45" t="s">
        <v>1120</v>
      </c>
      <c r="H181" s="45" t="s">
        <v>1130</v>
      </c>
      <c r="I181" s="45" t="s">
        <v>1130</v>
      </c>
      <c r="J181" s="45" t="s">
        <v>4899</v>
      </c>
      <c r="K181" s="45" t="s">
        <v>5151</v>
      </c>
      <c r="L181" s="45" t="s">
        <v>1122</v>
      </c>
      <c r="M181" s="45"/>
      <c r="N181" s="45"/>
      <c r="O181" s="45" t="s">
        <v>1123</v>
      </c>
      <c r="P181" s="46" t="str">
        <f>HYPERLINK("https://cofre.sieg.com/ajax/danfe.aspx?nfe=26230111840014000130550010004148271309510047","Ver Danfe")</f>
        <v>Ver Danfe</v>
      </c>
      <c r="Q181" s="46" t="str">
        <f>HYPERLINK("https://cofre.sieg.com/ajax/xml.aspx?nfe=26230111840014000130550010004148271309510047","Baixar Xml")</f>
        <v>Baixar Xml</v>
      </c>
    </row>
    <row r="182" spans="1:17" x14ac:dyDescent="0.75">
      <c r="A182" s="5">
        <v>414829</v>
      </c>
      <c r="B182" s="55">
        <v>866.69</v>
      </c>
      <c r="C182" s="5" t="s">
        <v>4899</v>
      </c>
      <c r="D182" s="45" t="s">
        <v>1161</v>
      </c>
      <c r="E182" s="45" t="s">
        <v>1162</v>
      </c>
      <c r="F182" s="45" t="s">
        <v>278</v>
      </c>
      <c r="G182" s="45" t="s">
        <v>1120</v>
      </c>
      <c r="H182" s="45" t="s">
        <v>1130</v>
      </c>
      <c r="I182" s="45" t="s">
        <v>1130</v>
      </c>
      <c r="J182" s="45" t="s">
        <v>4899</v>
      </c>
      <c r="K182" s="45" t="s">
        <v>5152</v>
      </c>
      <c r="L182" s="45" t="s">
        <v>1122</v>
      </c>
      <c r="M182" s="45"/>
      <c r="N182" s="45"/>
      <c r="O182" s="45" t="s">
        <v>1123</v>
      </c>
      <c r="P182" s="46" t="str">
        <f>HYPERLINK("https://cofre.sieg.com/ajax/danfe.aspx?nfe=26230111840014000130550010004148291139739922","Ver Danfe")</f>
        <v>Ver Danfe</v>
      </c>
      <c r="Q182" s="46" t="str">
        <f>HYPERLINK("https://cofre.sieg.com/ajax/xml.aspx?nfe=26230111840014000130550010004148291139739922","Baixar Xml")</f>
        <v>Baixar Xml</v>
      </c>
    </row>
    <row r="183" spans="1:17" x14ac:dyDescent="0.75">
      <c r="A183" s="5">
        <v>414951</v>
      </c>
      <c r="B183" s="55">
        <v>122.85</v>
      </c>
      <c r="C183" s="5" t="s">
        <v>4907</v>
      </c>
      <c r="D183" s="45" t="s">
        <v>1161</v>
      </c>
      <c r="E183" s="45" t="s">
        <v>1162</v>
      </c>
      <c r="F183" s="45" t="s">
        <v>278</v>
      </c>
      <c r="G183" s="45" t="s">
        <v>1120</v>
      </c>
      <c r="H183" s="45" t="s">
        <v>1130</v>
      </c>
      <c r="I183" s="45" t="s">
        <v>1130</v>
      </c>
      <c r="J183" s="45" t="s">
        <v>4907</v>
      </c>
      <c r="K183" s="45" t="s">
        <v>5153</v>
      </c>
      <c r="L183" s="45" t="s">
        <v>1122</v>
      </c>
      <c r="M183" s="45" t="s">
        <v>1311</v>
      </c>
      <c r="N183" s="45" t="s">
        <v>1312</v>
      </c>
      <c r="O183" s="45" t="s">
        <v>1123</v>
      </c>
      <c r="P183" s="46" t="str">
        <f>HYPERLINK("https://cofre.sieg.com/ajax/danfe.aspx?nfe=26230111840014000130550010004149511009898490","Ver Danfe")</f>
        <v>Ver Danfe</v>
      </c>
      <c r="Q183" s="46" t="str">
        <f>HYPERLINK("https://cofre.sieg.com/ajax/xml.aspx?nfe=26230111840014000130550010004149511009898490","Baixar Xml")</f>
        <v>Baixar Xml</v>
      </c>
    </row>
    <row r="184" spans="1:17" x14ac:dyDescent="0.75">
      <c r="A184" s="5">
        <v>88758</v>
      </c>
      <c r="B184" s="55">
        <v>2223.9</v>
      </c>
      <c r="C184" s="5" t="s">
        <v>4826</v>
      </c>
      <c r="D184" s="45" t="s">
        <v>1163</v>
      </c>
      <c r="E184" s="45" t="s">
        <v>1164</v>
      </c>
      <c r="F184" s="45" t="s">
        <v>285</v>
      </c>
      <c r="G184" s="45" t="s">
        <v>1120</v>
      </c>
      <c r="H184" s="45" t="s">
        <v>1121</v>
      </c>
      <c r="I184" s="45" t="s">
        <v>1121</v>
      </c>
      <c r="J184" s="45" t="s">
        <v>4834</v>
      </c>
      <c r="K184" s="45" t="s">
        <v>5154</v>
      </c>
      <c r="L184" s="45" t="s">
        <v>1122</v>
      </c>
      <c r="M184" s="45"/>
      <c r="N184" s="45"/>
      <c r="O184" s="45" t="s">
        <v>1123</v>
      </c>
      <c r="P184" s="46" t="str">
        <f>HYPERLINK("https://cofre.sieg.com/ajax/danfe.aspx?nfe=26230112701734000349550550000887581207463149","Ver Danfe")</f>
        <v>Ver Danfe</v>
      </c>
      <c r="Q184" s="46" t="str">
        <f>HYPERLINK("https://cofre.sieg.com/ajax/xml.aspx?nfe=26230112701734000349550550000887581207463149","Baixar Xml")</f>
        <v>Baixar Xml</v>
      </c>
    </row>
    <row r="185" spans="1:17" x14ac:dyDescent="0.75">
      <c r="A185" s="5">
        <v>88910</v>
      </c>
      <c r="B185" s="55">
        <v>100</v>
      </c>
      <c r="C185" s="5" t="s">
        <v>4844</v>
      </c>
      <c r="D185" s="45" t="s">
        <v>1163</v>
      </c>
      <c r="E185" s="45" t="s">
        <v>1164</v>
      </c>
      <c r="F185" s="45" t="s">
        <v>285</v>
      </c>
      <c r="G185" s="45" t="s">
        <v>1120</v>
      </c>
      <c r="H185" s="45" t="s">
        <v>1121</v>
      </c>
      <c r="I185" s="45" t="s">
        <v>1121</v>
      </c>
      <c r="J185" s="45" t="s">
        <v>4844</v>
      </c>
      <c r="K185" s="45" t="s">
        <v>5155</v>
      </c>
      <c r="L185" s="45" t="s">
        <v>1122</v>
      </c>
      <c r="M185" s="45" t="s">
        <v>1311</v>
      </c>
      <c r="N185" s="45" t="s">
        <v>1312</v>
      </c>
      <c r="O185" s="45" t="s">
        <v>1123</v>
      </c>
      <c r="P185" s="46" t="str">
        <f>HYPERLINK("https://cofre.sieg.com/ajax/danfe.aspx?nfe=26230112701734000349550550000889101857416738","Ver Danfe")</f>
        <v>Ver Danfe</v>
      </c>
      <c r="Q185" s="46" t="str">
        <f>HYPERLINK("https://cofre.sieg.com/ajax/xml.aspx?nfe=26230112701734000349550550000889101857416738","Baixar Xml")</f>
        <v>Baixar Xml</v>
      </c>
    </row>
    <row r="186" spans="1:17" x14ac:dyDescent="0.75">
      <c r="A186" s="5">
        <v>89082</v>
      </c>
      <c r="B186" s="55">
        <v>2000</v>
      </c>
      <c r="C186" s="5" t="s">
        <v>4861</v>
      </c>
      <c r="D186" s="45" t="s">
        <v>1163</v>
      </c>
      <c r="E186" s="45" t="s">
        <v>1164</v>
      </c>
      <c r="F186" s="45" t="s">
        <v>285</v>
      </c>
      <c r="G186" s="45" t="s">
        <v>1120</v>
      </c>
      <c r="H186" s="45" t="s">
        <v>1121</v>
      </c>
      <c r="I186" s="45" t="s">
        <v>1121</v>
      </c>
      <c r="J186" s="45" t="s">
        <v>4862</v>
      </c>
      <c r="K186" s="45" t="s">
        <v>5156</v>
      </c>
      <c r="L186" s="45" t="s">
        <v>1122</v>
      </c>
      <c r="M186" s="45" t="s">
        <v>1314</v>
      </c>
      <c r="N186" s="45" t="s">
        <v>1315</v>
      </c>
      <c r="O186" s="45" t="s">
        <v>1150</v>
      </c>
      <c r="P186" s="46" t="str">
        <f>HYPERLINK("https://cofre.sieg.com/ajax/danfe.aspx?nfe=26230112701734000349550550000890821933517344","Ver Danfe")</f>
        <v>Ver Danfe</v>
      </c>
      <c r="Q186" s="46" t="str">
        <f>HYPERLINK("https://cofre.sieg.com/ajax/xml.aspx?nfe=26230112701734000349550550000890821933517344","Baixar Xml")</f>
        <v>Baixar Xml</v>
      </c>
    </row>
    <row r="187" spans="1:17" x14ac:dyDescent="0.75">
      <c r="A187" s="5">
        <v>89083</v>
      </c>
      <c r="B187" s="55">
        <v>1600</v>
      </c>
      <c r="C187" s="5" t="s">
        <v>4861</v>
      </c>
      <c r="D187" s="45" t="s">
        <v>1163</v>
      </c>
      <c r="E187" s="45" t="s">
        <v>1164</v>
      </c>
      <c r="F187" s="45" t="s">
        <v>285</v>
      </c>
      <c r="G187" s="45" t="s">
        <v>1120</v>
      </c>
      <c r="H187" s="45" t="s">
        <v>1121</v>
      </c>
      <c r="I187" s="45" t="s">
        <v>1121</v>
      </c>
      <c r="J187" s="45" t="s">
        <v>4862</v>
      </c>
      <c r="K187" s="45" t="s">
        <v>5157</v>
      </c>
      <c r="L187" s="45" t="s">
        <v>1122</v>
      </c>
      <c r="M187" s="45"/>
      <c r="N187" s="45"/>
      <c r="O187" s="45" t="s">
        <v>1123</v>
      </c>
      <c r="P187" s="46" t="str">
        <f>HYPERLINK("https://cofre.sieg.com/ajax/danfe.aspx?nfe=26230112701734000349550550000890831645436141","Ver Danfe")</f>
        <v>Ver Danfe</v>
      </c>
      <c r="Q187" s="46" t="str">
        <f>HYPERLINK("https://cofre.sieg.com/ajax/xml.aspx?nfe=26230112701734000349550550000890831645436141","Baixar Xml")</f>
        <v>Baixar Xml</v>
      </c>
    </row>
    <row r="188" spans="1:17" x14ac:dyDescent="0.75">
      <c r="A188" s="5">
        <v>89115</v>
      </c>
      <c r="B188" s="55">
        <v>4200</v>
      </c>
      <c r="C188" s="5" t="s">
        <v>4866</v>
      </c>
      <c r="D188" s="45" t="s">
        <v>1163</v>
      </c>
      <c r="E188" s="45" t="s">
        <v>1164</v>
      </c>
      <c r="F188" s="45" t="s">
        <v>285</v>
      </c>
      <c r="G188" s="45" t="s">
        <v>1120</v>
      </c>
      <c r="H188" s="45" t="s">
        <v>1121</v>
      </c>
      <c r="I188" s="45" t="s">
        <v>1121</v>
      </c>
      <c r="J188" s="45" t="s">
        <v>4866</v>
      </c>
      <c r="K188" s="45" t="s">
        <v>5158</v>
      </c>
      <c r="L188" s="45" t="s">
        <v>1122</v>
      </c>
      <c r="M188" s="45" t="s">
        <v>1148</v>
      </c>
      <c r="N188" s="45" t="s">
        <v>1149</v>
      </c>
      <c r="O188" s="45" t="s">
        <v>1150</v>
      </c>
      <c r="P188" s="46" t="str">
        <f>HYPERLINK("https://cofre.sieg.com/ajax/danfe.aspx?nfe=26230112701734000349550550000891151369904005","Ver Danfe")</f>
        <v>Ver Danfe</v>
      </c>
      <c r="Q188" s="46" t="str">
        <f>HYPERLINK("https://cofre.sieg.com/ajax/xml.aspx?nfe=26230112701734000349550550000891151369904005","Baixar Xml")</f>
        <v>Baixar Xml</v>
      </c>
    </row>
    <row r="189" spans="1:17" x14ac:dyDescent="0.75">
      <c r="A189" s="5">
        <v>89230</v>
      </c>
      <c r="B189" s="55">
        <v>1376</v>
      </c>
      <c r="C189" s="5" t="s">
        <v>4873</v>
      </c>
      <c r="D189" s="45" t="s">
        <v>1163</v>
      </c>
      <c r="E189" s="45" t="s">
        <v>1164</v>
      </c>
      <c r="F189" s="45" t="s">
        <v>285</v>
      </c>
      <c r="G189" s="45" t="s">
        <v>1120</v>
      </c>
      <c r="H189" s="45" t="s">
        <v>1121</v>
      </c>
      <c r="I189" s="45" t="s">
        <v>1121</v>
      </c>
      <c r="J189" s="45" t="s">
        <v>4873</v>
      </c>
      <c r="K189" s="45" t="s">
        <v>5159</v>
      </c>
      <c r="L189" s="45" t="s">
        <v>1122</v>
      </c>
      <c r="M189" s="45" t="s">
        <v>1311</v>
      </c>
      <c r="N189" s="45" t="s">
        <v>1312</v>
      </c>
      <c r="O189" s="45" t="s">
        <v>1123</v>
      </c>
      <c r="P189" s="46" t="str">
        <f>HYPERLINK("https://cofre.sieg.com/ajax/danfe.aspx?nfe=26230112701734000349550550000892301663446096","Ver Danfe")</f>
        <v>Ver Danfe</v>
      </c>
      <c r="Q189" s="46" t="str">
        <f>HYPERLINK("https://cofre.sieg.com/ajax/xml.aspx?nfe=26230112701734000349550550000892301663446096","Baixar Xml")</f>
        <v>Baixar Xml</v>
      </c>
    </row>
    <row r="190" spans="1:17" x14ac:dyDescent="0.75">
      <c r="A190" s="5">
        <v>89368</v>
      </c>
      <c r="B190" s="55">
        <v>1400</v>
      </c>
      <c r="C190" s="5" t="s">
        <v>4884</v>
      </c>
      <c r="D190" s="45" t="s">
        <v>1163</v>
      </c>
      <c r="E190" s="45" t="s">
        <v>1164</v>
      </c>
      <c r="F190" s="45" t="s">
        <v>285</v>
      </c>
      <c r="G190" s="45" t="s">
        <v>1120</v>
      </c>
      <c r="H190" s="45" t="s">
        <v>1121</v>
      </c>
      <c r="I190" s="45" t="s">
        <v>1121</v>
      </c>
      <c r="J190" s="45" t="s">
        <v>4884</v>
      </c>
      <c r="K190" s="45" t="s">
        <v>5160</v>
      </c>
      <c r="L190" s="45" t="s">
        <v>1122</v>
      </c>
      <c r="M190" s="45" t="s">
        <v>1314</v>
      </c>
      <c r="N190" s="45" t="s">
        <v>1315</v>
      </c>
      <c r="O190" s="45" t="s">
        <v>1150</v>
      </c>
      <c r="P190" s="46" t="str">
        <f>HYPERLINK("https://cofre.sieg.com/ajax/danfe.aspx?nfe=26230112701734000349550550000893681039281823","Ver Danfe")</f>
        <v>Ver Danfe</v>
      </c>
      <c r="Q190" s="46" t="str">
        <f>HYPERLINK("https://cofre.sieg.com/ajax/xml.aspx?nfe=26230112701734000349550550000893681039281823","Baixar Xml")</f>
        <v>Baixar Xml</v>
      </c>
    </row>
    <row r="191" spans="1:17" x14ac:dyDescent="0.75">
      <c r="A191" s="5">
        <v>89424</v>
      </c>
      <c r="B191" s="55">
        <v>980</v>
      </c>
      <c r="C191" s="5" t="s">
        <v>4884</v>
      </c>
      <c r="D191" s="45" t="s">
        <v>1163</v>
      </c>
      <c r="E191" s="45" t="s">
        <v>1164</v>
      </c>
      <c r="F191" s="45" t="s">
        <v>285</v>
      </c>
      <c r="G191" s="45" t="s">
        <v>1120</v>
      </c>
      <c r="H191" s="45" t="s">
        <v>1121</v>
      </c>
      <c r="I191" s="45" t="s">
        <v>1121</v>
      </c>
      <c r="J191" s="45" t="s">
        <v>4884</v>
      </c>
      <c r="K191" s="45" t="s">
        <v>5161</v>
      </c>
      <c r="L191" s="45" t="s">
        <v>1122</v>
      </c>
      <c r="M191" s="45" t="s">
        <v>1311</v>
      </c>
      <c r="N191" s="45" t="s">
        <v>1312</v>
      </c>
      <c r="O191" s="45" t="s">
        <v>1123</v>
      </c>
      <c r="P191" s="46" t="str">
        <f>HYPERLINK("https://cofre.sieg.com/ajax/danfe.aspx?nfe=26230112701734000349550550000894241456317316","Ver Danfe")</f>
        <v>Ver Danfe</v>
      </c>
      <c r="Q191" s="46" t="str">
        <f>HYPERLINK("https://cofre.sieg.com/ajax/xml.aspx?nfe=26230112701734000349550550000894241456317316","Baixar Xml")</f>
        <v>Baixar Xml</v>
      </c>
    </row>
    <row r="192" spans="1:17" x14ac:dyDescent="0.75">
      <c r="A192" s="5">
        <v>89549</v>
      </c>
      <c r="B192" s="55">
        <v>3600</v>
      </c>
      <c r="C192" s="5" t="s">
        <v>4891</v>
      </c>
      <c r="D192" s="45" t="s">
        <v>1163</v>
      </c>
      <c r="E192" s="45" t="s">
        <v>1164</v>
      </c>
      <c r="F192" s="45" t="s">
        <v>285</v>
      </c>
      <c r="G192" s="45" t="s">
        <v>1120</v>
      </c>
      <c r="H192" s="45" t="s">
        <v>1121</v>
      </c>
      <c r="I192" s="45" t="s">
        <v>1121</v>
      </c>
      <c r="J192" s="45" t="s">
        <v>4891</v>
      </c>
      <c r="K192" s="45" t="s">
        <v>5162</v>
      </c>
      <c r="L192" s="45" t="s">
        <v>1122</v>
      </c>
      <c r="M192" s="45" t="s">
        <v>1311</v>
      </c>
      <c r="N192" s="45" t="s">
        <v>1312</v>
      </c>
      <c r="O192" s="45" t="s">
        <v>1123</v>
      </c>
      <c r="P192" s="46" t="str">
        <f>HYPERLINK("https://cofre.sieg.com/ajax/danfe.aspx?nfe=26230112701734000349550550000895491226192737","Ver Danfe")</f>
        <v>Ver Danfe</v>
      </c>
      <c r="Q192" s="46" t="str">
        <f>HYPERLINK("https://cofre.sieg.com/ajax/xml.aspx?nfe=26230112701734000349550550000895491226192737","Baixar Xml")</f>
        <v>Baixar Xml</v>
      </c>
    </row>
    <row r="193" spans="1:17" x14ac:dyDescent="0.75">
      <c r="A193" s="5">
        <v>89572</v>
      </c>
      <c r="B193" s="55">
        <v>2100</v>
      </c>
      <c r="C193" s="5" t="s">
        <v>4899</v>
      </c>
      <c r="D193" s="45" t="s">
        <v>1163</v>
      </c>
      <c r="E193" s="45" t="s">
        <v>1164</v>
      </c>
      <c r="F193" s="45" t="s">
        <v>285</v>
      </c>
      <c r="G193" s="45" t="s">
        <v>1120</v>
      </c>
      <c r="H193" s="45" t="s">
        <v>1121</v>
      </c>
      <c r="I193" s="45" t="s">
        <v>1121</v>
      </c>
      <c r="J193" s="45" t="s">
        <v>4899</v>
      </c>
      <c r="K193" s="45" t="s">
        <v>5163</v>
      </c>
      <c r="L193" s="45" t="s">
        <v>1122</v>
      </c>
      <c r="M193" s="45" t="s">
        <v>1148</v>
      </c>
      <c r="N193" s="45" t="s">
        <v>1149</v>
      </c>
      <c r="O193" s="45" t="s">
        <v>1150</v>
      </c>
      <c r="P193" s="46" t="str">
        <f>HYPERLINK("https://cofre.sieg.com/ajax/danfe.aspx?nfe=26230112701734000349550550000895721084193842","Ver Danfe")</f>
        <v>Ver Danfe</v>
      </c>
      <c r="Q193" s="46" t="str">
        <f>HYPERLINK("https://cofre.sieg.com/ajax/xml.aspx?nfe=26230112701734000349550550000895721084193842","Baixar Xml")</f>
        <v>Baixar Xml</v>
      </c>
    </row>
    <row r="194" spans="1:17" x14ac:dyDescent="0.75">
      <c r="A194" s="5">
        <v>89574</v>
      </c>
      <c r="B194" s="55">
        <v>1960</v>
      </c>
      <c r="C194" s="5" t="s">
        <v>4899</v>
      </c>
      <c r="D194" s="45" t="s">
        <v>1163</v>
      </c>
      <c r="E194" s="45" t="s">
        <v>1164</v>
      </c>
      <c r="F194" s="45" t="s">
        <v>285</v>
      </c>
      <c r="G194" s="45" t="s">
        <v>1120</v>
      </c>
      <c r="H194" s="45" t="s">
        <v>1121</v>
      </c>
      <c r="I194" s="45" t="s">
        <v>1121</v>
      </c>
      <c r="J194" s="45" t="s">
        <v>4899</v>
      </c>
      <c r="K194" s="45" t="s">
        <v>5164</v>
      </c>
      <c r="L194" s="45" t="s">
        <v>1122</v>
      </c>
      <c r="M194" s="45"/>
      <c r="N194" s="45"/>
      <c r="O194" s="45" t="s">
        <v>1123</v>
      </c>
      <c r="P194" s="46" t="str">
        <f>HYPERLINK("https://cofre.sieg.com/ajax/danfe.aspx?nfe=26230112701734000349550550000895741994104100","Ver Danfe")</f>
        <v>Ver Danfe</v>
      </c>
      <c r="Q194" s="46" t="str">
        <f>HYPERLINK("https://cofre.sieg.com/ajax/xml.aspx?nfe=26230112701734000349550550000895741994104100","Baixar Xml")</f>
        <v>Baixar Xml</v>
      </c>
    </row>
    <row r="195" spans="1:17" x14ac:dyDescent="0.75">
      <c r="A195" s="5">
        <v>89705</v>
      </c>
      <c r="B195" s="55">
        <v>1148</v>
      </c>
      <c r="C195" s="5" t="s">
        <v>4908</v>
      </c>
      <c r="D195" s="45" t="s">
        <v>1163</v>
      </c>
      <c r="E195" s="45" t="s">
        <v>1164</v>
      </c>
      <c r="F195" s="45" t="s">
        <v>285</v>
      </c>
      <c r="G195" s="45" t="s">
        <v>1120</v>
      </c>
      <c r="H195" s="45" t="s">
        <v>1121</v>
      </c>
      <c r="I195" s="45" t="s">
        <v>1121</v>
      </c>
      <c r="J195" s="45" t="s">
        <v>4908</v>
      </c>
      <c r="K195" s="45" t="s">
        <v>5165</v>
      </c>
      <c r="L195" s="45" t="s">
        <v>1122</v>
      </c>
      <c r="M195" s="45" t="s">
        <v>1311</v>
      </c>
      <c r="N195" s="45" t="s">
        <v>1312</v>
      </c>
      <c r="O195" s="45" t="s">
        <v>1123</v>
      </c>
      <c r="P195" s="46" t="str">
        <f>HYPERLINK("https://cofre.sieg.com/ajax/danfe.aspx?nfe=26230112701734000349550550000897051568573064","Ver Danfe")</f>
        <v>Ver Danfe</v>
      </c>
      <c r="Q195" s="46" t="str">
        <f>HYPERLINK("https://cofre.sieg.com/ajax/xml.aspx?nfe=26230112701734000349550550000897051568573064","Baixar Xml")</f>
        <v>Baixar Xml</v>
      </c>
    </row>
    <row r="196" spans="1:17" x14ac:dyDescent="0.75">
      <c r="A196" s="5">
        <v>89859</v>
      </c>
      <c r="B196" s="55">
        <v>3600</v>
      </c>
      <c r="C196" s="5" t="s">
        <v>4919</v>
      </c>
      <c r="D196" s="45" t="s">
        <v>1163</v>
      </c>
      <c r="E196" s="45" t="s">
        <v>1164</v>
      </c>
      <c r="F196" s="45" t="s">
        <v>285</v>
      </c>
      <c r="G196" s="45" t="s">
        <v>1120</v>
      </c>
      <c r="H196" s="45" t="s">
        <v>1121</v>
      </c>
      <c r="I196" s="45" t="s">
        <v>1121</v>
      </c>
      <c r="J196" s="45" t="s">
        <v>4919</v>
      </c>
      <c r="K196" s="45" t="s">
        <v>5166</v>
      </c>
      <c r="L196" s="45" t="s">
        <v>1122</v>
      </c>
      <c r="M196" s="45" t="s">
        <v>1311</v>
      </c>
      <c r="N196" s="45" t="s">
        <v>1312</v>
      </c>
      <c r="O196" s="45" t="s">
        <v>1123</v>
      </c>
      <c r="P196" s="46" t="str">
        <f>HYPERLINK("https://cofre.sieg.com/ajax/danfe.aspx?nfe=26230112701734000349550550000898591301499884","Ver Danfe")</f>
        <v>Ver Danfe</v>
      </c>
      <c r="Q196" s="46" t="str">
        <f>HYPERLINK("https://cofre.sieg.com/ajax/xml.aspx?nfe=26230112701734000349550550000898591301499884","Baixar Xml")</f>
        <v>Baixar Xml</v>
      </c>
    </row>
    <row r="197" spans="1:17" x14ac:dyDescent="0.75">
      <c r="A197" s="5">
        <v>89860</v>
      </c>
      <c r="B197" s="55">
        <v>1960</v>
      </c>
      <c r="C197" s="5" t="s">
        <v>4919</v>
      </c>
      <c r="D197" s="45" t="s">
        <v>1163</v>
      </c>
      <c r="E197" s="45" t="s">
        <v>1164</v>
      </c>
      <c r="F197" s="45" t="s">
        <v>285</v>
      </c>
      <c r="G197" s="45" t="s">
        <v>1120</v>
      </c>
      <c r="H197" s="45" t="s">
        <v>1121</v>
      </c>
      <c r="I197" s="45" t="s">
        <v>1121</v>
      </c>
      <c r="J197" s="45" t="s">
        <v>4919</v>
      </c>
      <c r="K197" s="45" t="s">
        <v>5167</v>
      </c>
      <c r="L197" s="45" t="s">
        <v>1122</v>
      </c>
      <c r="M197" s="45" t="s">
        <v>1311</v>
      </c>
      <c r="N197" s="45" t="s">
        <v>1312</v>
      </c>
      <c r="O197" s="45" t="s">
        <v>1123</v>
      </c>
      <c r="P197" s="46" t="str">
        <f>HYPERLINK("https://cofre.sieg.com/ajax/danfe.aspx?nfe=26230112701734000349550550000898601562872407","Ver Danfe")</f>
        <v>Ver Danfe</v>
      </c>
      <c r="Q197" s="46" t="str">
        <f>HYPERLINK("https://cofre.sieg.com/ajax/xml.aspx?nfe=26230112701734000349550550000898601562872407","Baixar Xml")</f>
        <v>Baixar Xml</v>
      </c>
    </row>
    <row r="198" spans="1:17" x14ac:dyDescent="0.75">
      <c r="A198" s="5">
        <v>90065</v>
      </c>
      <c r="B198" s="55">
        <v>1735</v>
      </c>
      <c r="C198" s="5" t="s">
        <v>4938</v>
      </c>
      <c r="D198" s="45" t="s">
        <v>1163</v>
      </c>
      <c r="E198" s="45" t="s">
        <v>1164</v>
      </c>
      <c r="F198" s="45" t="s">
        <v>285</v>
      </c>
      <c r="G198" s="45" t="s">
        <v>1120</v>
      </c>
      <c r="H198" s="45" t="s">
        <v>1121</v>
      </c>
      <c r="I198" s="45" t="s">
        <v>1121</v>
      </c>
      <c r="J198" s="45" t="s">
        <v>4938</v>
      </c>
      <c r="K198" s="45" t="s">
        <v>5168</v>
      </c>
      <c r="L198" s="45" t="s">
        <v>1122</v>
      </c>
      <c r="M198" s="45"/>
      <c r="N198" s="45"/>
      <c r="O198" s="45" t="s">
        <v>1123</v>
      </c>
      <c r="P198" s="46" t="str">
        <f>HYPERLINK("https://cofre.sieg.com/ajax/danfe.aspx?nfe=26230112701734000349550550000900651291740874","Ver Danfe")</f>
        <v>Ver Danfe</v>
      </c>
      <c r="Q198" s="46" t="str">
        <f>HYPERLINK("https://cofre.sieg.com/ajax/xml.aspx?nfe=26230112701734000349550550000900651291740874","Baixar Xml")</f>
        <v>Baixar Xml</v>
      </c>
    </row>
    <row r="199" spans="1:17" x14ac:dyDescent="0.75">
      <c r="A199" s="5">
        <v>90067</v>
      </c>
      <c r="B199" s="55">
        <v>1250</v>
      </c>
      <c r="C199" s="5" t="s">
        <v>4938</v>
      </c>
      <c r="D199" s="45" t="s">
        <v>1163</v>
      </c>
      <c r="E199" s="45" t="s">
        <v>1164</v>
      </c>
      <c r="F199" s="45" t="s">
        <v>285</v>
      </c>
      <c r="G199" s="45" t="s">
        <v>1120</v>
      </c>
      <c r="H199" s="45" t="s">
        <v>1121</v>
      </c>
      <c r="I199" s="45" t="s">
        <v>1121</v>
      </c>
      <c r="J199" s="45" t="s">
        <v>4938</v>
      </c>
      <c r="K199" s="45" t="s">
        <v>5169</v>
      </c>
      <c r="L199" s="45" t="s">
        <v>1122</v>
      </c>
      <c r="M199" s="45" t="s">
        <v>1148</v>
      </c>
      <c r="N199" s="45" t="s">
        <v>1149</v>
      </c>
      <c r="O199" s="45" t="s">
        <v>1150</v>
      </c>
      <c r="P199" s="46" t="str">
        <f>HYPERLINK("https://cofre.sieg.com/ajax/danfe.aspx?nfe=26230112701734000349550550000900671639435472","Ver Danfe")</f>
        <v>Ver Danfe</v>
      </c>
      <c r="Q199" s="46" t="str">
        <f>HYPERLINK("https://cofre.sieg.com/ajax/xml.aspx?nfe=26230112701734000349550550000900671639435472","Baixar Xml")</f>
        <v>Baixar Xml</v>
      </c>
    </row>
    <row r="200" spans="1:17" x14ac:dyDescent="0.75">
      <c r="A200" s="5">
        <v>90108</v>
      </c>
      <c r="B200" s="55">
        <v>825</v>
      </c>
      <c r="C200" s="5" t="s">
        <v>4938</v>
      </c>
      <c r="D200" s="45" t="s">
        <v>1163</v>
      </c>
      <c r="E200" s="45" t="s">
        <v>1164</v>
      </c>
      <c r="F200" s="45" t="s">
        <v>285</v>
      </c>
      <c r="G200" s="45" t="s">
        <v>1120</v>
      </c>
      <c r="H200" s="45" t="s">
        <v>1121</v>
      </c>
      <c r="I200" s="45" t="s">
        <v>1121</v>
      </c>
      <c r="J200" s="45" t="s">
        <v>4938</v>
      </c>
      <c r="K200" s="45" t="s">
        <v>5170</v>
      </c>
      <c r="L200" s="45" t="s">
        <v>1122</v>
      </c>
      <c r="M200" s="45" t="s">
        <v>1311</v>
      </c>
      <c r="N200" s="45" t="s">
        <v>1312</v>
      </c>
      <c r="O200" s="45" t="s">
        <v>1123</v>
      </c>
      <c r="P200" s="46" t="str">
        <f>HYPERLINK("https://cofre.sieg.com/ajax/danfe.aspx?nfe=26230112701734000349550550000901081099467609","Ver Danfe")</f>
        <v>Ver Danfe</v>
      </c>
      <c r="Q200" s="46" t="str">
        <f>HYPERLINK("https://cofre.sieg.com/ajax/xml.aspx?nfe=26230112701734000349550550000901081099467609","Baixar Xml")</f>
        <v>Baixar Xml</v>
      </c>
    </row>
    <row r="201" spans="1:17" x14ac:dyDescent="0.75">
      <c r="A201" s="5">
        <v>32876</v>
      </c>
      <c r="B201" s="55">
        <v>165</v>
      </c>
      <c r="C201" s="5" t="s">
        <v>4826</v>
      </c>
      <c r="D201" s="45" t="s">
        <v>1165</v>
      </c>
      <c r="E201" s="45" t="s">
        <v>1166</v>
      </c>
      <c r="F201" s="45" t="s">
        <v>1317</v>
      </c>
      <c r="G201" s="45" t="s">
        <v>1120</v>
      </c>
      <c r="H201" s="45" t="s">
        <v>1121</v>
      </c>
      <c r="I201" s="45" t="s">
        <v>1121</v>
      </c>
      <c r="J201" s="45" t="s">
        <v>4826</v>
      </c>
      <c r="K201" s="45" t="s">
        <v>5171</v>
      </c>
      <c r="L201" s="45" t="s">
        <v>1122</v>
      </c>
      <c r="M201" s="45"/>
      <c r="N201" s="45"/>
      <c r="O201" s="45" t="s">
        <v>1123</v>
      </c>
      <c r="P201" s="46" t="str">
        <f>HYPERLINK("https://cofre.sieg.com/ajax/danfe.aspx?nfe=26230112988833000191550000000328761000108037","Ver Danfe")</f>
        <v>Ver Danfe</v>
      </c>
      <c r="Q201" s="46" t="str">
        <f>HYPERLINK("https://cofre.sieg.com/ajax/xml.aspx?nfe=26230112988833000191550000000328761000108037","Baixar Xml")</f>
        <v>Baixar Xml</v>
      </c>
    </row>
    <row r="202" spans="1:17" x14ac:dyDescent="0.75">
      <c r="A202" s="5">
        <v>32955</v>
      </c>
      <c r="B202" s="55">
        <v>330</v>
      </c>
      <c r="C202" s="5" t="s">
        <v>4861</v>
      </c>
      <c r="D202" s="45" t="s">
        <v>1165</v>
      </c>
      <c r="E202" s="45" t="s">
        <v>1166</v>
      </c>
      <c r="F202" s="45" t="s">
        <v>1317</v>
      </c>
      <c r="G202" s="45" t="s">
        <v>1120</v>
      </c>
      <c r="H202" s="45" t="s">
        <v>1121</v>
      </c>
      <c r="I202" s="45" t="s">
        <v>1121</v>
      </c>
      <c r="J202" s="45" t="s">
        <v>4861</v>
      </c>
      <c r="K202" s="45" t="s">
        <v>5172</v>
      </c>
      <c r="L202" s="45" t="s">
        <v>1122</v>
      </c>
      <c r="M202" s="45"/>
      <c r="N202" s="45"/>
      <c r="O202" s="45" t="s">
        <v>1123</v>
      </c>
      <c r="P202" s="46" t="str">
        <f>HYPERLINK("https://cofre.sieg.com/ajax/danfe.aspx?nfe=26230112988833000191550000000329551000128238","Ver Danfe")</f>
        <v>Ver Danfe</v>
      </c>
      <c r="Q202" s="46" t="str">
        <f>HYPERLINK("https://cofre.sieg.com/ajax/xml.aspx?nfe=26230112988833000191550000000329551000128238","Baixar Xml")</f>
        <v>Baixar Xml</v>
      </c>
    </row>
    <row r="203" spans="1:17" x14ac:dyDescent="0.75">
      <c r="A203" s="5">
        <v>32988</v>
      </c>
      <c r="B203" s="55">
        <v>330</v>
      </c>
      <c r="C203" s="5" t="s">
        <v>4873</v>
      </c>
      <c r="D203" s="45" t="s">
        <v>1165</v>
      </c>
      <c r="E203" s="45" t="s">
        <v>1166</v>
      </c>
      <c r="F203" s="45" t="s">
        <v>1317</v>
      </c>
      <c r="G203" s="45" t="s">
        <v>1120</v>
      </c>
      <c r="H203" s="45" t="s">
        <v>1121</v>
      </c>
      <c r="I203" s="45" t="s">
        <v>1121</v>
      </c>
      <c r="J203" s="45" t="s">
        <v>4873</v>
      </c>
      <c r="K203" s="45" t="s">
        <v>5173</v>
      </c>
      <c r="L203" s="45" t="s">
        <v>1122</v>
      </c>
      <c r="M203" s="45" t="s">
        <v>1311</v>
      </c>
      <c r="N203" s="45" t="s">
        <v>1312</v>
      </c>
      <c r="O203" s="45" t="s">
        <v>1123</v>
      </c>
      <c r="P203" s="46" t="str">
        <f>HYPERLINK("https://cofre.sieg.com/ajax/danfe.aspx?nfe=26230112988833000191550000000329881000260560","Ver Danfe")</f>
        <v>Ver Danfe</v>
      </c>
      <c r="Q203" s="46" t="str">
        <f>HYPERLINK("https://cofre.sieg.com/ajax/xml.aspx?nfe=26230112988833000191550000000329881000260560","Baixar Xml")</f>
        <v>Baixar Xml</v>
      </c>
    </row>
    <row r="204" spans="1:17" x14ac:dyDescent="0.75">
      <c r="A204" s="5">
        <v>33007</v>
      </c>
      <c r="B204" s="55">
        <v>495</v>
      </c>
      <c r="C204" s="5" t="s">
        <v>4883</v>
      </c>
      <c r="D204" s="45" t="s">
        <v>1165</v>
      </c>
      <c r="E204" s="45" t="s">
        <v>1166</v>
      </c>
      <c r="F204" s="45" t="s">
        <v>1317</v>
      </c>
      <c r="G204" s="45" t="s">
        <v>1120</v>
      </c>
      <c r="H204" s="45" t="s">
        <v>1121</v>
      </c>
      <c r="I204" s="45" t="s">
        <v>1121</v>
      </c>
      <c r="J204" s="45" t="s">
        <v>4883</v>
      </c>
      <c r="K204" s="45" t="s">
        <v>5174</v>
      </c>
      <c r="L204" s="45" t="s">
        <v>1122</v>
      </c>
      <c r="M204" s="45" t="s">
        <v>1311</v>
      </c>
      <c r="N204" s="45" t="s">
        <v>1312</v>
      </c>
      <c r="O204" s="45" t="s">
        <v>1123</v>
      </c>
      <c r="P204" s="46" t="str">
        <f>HYPERLINK("https://cofre.sieg.com/ajax/danfe.aspx?nfe=26230112988833000191550000000330071000119555","Ver Danfe")</f>
        <v>Ver Danfe</v>
      </c>
      <c r="Q204" s="46" t="str">
        <f>HYPERLINK("https://cofre.sieg.com/ajax/xml.aspx?nfe=26230112988833000191550000000330071000119555","Baixar Xml")</f>
        <v>Baixar Xml</v>
      </c>
    </row>
    <row r="205" spans="1:17" x14ac:dyDescent="0.75">
      <c r="A205" s="5">
        <v>33022</v>
      </c>
      <c r="B205" s="55">
        <v>495</v>
      </c>
      <c r="C205" s="5" t="s">
        <v>4887</v>
      </c>
      <c r="D205" s="45" t="s">
        <v>1165</v>
      </c>
      <c r="E205" s="45" t="s">
        <v>1166</v>
      </c>
      <c r="F205" s="45" t="s">
        <v>1317</v>
      </c>
      <c r="G205" s="45" t="s">
        <v>1120</v>
      </c>
      <c r="H205" s="45" t="s">
        <v>1121</v>
      </c>
      <c r="I205" s="45" t="s">
        <v>1121</v>
      </c>
      <c r="J205" s="45" t="s">
        <v>4887</v>
      </c>
      <c r="K205" s="45" t="s">
        <v>5175</v>
      </c>
      <c r="L205" s="45" t="s">
        <v>1122</v>
      </c>
      <c r="M205" s="45" t="s">
        <v>1311</v>
      </c>
      <c r="N205" s="45" t="s">
        <v>1312</v>
      </c>
      <c r="O205" s="45" t="s">
        <v>1123</v>
      </c>
      <c r="P205" s="46" t="str">
        <f>HYPERLINK("https://cofre.sieg.com/ajax/danfe.aspx?nfe=26230112988833000191550000000330221000284455","Ver Danfe")</f>
        <v>Ver Danfe</v>
      </c>
      <c r="Q205" s="46" t="str">
        <f>HYPERLINK("https://cofre.sieg.com/ajax/xml.aspx?nfe=26230112988833000191550000000330221000284455","Baixar Xml")</f>
        <v>Baixar Xml</v>
      </c>
    </row>
    <row r="206" spans="1:17" x14ac:dyDescent="0.75">
      <c r="A206" s="5">
        <v>33056</v>
      </c>
      <c r="B206" s="55">
        <v>165</v>
      </c>
      <c r="C206" s="5" t="s">
        <v>4899</v>
      </c>
      <c r="D206" s="45" t="s">
        <v>1165</v>
      </c>
      <c r="E206" s="45" t="s">
        <v>1166</v>
      </c>
      <c r="F206" s="45" t="s">
        <v>1317</v>
      </c>
      <c r="G206" s="45" t="s">
        <v>1120</v>
      </c>
      <c r="H206" s="45" t="s">
        <v>1121</v>
      </c>
      <c r="I206" s="45" t="s">
        <v>1121</v>
      </c>
      <c r="J206" s="45" t="s">
        <v>4899</v>
      </c>
      <c r="K206" s="45" t="s">
        <v>5176</v>
      </c>
      <c r="L206" s="45" t="s">
        <v>1122</v>
      </c>
      <c r="M206" s="45" t="s">
        <v>1311</v>
      </c>
      <c r="N206" s="45" t="s">
        <v>1312</v>
      </c>
      <c r="O206" s="45" t="s">
        <v>1123</v>
      </c>
      <c r="P206" s="46" t="str">
        <f>HYPERLINK("https://cofre.sieg.com/ajax/danfe.aspx?nfe=26230112988833000191550000000330561000000560","Ver Danfe")</f>
        <v>Ver Danfe</v>
      </c>
      <c r="Q206" s="46" t="str">
        <f>HYPERLINK("https://cofre.sieg.com/ajax/xml.aspx?nfe=26230112988833000191550000000330561000000560","Baixar Xml")</f>
        <v>Baixar Xml</v>
      </c>
    </row>
    <row r="207" spans="1:17" x14ac:dyDescent="0.75">
      <c r="A207" s="5">
        <v>33131</v>
      </c>
      <c r="B207" s="55">
        <v>330</v>
      </c>
      <c r="C207" s="5" t="s">
        <v>4930</v>
      </c>
      <c r="D207" s="45" t="s">
        <v>1165</v>
      </c>
      <c r="E207" s="45" t="s">
        <v>1166</v>
      </c>
      <c r="F207" s="45" t="s">
        <v>1317</v>
      </c>
      <c r="G207" s="45" t="s">
        <v>1120</v>
      </c>
      <c r="H207" s="45" t="s">
        <v>1121</v>
      </c>
      <c r="I207" s="45" t="s">
        <v>1121</v>
      </c>
      <c r="J207" s="45" t="s">
        <v>4930</v>
      </c>
      <c r="K207" s="45" t="s">
        <v>5177</v>
      </c>
      <c r="L207" s="45" t="s">
        <v>1122</v>
      </c>
      <c r="M207" s="45" t="s">
        <v>1311</v>
      </c>
      <c r="N207" s="45" t="s">
        <v>1312</v>
      </c>
      <c r="O207" s="45" t="s">
        <v>1123</v>
      </c>
      <c r="P207" s="46" t="str">
        <f>HYPERLINK("https://cofre.sieg.com/ajax/danfe.aspx?nfe=26230112988833000191550000000331311000047393","Ver Danfe")</f>
        <v>Ver Danfe</v>
      </c>
      <c r="Q207" s="46" t="str">
        <f>HYPERLINK("https://cofre.sieg.com/ajax/xml.aspx?nfe=26230112988833000191550000000331311000047393","Baixar Xml")</f>
        <v>Baixar Xml</v>
      </c>
    </row>
    <row r="208" spans="1:17" x14ac:dyDescent="0.75">
      <c r="A208" s="5">
        <v>1754</v>
      </c>
      <c r="B208" s="55">
        <v>14.04</v>
      </c>
      <c r="C208" s="5" t="s">
        <v>4908</v>
      </c>
      <c r="D208" s="45" t="s">
        <v>4835</v>
      </c>
      <c r="E208" s="45" t="s">
        <v>1134</v>
      </c>
      <c r="F208" s="45" t="s">
        <v>1134</v>
      </c>
      <c r="G208" s="45" t="s">
        <v>1120</v>
      </c>
      <c r="H208" s="45" t="s">
        <v>1126</v>
      </c>
      <c r="I208" s="45" t="s">
        <v>1126</v>
      </c>
      <c r="J208" s="45" t="s">
        <v>4912</v>
      </c>
      <c r="K208" s="45" t="s">
        <v>5178</v>
      </c>
      <c r="L208" s="45" t="s">
        <v>1122</v>
      </c>
      <c r="M208" s="45"/>
      <c r="N208" s="45"/>
      <c r="O208" s="45" t="s">
        <v>1123</v>
      </c>
      <c r="P208" s="46" t="str">
        <f>HYPERLINK("https://cofre.sieg.com/ajax/danfe.aspx?nfe=26230113004510002556557000000017541322775454","Ver Danfe")</f>
        <v>Ver Danfe</v>
      </c>
      <c r="Q208" s="46" t="str">
        <f>HYPERLINK("https://cofre.sieg.com/ajax/xml.aspx?nfe=26230113004510002556557000000017541322775454","Baixar Xml")</f>
        <v>Baixar Xml</v>
      </c>
    </row>
    <row r="209" spans="1:17" x14ac:dyDescent="0.75">
      <c r="A209" s="5">
        <v>1836</v>
      </c>
      <c r="B209" s="55">
        <v>122.5</v>
      </c>
      <c r="C209" s="5" t="s">
        <v>4844</v>
      </c>
      <c r="D209" s="45" t="s">
        <v>4829</v>
      </c>
      <c r="E209" s="45" t="s">
        <v>1134</v>
      </c>
      <c r="F209" s="45" t="s">
        <v>1134</v>
      </c>
      <c r="G209" s="45" t="s">
        <v>1120</v>
      </c>
      <c r="H209" s="45" t="s">
        <v>1126</v>
      </c>
      <c r="I209" s="45" t="s">
        <v>1126</v>
      </c>
      <c r="J209" s="45" t="s">
        <v>4844</v>
      </c>
      <c r="K209" s="45" t="s">
        <v>5179</v>
      </c>
      <c r="L209" s="45" t="s">
        <v>1122</v>
      </c>
      <c r="M209" s="45"/>
      <c r="N209" s="45"/>
      <c r="O209" s="45" t="s">
        <v>1123</v>
      </c>
      <c r="P209" s="46" t="str">
        <f>HYPERLINK("https://cofre.sieg.com/ajax/danfe.aspx?nfe=26230113004510004257557000000018361501670061","Ver Danfe")</f>
        <v>Ver Danfe</v>
      </c>
      <c r="Q209" s="46" t="str">
        <f>HYPERLINK("https://cofre.sieg.com/ajax/xml.aspx?nfe=26230113004510004257557000000018361501670061","Baixar Xml")</f>
        <v>Baixar Xml</v>
      </c>
    </row>
    <row r="210" spans="1:17" x14ac:dyDescent="0.75">
      <c r="A210" s="5">
        <v>3384</v>
      </c>
      <c r="B210" s="55">
        <v>21.05</v>
      </c>
      <c r="C210" s="5" t="s">
        <v>4839</v>
      </c>
      <c r="D210" s="45" t="s">
        <v>1167</v>
      </c>
      <c r="E210" s="45" t="s">
        <v>1134</v>
      </c>
      <c r="F210" s="45" t="s">
        <v>1134</v>
      </c>
      <c r="G210" s="45" t="s">
        <v>1120</v>
      </c>
      <c r="H210" s="45" t="s">
        <v>1126</v>
      </c>
      <c r="I210" s="45" t="s">
        <v>1126</v>
      </c>
      <c r="J210" s="45" t="s">
        <v>4839</v>
      </c>
      <c r="K210" s="45" t="s">
        <v>5180</v>
      </c>
      <c r="L210" s="45" t="s">
        <v>1122</v>
      </c>
      <c r="M210" s="45"/>
      <c r="N210" s="45"/>
      <c r="O210" s="45" t="s">
        <v>1123</v>
      </c>
      <c r="P210" s="46" t="str">
        <f>HYPERLINK("https://cofre.sieg.com/ajax/danfe.aspx?nfe=26230113004510004842557000000033841603523551","Ver Danfe")</f>
        <v>Ver Danfe</v>
      </c>
      <c r="Q210" s="46" t="str">
        <f>HYPERLINK("https://cofre.sieg.com/ajax/xml.aspx?nfe=26230113004510004842557000000033841603523551","Baixar Xml")</f>
        <v>Baixar Xml</v>
      </c>
    </row>
    <row r="211" spans="1:17" x14ac:dyDescent="0.75">
      <c r="A211" s="5">
        <v>3406</v>
      </c>
      <c r="B211" s="55">
        <v>27.96</v>
      </c>
      <c r="C211" s="5" t="s">
        <v>4857</v>
      </c>
      <c r="D211" s="45" t="s">
        <v>1167</v>
      </c>
      <c r="E211" s="45" t="s">
        <v>1134</v>
      </c>
      <c r="F211" s="45" t="s">
        <v>1134</v>
      </c>
      <c r="G211" s="45" t="s">
        <v>1120</v>
      </c>
      <c r="H211" s="45" t="s">
        <v>1126</v>
      </c>
      <c r="I211" s="45" t="s">
        <v>1126</v>
      </c>
      <c r="J211" s="45" t="s">
        <v>4857</v>
      </c>
      <c r="K211" s="45" t="s">
        <v>5181</v>
      </c>
      <c r="L211" s="45" t="s">
        <v>1122</v>
      </c>
      <c r="M211" s="45"/>
      <c r="N211" s="45"/>
      <c r="O211" s="45" t="s">
        <v>1123</v>
      </c>
      <c r="P211" s="46" t="str">
        <f>HYPERLINK("https://cofre.sieg.com/ajax/danfe.aspx?nfe=26230113004510004842557000000034061349112663","Ver Danfe")</f>
        <v>Ver Danfe</v>
      </c>
      <c r="Q211" s="46" t="str">
        <f>HYPERLINK("https://cofre.sieg.com/ajax/xml.aspx?nfe=26230113004510004842557000000034061349112663","Baixar Xml")</f>
        <v>Baixar Xml</v>
      </c>
    </row>
    <row r="212" spans="1:17" x14ac:dyDescent="0.75">
      <c r="A212" s="5">
        <v>3435</v>
      </c>
      <c r="B212" s="55">
        <v>6.26</v>
      </c>
      <c r="C212" s="5" t="s">
        <v>4877</v>
      </c>
      <c r="D212" s="45" t="s">
        <v>1167</v>
      </c>
      <c r="E212" s="45" t="s">
        <v>1134</v>
      </c>
      <c r="F212" s="45" t="s">
        <v>1134</v>
      </c>
      <c r="G212" s="45" t="s">
        <v>1120</v>
      </c>
      <c r="H212" s="45" t="s">
        <v>1126</v>
      </c>
      <c r="I212" s="45" t="s">
        <v>1126</v>
      </c>
      <c r="J212" s="45" t="s">
        <v>4877</v>
      </c>
      <c r="K212" s="45" t="s">
        <v>5182</v>
      </c>
      <c r="L212" s="45" t="s">
        <v>1122</v>
      </c>
      <c r="M212" s="45" t="s">
        <v>1311</v>
      </c>
      <c r="N212" s="45" t="s">
        <v>1312</v>
      </c>
      <c r="O212" s="45" t="s">
        <v>1123</v>
      </c>
      <c r="P212" s="46" t="str">
        <f>HYPERLINK("https://cofre.sieg.com/ajax/danfe.aspx?nfe=26230113004510004842557000000034351095612220","Ver Danfe")</f>
        <v>Ver Danfe</v>
      </c>
      <c r="Q212" s="46" t="str">
        <f>HYPERLINK("https://cofre.sieg.com/ajax/xml.aspx?nfe=26230113004510004842557000000034351095612220","Baixar Xml")</f>
        <v>Baixar Xml</v>
      </c>
    </row>
    <row r="213" spans="1:17" x14ac:dyDescent="0.75">
      <c r="A213" s="5">
        <v>3468</v>
      </c>
      <c r="B213" s="55">
        <v>143.72</v>
      </c>
      <c r="C213" s="5" t="s">
        <v>4907</v>
      </c>
      <c r="D213" s="45" t="s">
        <v>1167</v>
      </c>
      <c r="E213" s="45" t="s">
        <v>1134</v>
      </c>
      <c r="F213" s="45" t="s">
        <v>1134</v>
      </c>
      <c r="G213" s="45" t="s">
        <v>1120</v>
      </c>
      <c r="H213" s="45" t="s">
        <v>1126</v>
      </c>
      <c r="I213" s="45" t="s">
        <v>1126</v>
      </c>
      <c r="J213" s="45" t="s">
        <v>4907</v>
      </c>
      <c r="K213" s="45" t="s">
        <v>5183</v>
      </c>
      <c r="L213" s="45" t="s">
        <v>1122</v>
      </c>
      <c r="M213" s="45" t="s">
        <v>1311</v>
      </c>
      <c r="N213" s="45" t="s">
        <v>1312</v>
      </c>
      <c r="O213" s="45" t="s">
        <v>1123</v>
      </c>
      <c r="P213" s="46" t="str">
        <f>HYPERLINK("https://cofre.sieg.com/ajax/danfe.aspx?nfe=26230113004510004842557000000034681220815349","Ver Danfe")</f>
        <v>Ver Danfe</v>
      </c>
      <c r="Q213" s="46" t="str">
        <f>HYPERLINK("https://cofre.sieg.com/ajax/xml.aspx?nfe=26230113004510004842557000000034681220815349","Baixar Xml")</f>
        <v>Baixar Xml</v>
      </c>
    </row>
    <row r="214" spans="1:17" x14ac:dyDescent="0.75">
      <c r="A214" s="5">
        <v>3479</v>
      </c>
      <c r="B214" s="55">
        <v>22</v>
      </c>
      <c r="C214" s="5" t="s">
        <v>4912</v>
      </c>
      <c r="D214" s="45" t="s">
        <v>1167</v>
      </c>
      <c r="E214" s="45" t="s">
        <v>1134</v>
      </c>
      <c r="F214" s="45" t="s">
        <v>1134</v>
      </c>
      <c r="G214" s="45" t="s">
        <v>1120</v>
      </c>
      <c r="H214" s="45" t="s">
        <v>1126</v>
      </c>
      <c r="I214" s="45" t="s">
        <v>1126</v>
      </c>
      <c r="J214" s="45" t="s">
        <v>4912</v>
      </c>
      <c r="K214" s="45" t="s">
        <v>5184</v>
      </c>
      <c r="L214" s="45" t="s">
        <v>1122</v>
      </c>
      <c r="M214" s="45"/>
      <c r="N214" s="45"/>
      <c r="O214" s="45" t="s">
        <v>1123</v>
      </c>
      <c r="P214" s="46" t="str">
        <f>HYPERLINK("https://cofre.sieg.com/ajax/danfe.aspx?nfe=26230113004510004842557000000034791681006875","Ver Danfe")</f>
        <v>Ver Danfe</v>
      </c>
      <c r="Q214" s="46" t="str">
        <f>HYPERLINK("https://cofre.sieg.com/ajax/xml.aspx?nfe=26230113004510004842557000000034791681006875","Baixar Xml")</f>
        <v>Baixar Xml</v>
      </c>
    </row>
    <row r="215" spans="1:17" x14ac:dyDescent="0.75">
      <c r="A215" s="5">
        <v>3502</v>
      </c>
      <c r="B215" s="55">
        <v>19.8</v>
      </c>
      <c r="C215" s="5" t="s">
        <v>4937</v>
      </c>
      <c r="D215" s="45" t="s">
        <v>1167</v>
      </c>
      <c r="E215" s="45" t="s">
        <v>1134</v>
      </c>
      <c r="F215" s="45" t="s">
        <v>1134</v>
      </c>
      <c r="G215" s="45" t="s">
        <v>1120</v>
      </c>
      <c r="H215" s="45" t="s">
        <v>1126</v>
      </c>
      <c r="I215" s="45" t="s">
        <v>1126</v>
      </c>
      <c r="J215" s="45" t="s">
        <v>4937</v>
      </c>
      <c r="K215" s="45" t="s">
        <v>5185</v>
      </c>
      <c r="L215" s="45" t="s">
        <v>1122</v>
      </c>
      <c r="M215" s="45"/>
      <c r="N215" s="45"/>
      <c r="O215" s="45" t="s">
        <v>1123</v>
      </c>
      <c r="P215" s="46" t="str">
        <f>HYPERLINK("https://cofre.sieg.com/ajax/danfe.aspx?nfe=26230113004510004842557000000035021206878588","Ver Danfe")</f>
        <v>Ver Danfe</v>
      </c>
      <c r="Q215" s="46" t="str">
        <f>HYPERLINK("https://cofre.sieg.com/ajax/xml.aspx?nfe=26230113004510004842557000000035021206878588","Baixar Xml")</f>
        <v>Baixar Xml</v>
      </c>
    </row>
    <row r="216" spans="1:17" x14ac:dyDescent="0.75">
      <c r="A216" s="5">
        <v>1381</v>
      </c>
      <c r="B216" s="55">
        <v>43.35</v>
      </c>
      <c r="C216" s="5" t="s">
        <v>4826</v>
      </c>
      <c r="D216" s="45" t="s">
        <v>1168</v>
      </c>
      <c r="E216" s="45" t="s">
        <v>1134</v>
      </c>
      <c r="F216" s="45" t="s">
        <v>1134</v>
      </c>
      <c r="G216" s="45" t="s">
        <v>1120</v>
      </c>
      <c r="H216" s="45" t="s">
        <v>1126</v>
      </c>
      <c r="I216" s="45" t="s">
        <v>1126</v>
      </c>
      <c r="J216" s="45" t="s">
        <v>4826</v>
      </c>
      <c r="K216" s="45" t="s">
        <v>5186</v>
      </c>
      <c r="L216" s="45" t="s">
        <v>1122</v>
      </c>
      <c r="M216" s="45" t="s">
        <v>1311</v>
      </c>
      <c r="N216" s="45" t="s">
        <v>1312</v>
      </c>
      <c r="O216" s="45" t="s">
        <v>1123</v>
      </c>
      <c r="P216" s="46" t="str">
        <f>HYPERLINK("https://cofre.sieg.com/ajax/danfe.aspx?nfe=26230113004510025416557000000013811010252575","Ver Danfe")</f>
        <v>Ver Danfe</v>
      </c>
      <c r="Q216" s="46" t="str">
        <f>HYPERLINK("https://cofre.sieg.com/ajax/xml.aspx?nfe=26230113004510025416557000000013811010252575","Baixar Xml")</f>
        <v>Baixar Xml</v>
      </c>
    </row>
    <row r="217" spans="1:17" x14ac:dyDescent="0.75">
      <c r="A217" s="5">
        <v>380878</v>
      </c>
      <c r="B217" s="55">
        <v>3</v>
      </c>
      <c r="C217" s="5" t="s">
        <v>4873</v>
      </c>
      <c r="D217" s="45" t="s">
        <v>1169</v>
      </c>
      <c r="E217" s="45" t="s">
        <v>1134</v>
      </c>
      <c r="F217" s="45" t="s">
        <v>1134</v>
      </c>
      <c r="G217" s="45" t="s">
        <v>1120</v>
      </c>
      <c r="H217" s="45" t="s">
        <v>1126</v>
      </c>
      <c r="I217" s="45" t="s">
        <v>1126</v>
      </c>
      <c r="J217" s="45" t="s">
        <v>4873</v>
      </c>
      <c r="K217" s="45" t="s">
        <v>5187</v>
      </c>
      <c r="L217" s="45" t="s">
        <v>1122</v>
      </c>
      <c r="M217" s="45" t="s">
        <v>1311</v>
      </c>
      <c r="N217" s="45" t="s">
        <v>1312</v>
      </c>
      <c r="O217" s="45" t="s">
        <v>1123</v>
      </c>
      <c r="P217" s="46" t="str">
        <f>HYPERLINK("https://cofre.sieg.com/ajax/danfe.aspx?nfe=26230113004510025840557000003808781970164404","Ver Danfe")</f>
        <v>Ver Danfe</v>
      </c>
      <c r="Q217" s="46" t="str">
        <f>HYPERLINK("https://cofre.sieg.com/ajax/xml.aspx?nfe=26230113004510025840557000003808781970164404","Baixar Xml")</f>
        <v>Baixar Xml</v>
      </c>
    </row>
    <row r="218" spans="1:17" x14ac:dyDescent="0.75">
      <c r="A218" s="5">
        <v>1885</v>
      </c>
      <c r="B218" s="55">
        <v>197.2</v>
      </c>
      <c r="C218" s="5" t="s">
        <v>4834</v>
      </c>
      <c r="D218" s="45" t="s">
        <v>1318</v>
      </c>
      <c r="E218" s="45" t="s">
        <v>1134</v>
      </c>
      <c r="F218" s="45" t="s">
        <v>1134</v>
      </c>
      <c r="G218" s="45" t="s">
        <v>1120</v>
      </c>
      <c r="H218" s="45" t="s">
        <v>1126</v>
      </c>
      <c r="I218" s="45" t="s">
        <v>1126</v>
      </c>
      <c r="J218" s="45" t="s">
        <v>4834</v>
      </c>
      <c r="K218" s="45" t="s">
        <v>5188</v>
      </c>
      <c r="L218" s="45" t="s">
        <v>1122</v>
      </c>
      <c r="M218" s="45" t="s">
        <v>1311</v>
      </c>
      <c r="N218" s="45" t="s">
        <v>1312</v>
      </c>
      <c r="O218" s="45" t="s">
        <v>1123</v>
      </c>
      <c r="P218" s="46" t="str">
        <f>HYPERLINK("https://cofre.sieg.com/ajax/danfe.aspx?nfe=26230113004510040482557000000018851045811746","Ver Danfe")</f>
        <v>Ver Danfe</v>
      </c>
      <c r="Q218" s="46" t="str">
        <f>HYPERLINK("https://cofre.sieg.com/ajax/xml.aspx?nfe=26230113004510040482557000000018851045811746","Baixar Xml")</f>
        <v>Baixar Xml</v>
      </c>
    </row>
    <row r="219" spans="1:17" x14ac:dyDescent="0.75">
      <c r="A219" s="5">
        <v>1907</v>
      </c>
      <c r="B219" s="55">
        <v>86.7</v>
      </c>
      <c r="C219" s="5" t="s">
        <v>4839</v>
      </c>
      <c r="D219" s="45" t="s">
        <v>1318</v>
      </c>
      <c r="E219" s="45" t="s">
        <v>1134</v>
      </c>
      <c r="F219" s="45" t="s">
        <v>1134</v>
      </c>
      <c r="G219" s="45" t="s">
        <v>1120</v>
      </c>
      <c r="H219" s="45" t="s">
        <v>1126</v>
      </c>
      <c r="I219" s="45" t="s">
        <v>1126</v>
      </c>
      <c r="J219" s="45" t="s">
        <v>4839</v>
      </c>
      <c r="K219" s="45" t="s">
        <v>5189</v>
      </c>
      <c r="L219" s="45" t="s">
        <v>1122</v>
      </c>
      <c r="M219" s="45" t="s">
        <v>1314</v>
      </c>
      <c r="N219" s="45" t="s">
        <v>1315</v>
      </c>
      <c r="O219" s="45" t="s">
        <v>1150</v>
      </c>
      <c r="P219" s="46" t="str">
        <f>HYPERLINK("https://cofre.sieg.com/ajax/danfe.aspx?nfe=26230113004510040482557000000019071566981118","Ver Danfe")</f>
        <v>Ver Danfe</v>
      </c>
      <c r="Q219" s="46" t="str">
        <f>HYPERLINK("https://cofre.sieg.com/ajax/xml.aspx?nfe=26230113004510040482557000000019071566981118","Baixar Xml")</f>
        <v>Baixar Xml</v>
      </c>
    </row>
    <row r="220" spans="1:17" x14ac:dyDescent="0.75">
      <c r="A220" s="5">
        <v>1909</v>
      </c>
      <c r="B220" s="55">
        <v>372</v>
      </c>
      <c r="C220" s="5" t="s">
        <v>4844</v>
      </c>
      <c r="D220" s="45" t="s">
        <v>1318</v>
      </c>
      <c r="E220" s="45" t="s">
        <v>1134</v>
      </c>
      <c r="F220" s="45" t="s">
        <v>1134</v>
      </c>
      <c r="G220" s="45" t="s">
        <v>1120</v>
      </c>
      <c r="H220" s="45" t="s">
        <v>1126</v>
      </c>
      <c r="I220" s="45" t="s">
        <v>1126</v>
      </c>
      <c r="J220" s="45" t="s">
        <v>4844</v>
      </c>
      <c r="K220" s="45" t="s">
        <v>5190</v>
      </c>
      <c r="L220" s="45" t="s">
        <v>1122</v>
      </c>
      <c r="M220" s="45" t="s">
        <v>1311</v>
      </c>
      <c r="N220" s="45" t="s">
        <v>1312</v>
      </c>
      <c r="O220" s="45" t="s">
        <v>1123</v>
      </c>
      <c r="P220" s="46" t="str">
        <f>HYPERLINK("https://cofre.sieg.com/ajax/danfe.aspx?nfe=26230113004510040482557000000019091892273575","Ver Danfe")</f>
        <v>Ver Danfe</v>
      </c>
      <c r="Q220" s="46" t="str">
        <f>HYPERLINK("https://cofre.sieg.com/ajax/xml.aspx?nfe=26230113004510040482557000000019091892273575","Baixar Xml")</f>
        <v>Baixar Xml</v>
      </c>
    </row>
    <row r="221" spans="1:17" x14ac:dyDescent="0.75">
      <c r="A221" s="5">
        <v>1931</v>
      </c>
      <c r="B221" s="55">
        <v>64.8</v>
      </c>
      <c r="C221" s="5" t="s">
        <v>4866</v>
      </c>
      <c r="D221" s="45" t="s">
        <v>1318</v>
      </c>
      <c r="E221" s="45" t="s">
        <v>1134</v>
      </c>
      <c r="F221" s="45" t="s">
        <v>1134</v>
      </c>
      <c r="G221" s="45" t="s">
        <v>1120</v>
      </c>
      <c r="H221" s="45" t="s">
        <v>1126</v>
      </c>
      <c r="I221" s="45" t="s">
        <v>1126</v>
      </c>
      <c r="J221" s="45" t="s">
        <v>4866</v>
      </c>
      <c r="K221" s="45" t="s">
        <v>5191</v>
      </c>
      <c r="L221" s="45" t="s">
        <v>1122</v>
      </c>
      <c r="M221" s="45" t="s">
        <v>1311</v>
      </c>
      <c r="N221" s="45" t="s">
        <v>1312</v>
      </c>
      <c r="O221" s="45" t="s">
        <v>1123</v>
      </c>
      <c r="P221" s="46" t="str">
        <f>HYPERLINK("https://cofre.sieg.com/ajax/danfe.aspx?nfe=26230113004510040482557000000019311367385820","Ver Danfe")</f>
        <v>Ver Danfe</v>
      </c>
      <c r="Q221" s="46" t="str">
        <f>HYPERLINK("https://cofre.sieg.com/ajax/xml.aspx?nfe=26230113004510040482557000000019311367385820","Baixar Xml")</f>
        <v>Baixar Xml</v>
      </c>
    </row>
    <row r="222" spans="1:17" x14ac:dyDescent="0.75">
      <c r="A222" s="5">
        <v>1776</v>
      </c>
      <c r="B222" s="55">
        <v>677.49</v>
      </c>
      <c r="C222" s="5" t="s">
        <v>4844</v>
      </c>
      <c r="D222" s="45" t="s">
        <v>1319</v>
      </c>
      <c r="E222" s="45" t="s">
        <v>1320</v>
      </c>
      <c r="F222" s="45" t="s">
        <v>1247</v>
      </c>
      <c r="G222" s="45" t="s">
        <v>1120</v>
      </c>
      <c r="H222" s="45" t="s">
        <v>1133</v>
      </c>
      <c r="I222" s="45" t="s">
        <v>1133</v>
      </c>
      <c r="J222" s="45" t="s">
        <v>4844</v>
      </c>
      <c r="K222" s="45" t="s">
        <v>5192</v>
      </c>
      <c r="L222" s="45" t="s">
        <v>1122</v>
      </c>
      <c r="M222" s="45"/>
      <c r="N222" s="45"/>
      <c r="O222" s="45" t="s">
        <v>1123</v>
      </c>
      <c r="P222" s="46" t="str">
        <f>HYPERLINK("https://cofre.sieg.com/ajax/danfe.aspx?nfe=26230113124400000150550020000017761237510966","Ver Danfe")</f>
        <v>Ver Danfe</v>
      </c>
      <c r="Q222" s="46" t="str">
        <f>HYPERLINK("https://cofre.sieg.com/ajax/xml.aspx?nfe=26230113124400000150550020000017761237510966","Baixar Xml")</f>
        <v>Baixar Xml</v>
      </c>
    </row>
    <row r="223" spans="1:17" x14ac:dyDescent="0.75">
      <c r="A223" s="5">
        <v>1834</v>
      </c>
      <c r="B223" s="55">
        <v>1084.6099999999999</v>
      </c>
      <c r="C223" s="5" t="s">
        <v>4866</v>
      </c>
      <c r="D223" s="45" t="s">
        <v>1319</v>
      </c>
      <c r="E223" s="45" t="s">
        <v>1320</v>
      </c>
      <c r="F223" s="45" t="s">
        <v>1247</v>
      </c>
      <c r="G223" s="45" t="s">
        <v>1120</v>
      </c>
      <c r="H223" s="45" t="s">
        <v>1133</v>
      </c>
      <c r="I223" s="45" t="s">
        <v>1133</v>
      </c>
      <c r="J223" s="45" t="s">
        <v>4873</v>
      </c>
      <c r="K223" s="45" t="s">
        <v>5193</v>
      </c>
      <c r="L223" s="45" t="s">
        <v>1122</v>
      </c>
      <c r="M223" s="45" t="s">
        <v>1311</v>
      </c>
      <c r="N223" s="45" t="s">
        <v>1312</v>
      </c>
      <c r="O223" s="45" t="s">
        <v>1123</v>
      </c>
      <c r="P223" s="46" t="str">
        <f>HYPERLINK("https://cofre.sieg.com/ajax/danfe.aspx?nfe=26230113124400000150550020000018341893451909","Ver Danfe")</f>
        <v>Ver Danfe</v>
      </c>
      <c r="Q223" s="46" t="str">
        <f>HYPERLINK("https://cofre.sieg.com/ajax/xml.aspx?nfe=26230113124400000150550020000018341893451909","Baixar Xml")</f>
        <v>Baixar Xml</v>
      </c>
    </row>
    <row r="224" spans="1:17" x14ac:dyDescent="0.75">
      <c r="A224" s="5">
        <v>1847</v>
      </c>
      <c r="B224" s="55">
        <v>3846.55</v>
      </c>
      <c r="C224" s="5" t="s">
        <v>4877</v>
      </c>
      <c r="D224" s="45" t="s">
        <v>1319</v>
      </c>
      <c r="E224" s="45" t="s">
        <v>1320</v>
      </c>
      <c r="F224" s="45" t="s">
        <v>1247</v>
      </c>
      <c r="G224" s="45" t="s">
        <v>1120</v>
      </c>
      <c r="H224" s="45" t="s">
        <v>1133</v>
      </c>
      <c r="I224" s="45" t="s">
        <v>1133</v>
      </c>
      <c r="J224" s="45" t="s">
        <v>4877</v>
      </c>
      <c r="K224" s="45" t="s">
        <v>5194</v>
      </c>
      <c r="L224" s="45" t="s">
        <v>1122</v>
      </c>
      <c r="M224" s="45" t="s">
        <v>1311</v>
      </c>
      <c r="N224" s="45" t="s">
        <v>1312</v>
      </c>
      <c r="O224" s="45" t="s">
        <v>1123</v>
      </c>
      <c r="P224" s="46" t="str">
        <f>HYPERLINK("https://cofre.sieg.com/ajax/danfe.aspx?nfe=26230113124400000150550020000018471259232210","Ver Danfe")</f>
        <v>Ver Danfe</v>
      </c>
      <c r="Q224" s="46" t="str">
        <f>HYPERLINK("https://cofre.sieg.com/ajax/xml.aspx?nfe=26230113124400000150550020000018471259232210","Baixar Xml")</f>
        <v>Baixar Xml</v>
      </c>
    </row>
    <row r="225" spans="1:17" x14ac:dyDescent="0.75">
      <c r="A225" s="5">
        <v>1886</v>
      </c>
      <c r="B225" s="55">
        <v>7903.93</v>
      </c>
      <c r="C225" s="5" t="s">
        <v>4887</v>
      </c>
      <c r="D225" s="45" t="s">
        <v>1319</v>
      </c>
      <c r="E225" s="45" t="s">
        <v>1320</v>
      </c>
      <c r="F225" s="45" t="s">
        <v>1247</v>
      </c>
      <c r="G225" s="45" t="s">
        <v>1120</v>
      </c>
      <c r="H225" s="45" t="s">
        <v>1133</v>
      </c>
      <c r="I225" s="45" t="s">
        <v>1133</v>
      </c>
      <c r="J225" s="45" t="s">
        <v>4887</v>
      </c>
      <c r="K225" s="45" t="s">
        <v>5195</v>
      </c>
      <c r="L225" s="45" t="s">
        <v>1122</v>
      </c>
      <c r="M225" s="45" t="s">
        <v>1311</v>
      </c>
      <c r="N225" s="45" t="s">
        <v>1312</v>
      </c>
      <c r="O225" s="45" t="s">
        <v>1123</v>
      </c>
      <c r="P225" s="46" t="str">
        <f>HYPERLINK("https://cofre.sieg.com/ajax/danfe.aspx?nfe=26230113124400000150550020000018861862225180","Ver Danfe")</f>
        <v>Ver Danfe</v>
      </c>
      <c r="Q225" s="46" t="str">
        <f>HYPERLINK("https://cofre.sieg.com/ajax/xml.aspx?nfe=26230113124400000150550020000018861862225180","Baixar Xml")</f>
        <v>Baixar Xml</v>
      </c>
    </row>
    <row r="226" spans="1:17" x14ac:dyDescent="0.75">
      <c r="A226" s="5">
        <v>1922</v>
      </c>
      <c r="B226" s="55">
        <v>674.52</v>
      </c>
      <c r="C226" s="5" t="s">
        <v>4907</v>
      </c>
      <c r="D226" s="45" t="s">
        <v>1319</v>
      </c>
      <c r="E226" s="45" t="s">
        <v>1320</v>
      </c>
      <c r="F226" s="45" t="s">
        <v>1247</v>
      </c>
      <c r="G226" s="45" t="s">
        <v>1120</v>
      </c>
      <c r="H226" s="45" t="s">
        <v>1133</v>
      </c>
      <c r="I226" s="45" t="s">
        <v>1133</v>
      </c>
      <c r="J226" s="45" t="s">
        <v>4907</v>
      </c>
      <c r="K226" s="45" t="s">
        <v>5196</v>
      </c>
      <c r="L226" s="45" t="s">
        <v>1122</v>
      </c>
      <c r="M226" s="45"/>
      <c r="N226" s="45"/>
      <c r="O226" s="45" t="s">
        <v>1123</v>
      </c>
      <c r="P226" s="46" t="str">
        <f>HYPERLINK("https://cofre.sieg.com/ajax/danfe.aspx?nfe=26230113124400000150550020000019221912880673","Ver Danfe")</f>
        <v>Ver Danfe</v>
      </c>
      <c r="Q226" s="46" t="str">
        <f>HYPERLINK("https://cofre.sieg.com/ajax/xml.aspx?nfe=26230113124400000150550020000019221912880673","Baixar Xml")</f>
        <v>Baixar Xml</v>
      </c>
    </row>
    <row r="227" spans="1:17" x14ac:dyDescent="0.75">
      <c r="A227" s="5">
        <v>6712</v>
      </c>
      <c r="B227" s="55">
        <v>11757.1</v>
      </c>
      <c r="C227" s="5" t="s">
        <v>4887</v>
      </c>
      <c r="D227" s="45" t="s">
        <v>5197</v>
      </c>
      <c r="E227" s="45" t="s">
        <v>5198</v>
      </c>
      <c r="F227" s="45" t="s">
        <v>284</v>
      </c>
      <c r="G227" s="45" t="s">
        <v>1120</v>
      </c>
      <c r="H227" s="45" t="s">
        <v>1141</v>
      </c>
      <c r="I227" s="45" t="s">
        <v>1141</v>
      </c>
      <c r="J227" s="45" t="s">
        <v>4887</v>
      </c>
      <c r="K227" s="45" t="s">
        <v>5199</v>
      </c>
      <c r="L227" s="45" t="s">
        <v>1122</v>
      </c>
      <c r="M227" s="45"/>
      <c r="N227" s="45"/>
      <c r="O227" s="45" t="s">
        <v>1123</v>
      </c>
      <c r="P227" s="46" t="str">
        <f>HYPERLINK("https://cofre.sieg.com/ajax/danfe.aspx?nfe=26230113261525000122550010000067121263815293","Ver Danfe")</f>
        <v>Ver Danfe</v>
      </c>
      <c r="Q227" s="46" t="str">
        <f>HYPERLINK("https://cofre.sieg.com/ajax/xml.aspx?nfe=26230113261525000122550010000067121263815293","Baixar Xml")</f>
        <v>Baixar Xml</v>
      </c>
    </row>
    <row r="228" spans="1:17" x14ac:dyDescent="0.75">
      <c r="A228" s="5">
        <v>6713</v>
      </c>
      <c r="B228" s="55">
        <v>4475.9399999999996</v>
      </c>
      <c r="C228" s="5" t="s">
        <v>4887</v>
      </c>
      <c r="D228" s="45" t="s">
        <v>5197</v>
      </c>
      <c r="E228" s="45" t="s">
        <v>5198</v>
      </c>
      <c r="F228" s="45" t="s">
        <v>284</v>
      </c>
      <c r="G228" s="45" t="s">
        <v>1120</v>
      </c>
      <c r="H228" s="45" t="s">
        <v>1141</v>
      </c>
      <c r="I228" s="45" t="s">
        <v>1141</v>
      </c>
      <c r="J228" s="45" t="s">
        <v>4887</v>
      </c>
      <c r="K228" s="45" t="s">
        <v>5200</v>
      </c>
      <c r="L228" s="45" t="s">
        <v>1122</v>
      </c>
      <c r="M228" s="45"/>
      <c r="N228" s="45"/>
      <c r="O228" s="45" t="s">
        <v>1123</v>
      </c>
      <c r="P228" s="46" t="str">
        <f>HYPERLINK("https://cofre.sieg.com/ajax/danfe.aspx?nfe=26230113261525000122550010000067131027629160","Ver Danfe")</f>
        <v>Ver Danfe</v>
      </c>
      <c r="Q228" s="46" t="str">
        <f>HYPERLINK("https://cofre.sieg.com/ajax/xml.aspx?nfe=26230113261525000122550010000067131027629160","Baixar Xml")</f>
        <v>Baixar Xml</v>
      </c>
    </row>
    <row r="229" spans="1:17" x14ac:dyDescent="0.75">
      <c r="A229" s="5">
        <v>308671</v>
      </c>
      <c r="B229" s="55">
        <v>640.6</v>
      </c>
      <c r="C229" s="5" t="s">
        <v>4825</v>
      </c>
      <c r="D229" s="45" t="s">
        <v>1170</v>
      </c>
      <c r="E229" s="45" t="s">
        <v>1171</v>
      </c>
      <c r="F229" s="45" t="s">
        <v>332</v>
      </c>
      <c r="G229" s="45" t="s">
        <v>1120</v>
      </c>
      <c r="H229" s="45" t="s">
        <v>1133</v>
      </c>
      <c r="I229" s="45" t="s">
        <v>1133</v>
      </c>
      <c r="J229" s="45" t="s">
        <v>4825</v>
      </c>
      <c r="K229" s="45" t="s">
        <v>5201</v>
      </c>
      <c r="L229" s="45" t="s">
        <v>1122</v>
      </c>
      <c r="M229" s="45"/>
      <c r="N229" s="45"/>
      <c r="O229" s="45" t="s">
        <v>1123</v>
      </c>
      <c r="P229" s="46" t="str">
        <f>HYPERLINK("https://cofre.sieg.com/ajax/danfe.aspx?nfe=26230113897212000165550010003086711360017240","Ver Danfe")</f>
        <v>Ver Danfe</v>
      </c>
      <c r="Q229" s="46" t="str">
        <f>HYPERLINK("https://cofre.sieg.com/ajax/xml.aspx?nfe=26230113897212000165550010003086711360017240","Baixar Xml")</f>
        <v>Baixar Xml</v>
      </c>
    </row>
    <row r="230" spans="1:17" x14ac:dyDescent="0.75">
      <c r="A230" s="5">
        <v>308704</v>
      </c>
      <c r="B230" s="55">
        <v>480</v>
      </c>
      <c r="C230" s="5" t="s">
        <v>4826</v>
      </c>
      <c r="D230" s="45" t="s">
        <v>1170</v>
      </c>
      <c r="E230" s="45" t="s">
        <v>1171</v>
      </c>
      <c r="F230" s="45" t="s">
        <v>332</v>
      </c>
      <c r="G230" s="45" t="s">
        <v>1120</v>
      </c>
      <c r="H230" s="45" t="s">
        <v>1133</v>
      </c>
      <c r="I230" s="45" t="s">
        <v>1133</v>
      </c>
      <c r="J230" s="45" t="s">
        <v>4826</v>
      </c>
      <c r="K230" s="45" t="s">
        <v>5202</v>
      </c>
      <c r="L230" s="45" t="s">
        <v>1122</v>
      </c>
      <c r="M230" s="45" t="s">
        <v>1311</v>
      </c>
      <c r="N230" s="45" t="s">
        <v>1312</v>
      </c>
      <c r="O230" s="45" t="s">
        <v>1123</v>
      </c>
      <c r="P230" s="46" t="str">
        <f>HYPERLINK("https://cofre.sieg.com/ajax/danfe.aspx?nfe=26230113897212000165550010003087041370010276","Ver Danfe")</f>
        <v>Ver Danfe</v>
      </c>
      <c r="Q230" s="46" t="str">
        <f>HYPERLINK("https://cofre.sieg.com/ajax/xml.aspx?nfe=26230113897212000165550010003087041370010276","Baixar Xml")</f>
        <v>Baixar Xml</v>
      </c>
    </row>
    <row r="231" spans="1:17" x14ac:dyDescent="0.75">
      <c r="A231" s="5">
        <v>308858</v>
      </c>
      <c r="B231" s="55">
        <v>328</v>
      </c>
      <c r="C231" s="5" t="s">
        <v>4844</v>
      </c>
      <c r="D231" s="45" t="s">
        <v>1170</v>
      </c>
      <c r="E231" s="45" t="s">
        <v>1171</v>
      </c>
      <c r="F231" s="45" t="s">
        <v>332</v>
      </c>
      <c r="G231" s="45" t="s">
        <v>1120</v>
      </c>
      <c r="H231" s="45" t="s">
        <v>1133</v>
      </c>
      <c r="I231" s="45" t="s">
        <v>1133</v>
      </c>
      <c r="J231" s="45" t="s">
        <v>4844</v>
      </c>
      <c r="K231" s="45" t="s">
        <v>5203</v>
      </c>
      <c r="L231" s="45" t="s">
        <v>1122</v>
      </c>
      <c r="M231" s="45" t="s">
        <v>1311</v>
      </c>
      <c r="N231" s="45" t="s">
        <v>1312</v>
      </c>
      <c r="O231" s="45" t="s">
        <v>1123</v>
      </c>
      <c r="P231" s="46" t="str">
        <f>HYPERLINK("https://cofre.sieg.com/ajax/danfe.aspx?nfe=26230113897212000165550010003088581380015277","Ver Danfe")</f>
        <v>Ver Danfe</v>
      </c>
      <c r="Q231" s="46" t="str">
        <f>HYPERLINK("https://cofre.sieg.com/ajax/xml.aspx?nfe=26230113897212000165550010003088581380015277","Baixar Xml")</f>
        <v>Baixar Xml</v>
      </c>
    </row>
    <row r="232" spans="1:17" x14ac:dyDescent="0.75">
      <c r="A232" s="5">
        <v>308876</v>
      </c>
      <c r="B232" s="55">
        <v>624</v>
      </c>
      <c r="C232" s="5" t="s">
        <v>4846</v>
      </c>
      <c r="D232" s="45" t="s">
        <v>1170</v>
      </c>
      <c r="E232" s="45" t="s">
        <v>1171</v>
      </c>
      <c r="F232" s="45" t="s">
        <v>332</v>
      </c>
      <c r="G232" s="45" t="s">
        <v>1120</v>
      </c>
      <c r="H232" s="45" t="s">
        <v>1133</v>
      </c>
      <c r="I232" s="45" t="s">
        <v>1133</v>
      </c>
      <c r="J232" s="45" t="s">
        <v>4846</v>
      </c>
      <c r="K232" s="45" t="s">
        <v>5204</v>
      </c>
      <c r="L232" s="45" t="s">
        <v>1122</v>
      </c>
      <c r="M232" s="45" t="s">
        <v>1311</v>
      </c>
      <c r="N232" s="45" t="s">
        <v>1312</v>
      </c>
      <c r="O232" s="45" t="s">
        <v>1123</v>
      </c>
      <c r="P232" s="46" t="str">
        <f>HYPERLINK("https://cofre.sieg.com/ajax/danfe.aspx?nfe=26230113897212000165550010003088761380017219","Ver Danfe")</f>
        <v>Ver Danfe</v>
      </c>
      <c r="Q232" s="46" t="str">
        <f>HYPERLINK("https://cofre.sieg.com/ajax/xml.aspx?nfe=26230113897212000165550010003088761380017219","Baixar Xml")</f>
        <v>Baixar Xml</v>
      </c>
    </row>
    <row r="233" spans="1:17" x14ac:dyDescent="0.75">
      <c r="A233" s="5">
        <v>308940</v>
      </c>
      <c r="B233" s="55">
        <v>385</v>
      </c>
      <c r="C233" s="5" t="s">
        <v>4857</v>
      </c>
      <c r="D233" s="45" t="s">
        <v>1170</v>
      </c>
      <c r="E233" s="45" t="s">
        <v>1171</v>
      </c>
      <c r="F233" s="45" t="s">
        <v>332</v>
      </c>
      <c r="G233" s="45" t="s">
        <v>1120</v>
      </c>
      <c r="H233" s="45" t="s">
        <v>1133</v>
      </c>
      <c r="I233" s="45" t="s">
        <v>1133</v>
      </c>
      <c r="J233" s="45" t="s">
        <v>4857</v>
      </c>
      <c r="K233" s="45" t="s">
        <v>5205</v>
      </c>
      <c r="L233" s="45" t="s">
        <v>1122</v>
      </c>
      <c r="M233" s="45" t="s">
        <v>1311</v>
      </c>
      <c r="N233" s="45" t="s">
        <v>1312</v>
      </c>
      <c r="O233" s="45" t="s">
        <v>1123</v>
      </c>
      <c r="P233" s="46" t="str">
        <f>HYPERLINK("https://cofre.sieg.com/ajax/danfe.aspx?nfe=26230113897212000165550010003089401390014231","Ver Danfe")</f>
        <v>Ver Danfe</v>
      </c>
      <c r="Q233" s="46" t="str">
        <f>HYPERLINK("https://cofre.sieg.com/ajax/xml.aspx?nfe=26230113897212000165550010003089401390014231","Baixar Xml")</f>
        <v>Baixar Xml</v>
      </c>
    </row>
    <row r="234" spans="1:17" x14ac:dyDescent="0.75">
      <c r="A234" s="5">
        <v>308981</v>
      </c>
      <c r="B234" s="55">
        <v>552</v>
      </c>
      <c r="C234" s="5" t="s">
        <v>4861</v>
      </c>
      <c r="D234" s="45" t="s">
        <v>1170</v>
      </c>
      <c r="E234" s="45" t="s">
        <v>1171</v>
      </c>
      <c r="F234" s="45" t="s">
        <v>332</v>
      </c>
      <c r="G234" s="45" t="s">
        <v>1120</v>
      </c>
      <c r="H234" s="45" t="s">
        <v>1133</v>
      </c>
      <c r="I234" s="45" t="s">
        <v>1133</v>
      </c>
      <c r="J234" s="45" t="s">
        <v>4861</v>
      </c>
      <c r="K234" s="45" t="s">
        <v>5206</v>
      </c>
      <c r="L234" s="45" t="s">
        <v>1122</v>
      </c>
      <c r="M234" s="45"/>
      <c r="N234" s="45"/>
      <c r="O234" s="45" t="s">
        <v>1123</v>
      </c>
      <c r="P234" s="46" t="str">
        <f>HYPERLINK("https://cofre.sieg.com/ajax/danfe.aspx?nfe=26230113897212000165550010003089811390018221","Ver Danfe")</f>
        <v>Ver Danfe</v>
      </c>
      <c r="Q234" s="46" t="str">
        <f>HYPERLINK("https://cofre.sieg.com/ajax/xml.aspx?nfe=26230113897212000165550010003089811390018221","Baixar Xml")</f>
        <v>Baixar Xml</v>
      </c>
    </row>
    <row r="235" spans="1:17" x14ac:dyDescent="0.75">
      <c r="A235" s="5">
        <v>309135</v>
      </c>
      <c r="B235" s="55">
        <v>1426</v>
      </c>
      <c r="C235" s="5" t="s">
        <v>4873</v>
      </c>
      <c r="D235" s="45" t="s">
        <v>1170</v>
      </c>
      <c r="E235" s="45" t="s">
        <v>1171</v>
      </c>
      <c r="F235" s="45" t="s">
        <v>332</v>
      </c>
      <c r="G235" s="45" t="s">
        <v>1120</v>
      </c>
      <c r="H235" s="45" t="s">
        <v>1133</v>
      </c>
      <c r="I235" s="45" t="s">
        <v>1133</v>
      </c>
      <c r="J235" s="45" t="s">
        <v>4873</v>
      </c>
      <c r="K235" s="45" t="s">
        <v>5207</v>
      </c>
      <c r="L235" s="45" t="s">
        <v>1122</v>
      </c>
      <c r="M235" s="45" t="s">
        <v>1311</v>
      </c>
      <c r="N235" s="45" t="s">
        <v>1312</v>
      </c>
      <c r="O235" s="45" t="s">
        <v>1123</v>
      </c>
      <c r="P235" s="46" t="str">
        <f>HYPERLINK("https://cofre.sieg.com/ajax/danfe.aspx?nfe=26230113897212000165550010003091351310013277","Ver Danfe")</f>
        <v>Ver Danfe</v>
      </c>
      <c r="Q235" s="46" t="str">
        <f>HYPERLINK("https://cofre.sieg.com/ajax/xml.aspx?nfe=26230113897212000165550010003091351310013277","Baixar Xml")</f>
        <v>Baixar Xml</v>
      </c>
    </row>
    <row r="236" spans="1:17" x14ac:dyDescent="0.75">
      <c r="A236" s="5">
        <v>309169</v>
      </c>
      <c r="B236" s="55">
        <v>1104</v>
      </c>
      <c r="C236" s="5" t="s">
        <v>4877</v>
      </c>
      <c r="D236" s="45" t="s">
        <v>1170</v>
      </c>
      <c r="E236" s="45" t="s">
        <v>1171</v>
      </c>
      <c r="F236" s="45" t="s">
        <v>332</v>
      </c>
      <c r="G236" s="45" t="s">
        <v>1120</v>
      </c>
      <c r="H236" s="45" t="s">
        <v>1133</v>
      </c>
      <c r="I236" s="45" t="s">
        <v>1133</v>
      </c>
      <c r="J236" s="45" t="s">
        <v>4877</v>
      </c>
      <c r="K236" s="45" t="s">
        <v>5208</v>
      </c>
      <c r="L236" s="45" t="s">
        <v>1122</v>
      </c>
      <c r="M236" s="45" t="s">
        <v>1311</v>
      </c>
      <c r="N236" s="45" t="s">
        <v>1312</v>
      </c>
      <c r="O236" s="45" t="s">
        <v>1123</v>
      </c>
      <c r="P236" s="46" t="str">
        <f>HYPERLINK("https://cofre.sieg.com/ajax/danfe.aspx?nfe=26230113897212000165550010003091691310016290","Ver Danfe")</f>
        <v>Ver Danfe</v>
      </c>
      <c r="Q236" s="46" t="str">
        <f>HYPERLINK("https://cofre.sieg.com/ajax/xml.aspx?nfe=26230113897212000165550010003091691310016290","Baixar Xml")</f>
        <v>Baixar Xml</v>
      </c>
    </row>
    <row r="237" spans="1:17" x14ac:dyDescent="0.75">
      <c r="A237" s="5">
        <v>309213</v>
      </c>
      <c r="B237" s="55">
        <v>372</v>
      </c>
      <c r="C237" s="5" t="s">
        <v>4883</v>
      </c>
      <c r="D237" s="45" t="s">
        <v>1170</v>
      </c>
      <c r="E237" s="45" t="s">
        <v>1171</v>
      </c>
      <c r="F237" s="45" t="s">
        <v>332</v>
      </c>
      <c r="G237" s="45" t="s">
        <v>1120</v>
      </c>
      <c r="H237" s="45" t="s">
        <v>1133</v>
      </c>
      <c r="I237" s="45" t="s">
        <v>1133</v>
      </c>
      <c r="J237" s="45" t="s">
        <v>4883</v>
      </c>
      <c r="K237" s="45" t="s">
        <v>5209</v>
      </c>
      <c r="L237" s="45" t="s">
        <v>1122</v>
      </c>
      <c r="M237" s="45"/>
      <c r="N237" s="45"/>
      <c r="O237" s="45" t="s">
        <v>1123</v>
      </c>
      <c r="P237" s="46" t="str">
        <f>HYPERLINK("https://cofre.sieg.com/ajax/danfe.aspx?nfe=26230113897212000165550010003092131320011267","Ver Danfe")</f>
        <v>Ver Danfe</v>
      </c>
      <c r="Q237" s="46" t="str">
        <f>HYPERLINK("https://cofre.sieg.com/ajax/xml.aspx?nfe=26230113897212000165550010003092131320011267","Baixar Xml")</f>
        <v>Baixar Xml</v>
      </c>
    </row>
    <row r="238" spans="1:17" x14ac:dyDescent="0.75">
      <c r="A238" s="5">
        <v>309362</v>
      </c>
      <c r="B238" s="55">
        <v>528</v>
      </c>
      <c r="C238" s="5" t="s">
        <v>4900</v>
      </c>
      <c r="D238" s="45" t="s">
        <v>1170</v>
      </c>
      <c r="E238" s="45" t="s">
        <v>1171</v>
      </c>
      <c r="F238" s="45" t="s">
        <v>332</v>
      </c>
      <c r="G238" s="45" t="s">
        <v>1120</v>
      </c>
      <c r="H238" s="45" t="s">
        <v>1133</v>
      </c>
      <c r="I238" s="45" t="s">
        <v>1133</v>
      </c>
      <c r="J238" s="45" t="s">
        <v>4900</v>
      </c>
      <c r="K238" s="45" t="s">
        <v>5210</v>
      </c>
      <c r="L238" s="45" t="s">
        <v>1122</v>
      </c>
      <c r="M238" s="45" t="s">
        <v>1311</v>
      </c>
      <c r="N238" s="45" t="s">
        <v>1312</v>
      </c>
      <c r="O238" s="45" t="s">
        <v>1123</v>
      </c>
      <c r="P238" s="46" t="str">
        <f>HYPERLINK("https://cofre.sieg.com/ajax/danfe.aspx?nfe=26230113897212000165550010003093621330016261","Ver Danfe")</f>
        <v>Ver Danfe</v>
      </c>
      <c r="Q238" s="46" t="str">
        <f>HYPERLINK("https://cofre.sieg.com/ajax/xml.aspx?nfe=26230113897212000165550010003093621330016261","Baixar Xml")</f>
        <v>Baixar Xml</v>
      </c>
    </row>
    <row r="239" spans="1:17" x14ac:dyDescent="0.75">
      <c r="A239" s="5">
        <v>309400</v>
      </c>
      <c r="B239" s="55">
        <v>210</v>
      </c>
      <c r="C239" s="5" t="s">
        <v>4907</v>
      </c>
      <c r="D239" s="45" t="s">
        <v>1170</v>
      </c>
      <c r="E239" s="45" t="s">
        <v>1171</v>
      </c>
      <c r="F239" s="45" t="s">
        <v>332</v>
      </c>
      <c r="G239" s="45" t="s">
        <v>1120</v>
      </c>
      <c r="H239" s="45" t="s">
        <v>1133</v>
      </c>
      <c r="I239" s="45" t="s">
        <v>1133</v>
      </c>
      <c r="J239" s="45" t="s">
        <v>4907</v>
      </c>
      <c r="K239" s="45" t="s">
        <v>5211</v>
      </c>
      <c r="L239" s="45" t="s">
        <v>1122</v>
      </c>
      <c r="M239" s="45"/>
      <c r="N239" s="45"/>
      <c r="O239" s="45" t="s">
        <v>1123</v>
      </c>
      <c r="P239" s="46" t="str">
        <f>HYPERLINK("https://cofre.sieg.com/ajax/danfe.aspx?nfe=26230113897212000165550010003094001340010269","Ver Danfe")</f>
        <v>Ver Danfe</v>
      </c>
      <c r="Q239" s="46" t="str">
        <f>HYPERLINK("https://cofre.sieg.com/ajax/xml.aspx?nfe=26230113897212000165550010003094001340010269","Baixar Xml")</f>
        <v>Baixar Xml</v>
      </c>
    </row>
    <row r="240" spans="1:17" x14ac:dyDescent="0.75">
      <c r="A240" s="5">
        <v>309433</v>
      </c>
      <c r="B240" s="55">
        <v>420</v>
      </c>
      <c r="C240" s="5" t="s">
        <v>4908</v>
      </c>
      <c r="D240" s="45" t="s">
        <v>1170</v>
      </c>
      <c r="E240" s="45" t="s">
        <v>1171</v>
      </c>
      <c r="F240" s="45" t="s">
        <v>332</v>
      </c>
      <c r="G240" s="45" t="s">
        <v>1120</v>
      </c>
      <c r="H240" s="45" t="s">
        <v>1133</v>
      </c>
      <c r="I240" s="45" t="s">
        <v>1133</v>
      </c>
      <c r="J240" s="45" t="s">
        <v>4908</v>
      </c>
      <c r="K240" s="45" t="s">
        <v>5212</v>
      </c>
      <c r="L240" s="45" t="s">
        <v>1122</v>
      </c>
      <c r="M240" s="45" t="s">
        <v>1311</v>
      </c>
      <c r="N240" s="45" t="s">
        <v>1312</v>
      </c>
      <c r="O240" s="45" t="s">
        <v>1123</v>
      </c>
      <c r="P240" s="46" t="str">
        <f>HYPERLINK("https://cofre.sieg.com/ajax/danfe.aspx?nfe=26230113897212000165550010003094331340013285","Ver Danfe")</f>
        <v>Ver Danfe</v>
      </c>
      <c r="Q240" s="46" t="str">
        <f>HYPERLINK("https://cofre.sieg.com/ajax/xml.aspx?nfe=26230113897212000165550010003094331340013285","Baixar Xml")</f>
        <v>Baixar Xml</v>
      </c>
    </row>
    <row r="241" spans="1:17" x14ac:dyDescent="0.75">
      <c r="A241" s="5">
        <v>309477</v>
      </c>
      <c r="B241" s="55">
        <v>474</v>
      </c>
      <c r="C241" s="5" t="s">
        <v>4912</v>
      </c>
      <c r="D241" s="45" t="s">
        <v>1170</v>
      </c>
      <c r="E241" s="45" t="s">
        <v>1171</v>
      </c>
      <c r="F241" s="45" t="s">
        <v>332</v>
      </c>
      <c r="G241" s="45" t="s">
        <v>1120</v>
      </c>
      <c r="H241" s="45" t="s">
        <v>1133</v>
      </c>
      <c r="I241" s="45" t="s">
        <v>1133</v>
      </c>
      <c r="J241" s="45" t="s">
        <v>4912</v>
      </c>
      <c r="K241" s="45" t="s">
        <v>5213</v>
      </c>
      <c r="L241" s="45" t="s">
        <v>1122</v>
      </c>
      <c r="M241" s="45" t="s">
        <v>1311</v>
      </c>
      <c r="N241" s="45" t="s">
        <v>1312</v>
      </c>
      <c r="O241" s="45" t="s">
        <v>1123</v>
      </c>
      <c r="P241" s="46" t="str">
        <f>HYPERLINK("https://cofre.sieg.com/ajax/danfe.aspx?nfe=26230113897212000165550010003094771340017277","Ver Danfe")</f>
        <v>Ver Danfe</v>
      </c>
      <c r="Q241" s="46" t="str">
        <f>HYPERLINK("https://cofre.sieg.com/ajax/xml.aspx?nfe=26230113897212000165550010003094771340017277","Baixar Xml")</f>
        <v>Baixar Xml</v>
      </c>
    </row>
    <row r="242" spans="1:17" x14ac:dyDescent="0.75">
      <c r="A242" s="5">
        <v>309501</v>
      </c>
      <c r="B242" s="55">
        <v>210</v>
      </c>
      <c r="C242" s="5" t="s">
        <v>4919</v>
      </c>
      <c r="D242" s="45" t="s">
        <v>1170</v>
      </c>
      <c r="E242" s="45" t="s">
        <v>1171</v>
      </c>
      <c r="F242" s="45" t="s">
        <v>332</v>
      </c>
      <c r="G242" s="45" t="s">
        <v>1120</v>
      </c>
      <c r="H242" s="45" t="s">
        <v>1133</v>
      </c>
      <c r="I242" s="45" t="s">
        <v>1133</v>
      </c>
      <c r="J242" s="45" t="s">
        <v>4919</v>
      </c>
      <c r="K242" s="45" t="s">
        <v>5214</v>
      </c>
      <c r="L242" s="45" t="s">
        <v>1122</v>
      </c>
      <c r="M242" s="45" t="s">
        <v>1311</v>
      </c>
      <c r="N242" s="45" t="s">
        <v>1312</v>
      </c>
      <c r="O242" s="45" t="s">
        <v>1123</v>
      </c>
      <c r="P242" s="46" t="str">
        <f>HYPERLINK("https://cofre.sieg.com/ajax/danfe.aspx?nfe=26230113897212000165550010003095011350010205","Ver Danfe")</f>
        <v>Ver Danfe</v>
      </c>
      <c r="Q242" s="46" t="str">
        <f>HYPERLINK("https://cofre.sieg.com/ajax/xml.aspx?nfe=26230113897212000165550010003095011350010205","Baixar Xml")</f>
        <v>Baixar Xml</v>
      </c>
    </row>
    <row r="243" spans="1:17" x14ac:dyDescent="0.75">
      <c r="A243" s="5">
        <v>309549</v>
      </c>
      <c r="B243" s="55">
        <v>504</v>
      </c>
      <c r="C243" s="5" t="s">
        <v>4923</v>
      </c>
      <c r="D243" s="45" t="s">
        <v>1170</v>
      </c>
      <c r="E243" s="45" t="s">
        <v>1171</v>
      </c>
      <c r="F243" s="45" t="s">
        <v>332</v>
      </c>
      <c r="G243" s="45" t="s">
        <v>1120</v>
      </c>
      <c r="H243" s="45" t="s">
        <v>1133</v>
      </c>
      <c r="I243" s="45" t="s">
        <v>1133</v>
      </c>
      <c r="J243" s="45" t="s">
        <v>4923</v>
      </c>
      <c r="K243" s="45" t="s">
        <v>5215</v>
      </c>
      <c r="L243" s="45" t="s">
        <v>1122</v>
      </c>
      <c r="M243" s="45" t="s">
        <v>1148</v>
      </c>
      <c r="N243" s="45" t="s">
        <v>1149</v>
      </c>
      <c r="O243" s="45" t="s">
        <v>1150</v>
      </c>
      <c r="P243" s="46" t="str">
        <f>HYPERLINK("https://cofre.sieg.com/ajax/danfe.aspx?nfe=26230113897212000165550010003095491350014298","Ver Danfe")</f>
        <v>Ver Danfe</v>
      </c>
      <c r="Q243" s="46" t="str">
        <f>HYPERLINK("https://cofre.sieg.com/ajax/xml.aspx?nfe=26230113897212000165550010003095491350014298","Baixar Xml")</f>
        <v>Baixar Xml</v>
      </c>
    </row>
    <row r="244" spans="1:17" x14ac:dyDescent="0.75">
      <c r="A244" s="5">
        <v>309557</v>
      </c>
      <c r="B244" s="55">
        <v>504</v>
      </c>
      <c r="C244" s="5" t="s">
        <v>4923</v>
      </c>
      <c r="D244" s="45" t="s">
        <v>1170</v>
      </c>
      <c r="E244" s="45" t="s">
        <v>1171</v>
      </c>
      <c r="F244" s="45" t="s">
        <v>332</v>
      </c>
      <c r="G244" s="45" t="s">
        <v>1120</v>
      </c>
      <c r="H244" s="45" t="s">
        <v>1133</v>
      </c>
      <c r="I244" s="45" t="s">
        <v>1133</v>
      </c>
      <c r="J244" s="45" t="s">
        <v>4923</v>
      </c>
      <c r="K244" s="45" t="s">
        <v>5216</v>
      </c>
      <c r="L244" s="45" t="s">
        <v>1122</v>
      </c>
      <c r="M244" s="45"/>
      <c r="N244" s="45"/>
      <c r="O244" s="45" t="s">
        <v>1123</v>
      </c>
      <c r="P244" s="46" t="str">
        <f>HYPERLINK("https://cofre.sieg.com/ajax/danfe.aspx?nfe=26230113897212000165550010003095571350015261","Ver Danfe")</f>
        <v>Ver Danfe</v>
      </c>
      <c r="Q244" s="46" t="str">
        <f>HYPERLINK("https://cofre.sieg.com/ajax/xml.aspx?nfe=26230113897212000165550010003095571350015261","Baixar Xml")</f>
        <v>Baixar Xml</v>
      </c>
    </row>
    <row r="245" spans="1:17" x14ac:dyDescent="0.75">
      <c r="A245" s="5">
        <v>309567</v>
      </c>
      <c r="B245" s="55">
        <v>210</v>
      </c>
      <c r="C245" s="5" t="s">
        <v>4930</v>
      </c>
      <c r="D245" s="45" t="s">
        <v>1170</v>
      </c>
      <c r="E245" s="45" t="s">
        <v>1171</v>
      </c>
      <c r="F245" s="45" t="s">
        <v>332</v>
      </c>
      <c r="G245" s="45" t="s">
        <v>1120</v>
      </c>
      <c r="H245" s="45" t="s">
        <v>1133</v>
      </c>
      <c r="I245" s="45" t="s">
        <v>1133</v>
      </c>
      <c r="J245" s="45" t="s">
        <v>4930</v>
      </c>
      <c r="K245" s="45" t="s">
        <v>5217</v>
      </c>
      <c r="L245" s="45" t="s">
        <v>1122</v>
      </c>
      <c r="M245" s="45"/>
      <c r="N245" s="45"/>
      <c r="O245" s="45" t="s">
        <v>1123</v>
      </c>
      <c r="P245" s="46" t="str">
        <f>HYPERLINK("https://cofre.sieg.com/ajax/danfe.aspx?nfe=26230113897212000165550010003095671350016230","Ver Danfe")</f>
        <v>Ver Danfe</v>
      </c>
      <c r="Q245" s="46" t="str">
        <f>HYPERLINK("https://cofre.sieg.com/ajax/xml.aspx?nfe=26230113897212000165550010003095671350016230","Baixar Xml")</f>
        <v>Baixar Xml</v>
      </c>
    </row>
    <row r="246" spans="1:17" x14ac:dyDescent="0.75">
      <c r="A246" s="5">
        <v>10139</v>
      </c>
      <c r="B246" s="55">
        <v>760</v>
      </c>
      <c r="C246" s="5" t="s">
        <v>4834</v>
      </c>
      <c r="D246" s="45" t="s">
        <v>1172</v>
      </c>
      <c r="E246" s="45" t="s">
        <v>1173</v>
      </c>
      <c r="F246" s="45" t="s">
        <v>334</v>
      </c>
      <c r="G246" s="45" t="s">
        <v>1120</v>
      </c>
      <c r="H246" s="45" t="s">
        <v>1121</v>
      </c>
      <c r="I246" s="45" t="s">
        <v>1121</v>
      </c>
      <c r="J246" s="45" t="s">
        <v>4834</v>
      </c>
      <c r="K246" s="45" t="s">
        <v>5218</v>
      </c>
      <c r="L246" s="45" t="s">
        <v>1122</v>
      </c>
      <c r="M246" s="45" t="s">
        <v>1311</v>
      </c>
      <c r="N246" s="45" t="s">
        <v>1312</v>
      </c>
      <c r="O246" s="45" t="s">
        <v>1123</v>
      </c>
      <c r="P246" s="46" t="str">
        <f>HYPERLINK("https://cofre.sieg.com/ajax/danfe.aspx?nfe=26230114256097000102550010000101391274242483","Ver Danfe")</f>
        <v>Ver Danfe</v>
      </c>
      <c r="Q246" s="46" t="str">
        <f>HYPERLINK("https://cofre.sieg.com/ajax/xml.aspx?nfe=26230114256097000102550010000101391274242483","Baixar Xml")</f>
        <v>Baixar Xml</v>
      </c>
    </row>
    <row r="247" spans="1:17" x14ac:dyDescent="0.75">
      <c r="A247" s="5">
        <v>10140</v>
      </c>
      <c r="B247" s="55">
        <v>210</v>
      </c>
      <c r="C247" s="5" t="s">
        <v>4834</v>
      </c>
      <c r="D247" s="45" t="s">
        <v>1172</v>
      </c>
      <c r="E247" s="45" t="s">
        <v>1173</v>
      </c>
      <c r="F247" s="45" t="s">
        <v>334</v>
      </c>
      <c r="G247" s="45" t="s">
        <v>1120</v>
      </c>
      <c r="H247" s="45" t="s">
        <v>1121</v>
      </c>
      <c r="I247" s="45" t="s">
        <v>1121</v>
      </c>
      <c r="J247" s="45" t="s">
        <v>4834</v>
      </c>
      <c r="K247" s="45" t="s">
        <v>5219</v>
      </c>
      <c r="L247" s="45" t="s">
        <v>1122</v>
      </c>
      <c r="M247" s="45" t="s">
        <v>1311</v>
      </c>
      <c r="N247" s="45" t="s">
        <v>1312</v>
      </c>
      <c r="O247" s="45" t="s">
        <v>1123</v>
      </c>
      <c r="P247" s="46" t="str">
        <f>HYPERLINK("https://cofre.sieg.com/ajax/danfe.aspx?nfe=26230114256097000102550010000101401150651790","Ver Danfe")</f>
        <v>Ver Danfe</v>
      </c>
      <c r="Q247" s="46" t="str">
        <f>HYPERLINK("https://cofre.sieg.com/ajax/xml.aspx?nfe=26230114256097000102550010000101401150651790","Baixar Xml")</f>
        <v>Baixar Xml</v>
      </c>
    </row>
    <row r="248" spans="1:17" x14ac:dyDescent="0.75">
      <c r="A248" s="5">
        <v>10141</v>
      </c>
      <c r="B248" s="55">
        <v>420</v>
      </c>
      <c r="C248" s="5" t="s">
        <v>4834</v>
      </c>
      <c r="D248" s="45" t="s">
        <v>1172</v>
      </c>
      <c r="E248" s="45" t="s">
        <v>1173</v>
      </c>
      <c r="F248" s="45" t="s">
        <v>334</v>
      </c>
      <c r="G248" s="45" t="s">
        <v>1120</v>
      </c>
      <c r="H248" s="45" t="s">
        <v>1121</v>
      </c>
      <c r="I248" s="45" t="s">
        <v>1121</v>
      </c>
      <c r="J248" s="45" t="s">
        <v>4834</v>
      </c>
      <c r="K248" s="45" t="s">
        <v>5220</v>
      </c>
      <c r="L248" s="45" t="s">
        <v>1122</v>
      </c>
      <c r="M248" s="45" t="s">
        <v>1311</v>
      </c>
      <c r="N248" s="45" t="s">
        <v>1312</v>
      </c>
      <c r="O248" s="45" t="s">
        <v>1123</v>
      </c>
      <c r="P248" s="46" t="str">
        <f>HYPERLINK("https://cofre.sieg.com/ajax/danfe.aspx?nfe=26230114256097000102550010000101411978295507","Ver Danfe")</f>
        <v>Ver Danfe</v>
      </c>
      <c r="Q248" s="46" t="str">
        <f>HYPERLINK("https://cofre.sieg.com/ajax/xml.aspx?nfe=26230114256097000102550010000101411978295507","Baixar Xml")</f>
        <v>Baixar Xml</v>
      </c>
    </row>
    <row r="249" spans="1:17" x14ac:dyDescent="0.75">
      <c r="A249" s="5">
        <v>10163</v>
      </c>
      <c r="B249" s="55">
        <v>252</v>
      </c>
      <c r="C249" s="5" t="s">
        <v>4846</v>
      </c>
      <c r="D249" s="45" t="s">
        <v>1172</v>
      </c>
      <c r="E249" s="45" t="s">
        <v>1173</v>
      </c>
      <c r="F249" s="45" t="s">
        <v>334</v>
      </c>
      <c r="G249" s="45" t="s">
        <v>1120</v>
      </c>
      <c r="H249" s="45" t="s">
        <v>1121</v>
      </c>
      <c r="I249" s="45" t="s">
        <v>1121</v>
      </c>
      <c r="J249" s="45" t="s">
        <v>4846</v>
      </c>
      <c r="K249" s="45" t="s">
        <v>5221</v>
      </c>
      <c r="L249" s="45" t="s">
        <v>1122</v>
      </c>
      <c r="M249" s="45" t="s">
        <v>1311</v>
      </c>
      <c r="N249" s="45" t="s">
        <v>1312</v>
      </c>
      <c r="O249" s="45" t="s">
        <v>1123</v>
      </c>
      <c r="P249" s="46" t="str">
        <f>HYPERLINK("https://cofre.sieg.com/ajax/danfe.aspx?nfe=26230114256097000102550010000101631770088832","Ver Danfe")</f>
        <v>Ver Danfe</v>
      </c>
      <c r="Q249" s="46" t="str">
        <f>HYPERLINK("https://cofre.sieg.com/ajax/xml.aspx?nfe=26230114256097000102550010000101631770088832","Baixar Xml")</f>
        <v>Baixar Xml</v>
      </c>
    </row>
    <row r="250" spans="1:17" x14ac:dyDescent="0.75">
      <c r="A250" s="5">
        <v>10164</v>
      </c>
      <c r="B250" s="55">
        <v>630</v>
      </c>
      <c r="C250" s="5" t="s">
        <v>4846</v>
      </c>
      <c r="D250" s="45" t="s">
        <v>1172</v>
      </c>
      <c r="E250" s="45" t="s">
        <v>1173</v>
      </c>
      <c r="F250" s="45" t="s">
        <v>334</v>
      </c>
      <c r="G250" s="45" t="s">
        <v>1120</v>
      </c>
      <c r="H250" s="45" t="s">
        <v>1121</v>
      </c>
      <c r="I250" s="45" t="s">
        <v>1121</v>
      </c>
      <c r="J250" s="45" t="s">
        <v>4846</v>
      </c>
      <c r="K250" s="45" t="s">
        <v>5222</v>
      </c>
      <c r="L250" s="45" t="s">
        <v>1122</v>
      </c>
      <c r="M250" s="45" t="s">
        <v>1311</v>
      </c>
      <c r="N250" s="45" t="s">
        <v>1312</v>
      </c>
      <c r="O250" s="45" t="s">
        <v>1123</v>
      </c>
      <c r="P250" s="46" t="str">
        <f>HYPERLINK("https://cofre.sieg.com/ajax/danfe.aspx?nfe=26230114256097000102550010000101641197882340","Ver Danfe")</f>
        <v>Ver Danfe</v>
      </c>
      <c r="Q250" s="46" t="str">
        <f>HYPERLINK("https://cofre.sieg.com/ajax/xml.aspx?nfe=26230114256097000102550010000101641197882340","Baixar Xml")</f>
        <v>Baixar Xml</v>
      </c>
    </row>
    <row r="251" spans="1:17" x14ac:dyDescent="0.75">
      <c r="A251" s="5">
        <v>10165</v>
      </c>
      <c r="B251" s="55">
        <v>315</v>
      </c>
      <c r="C251" s="5" t="s">
        <v>4846</v>
      </c>
      <c r="D251" s="45" t="s">
        <v>1172</v>
      </c>
      <c r="E251" s="45" t="s">
        <v>1173</v>
      </c>
      <c r="F251" s="45" t="s">
        <v>334</v>
      </c>
      <c r="G251" s="45" t="s">
        <v>1120</v>
      </c>
      <c r="H251" s="45" t="s">
        <v>1121</v>
      </c>
      <c r="I251" s="45" t="s">
        <v>1121</v>
      </c>
      <c r="J251" s="45" t="s">
        <v>4846</v>
      </c>
      <c r="K251" s="45" t="s">
        <v>5223</v>
      </c>
      <c r="L251" s="45" t="s">
        <v>1122</v>
      </c>
      <c r="M251" s="45" t="s">
        <v>1311</v>
      </c>
      <c r="N251" s="45" t="s">
        <v>1312</v>
      </c>
      <c r="O251" s="45" t="s">
        <v>1123</v>
      </c>
      <c r="P251" s="46" t="str">
        <f>HYPERLINK("https://cofre.sieg.com/ajax/danfe.aspx?nfe=26230114256097000102550010000101651460159876","Ver Danfe")</f>
        <v>Ver Danfe</v>
      </c>
      <c r="Q251" s="46" t="str">
        <f>HYPERLINK("https://cofre.sieg.com/ajax/xml.aspx?nfe=26230114256097000102550010000101651460159876","Baixar Xml")</f>
        <v>Baixar Xml</v>
      </c>
    </row>
    <row r="252" spans="1:17" x14ac:dyDescent="0.75">
      <c r="A252" s="5">
        <v>10187</v>
      </c>
      <c r="B252" s="55">
        <v>2552.5</v>
      </c>
      <c r="C252" s="5" t="s">
        <v>4861</v>
      </c>
      <c r="D252" s="45" t="s">
        <v>1172</v>
      </c>
      <c r="E252" s="45" t="s">
        <v>1173</v>
      </c>
      <c r="F252" s="45" t="s">
        <v>334</v>
      </c>
      <c r="G252" s="45" t="s">
        <v>1120</v>
      </c>
      <c r="H252" s="45" t="s">
        <v>1121</v>
      </c>
      <c r="I252" s="45" t="s">
        <v>1121</v>
      </c>
      <c r="J252" s="45" t="s">
        <v>4861</v>
      </c>
      <c r="K252" s="45" t="s">
        <v>5224</v>
      </c>
      <c r="L252" s="45" t="s">
        <v>1122</v>
      </c>
      <c r="M252" s="45"/>
      <c r="N252" s="45"/>
      <c r="O252" s="45" t="s">
        <v>1123</v>
      </c>
      <c r="P252" s="46" t="str">
        <f>HYPERLINK("https://cofre.sieg.com/ajax/danfe.aspx?nfe=26230114256097000102550010000101871908583464","Ver Danfe")</f>
        <v>Ver Danfe</v>
      </c>
      <c r="Q252" s="46" t="str">
        <f>HYPERLINK("https://cofre.sieg.com/ajax/xml.aspx?nfe=26230114256097000102550010000101871908583464","Baixar Xml")</f>
        <v>Baixar Xml</v>
      </c>
    </row>
    <row r="253" spans="1:17" x14ac:dyDescent="0.75">
      <c r="A253" s="5">
        <v>10188</v>
      </c>
      <c r="B253" s="55">
        <v>487.5</v>
      </c>
      <c r="C253" s="5" t="s">
        <v>4861</v>
      </c>
      <c r="D253" s="45" t="s">
        <v>1172</v>
      </c>
      <c r="E253" s="45" t="s">
        <v>1173</v>
      </c>
      <c r="F253" s="45" t="s">
        <v>334</v>
      </c>
      <c r="G253" s="45" t="s">
        <v>1120</v>
      </c>
      <c r="H253" s="45" t="s">
        <v>1121</v>
      </c>
      <c r="I253" s="45" t="s">
        <v>1121</v>
      </c>
      <c r="J253" s="45" t="s">
        <v>4861</v>
      </c>
      <c r="K253" s="45" t="s">
        <v>5225</v>
      </c>
      <c r="L253" s="45" t="s">
        <v>1122</v>
      </c>
      <c r="M253" s="45"/>
      <c r="N253" s="45"/>
      <c r="O253" s="45" t="s">
        <v>1123</v>
      </c>
      <c r="P253" s="46" t="str">
        <f>HYPERLINK("https://cofre.sieg.com/ajax/danfe.aspx?nfe=26230114256097000102550010000101881103076010","Ver Danfe")</f>
        <v>Ver Danfe</v>
      </c>
      <c r="Q253" s="46" t="str">
        <f>HYPERLINK("https://cofre.sieg.com/ajax/xml.aspx?nfe=26230114256097000102550010000101881103076010","Baixar Xml")</f>
        <v>Baixar Xml</v>
      </c>
    </row>
    <row r="254" spans="1:17" x14ac:dyDescent="0.75">
      <c r="A254" s="5">
        <v>10202</v>
      </c>
      <c r="B254" s="55">
        <v>650</v>
      </c>
      <c r="C254" s="5" t="s">
        <v>4862</v>
      </c>
      <c r="D254" s="45" t="s">
        <v>1172</v>
      </c>
      <c r="E254" s="45" t="s">
        <v>1173</v>
      </c>
      <c r="F254" s="45" t="s">
        <v>334</v>
      </c>
      <c r="G254" s="45" t="s">
        <v>1120</v>
      </c>
      <c r="H254" s="45" t="s">
        <v>1121</v>
      </c>
      <c r="I254" s="45" t="s">
        <v>1121</v>
      </c>
      <c r="J254" s="45" t="s">
        <v>4873</v>
      </c>
      <c r="K254" s="45" t="s">
        <v>5226</v>
      </c>
      <c r="L254" s="45" t="s">
        <v>1122</v>
      </c>
      <c r="M254" s="45" t="s">
        <v>1311</v>
      </c>
      <c r="N254" s="45" t="s">
        <v>1312</v>
      </c>
      <c r="O254" s="45" t="s">
        <v>1123</v>
      </c>
      <c r="P254" s="46" t="str">
        <f>HYPERLINK("https://cofre.sieg.com/ajax/danfe.aspx?nfe=26230114256097000102550010000102021563969442","Ver Danfe")</f>
        <v>Ver Danfe</v>
      </c>
      <c r="Q254" s="46" t="str">
        <f>HYPERLINK("https://cofre.sieg.com/ajax/xml.aspx?nfe=26230114256097000102550010000102021563969442","Baixar Xml")</f>
        <v>Baixar Xml</v>
      </c>
    </row>
    <row r="255" spans="1:17" x14ac:dyDescent="0.75">
      <c r="A255" s="5">
        <v>10230</v>
      </c>
      <c r="B255" s="55">
        <v>1142.5</v>
      </c>
      <c r="C255" s="5" t="s">
        <v>4877</v>
      </c>
      <c r="D255" s="45" t="s">
        <v>1172</v>
      </c>
      <c r="E255" s="45" t="s">
        <v>1173</v>
      </c>
      <c r="F255" s="45" t="s">
        <v>334</v>
      </c>
      <c r="G255" s="45" t="s">
        <v>1120</v>
      </c>
      <c r="H255" s="45" t="s">
        <v>1121</v>
      </c>
      <c r="I255" s="45" t="s">
        <v>1121</v>
      </c>
      <c r="J255" s="45" t="s">
        <v>4877</v>
      </c>
      <c r="K255" s="45" t="s">
        <v>5227</v>
      </c>
      <c r="L255" s="45" t="s">
        <v>1122</v>
      </c>
      <c r="M255" s="45"/>
      <c r="N255" s="45"/>
      <c r="O255" s="45" t="s">
        <v>1123</v>
      </c>
      <c r="P255" s="46" t="str">
        <f>HYPERLINK("https://cofre.sieg.com/ajax/danfe.aspx?nfe=26230114256097000102550010000102301934846755","Ver Danfe")</f>
        <v>Ver Danfe</v>
      </c>
      <c r="Q255" s="46" t="str">
        <f>HYPERLINK("https://cofre.sieg.com/ajax/xml.aspx?nfe=26230114256097000102550010000102301934846755","Baixar Xml")</f>
        <v>Baixar Xml</v>
      </c>
    </row>
    <row r="256" spans="1:17" x14ac:dyDescent="0.75">
      <c r="A256" s="5">
        <v>10231</v>
      </c>
      <c r="B256" s="55">
        <v>1300</v>
      </c>
      <c r="C256" s="5" t="s">
        <v>4877</v>
      </c>
      <c r="D256" s="45" t="s">
        <v>1172</v>
      </c>
      <c r="E256" s="45" t="s">
        <v>1173</v>
      </c>
      <c r="F256" s="45" t="s">
        <v>334</v>
      </c>
      <c r="G256" s="45" t="s">
        <v>1120</v>
      </c>
      <c r="H256" s="45" t="s">
        <v>1121</v>
      </c>
      <c r="I256" s="45" t="s">
        <v>1121</v>
      </c>
      <c r="J256" s="45" t="s">
        <v>4877</v>
      </c>
      <c r="K256" s="45" t="s">
        <v>5228</v>
      </c>
      <c r="L256" s="45" t="s">
        <v>1122</v>
      </c>
      <c r="M256" s="45"/>
      <c r="N256" s="45"/>
      <c r="O256" s="45" t="s">
        <v>1123</v>
      </c>
      <c r="P256" s="46" t="str">
        <f>HYPERLINK("https://cofre.sieg.com/ajax/danfe.aspx?nfe=26230114256097000102550010000102311718559503","Ver Danfe")</f>
        <v>Ver Danfe</v>
      </c>
      <c r="Q256" s="46" t="str">
        <f>HYPERLINK("https://cofre.sieg.com/ajax/xml.aspx?nfe=26230114256097000102550010000102311718559503","Baixar Xml")</f>
        <v>Baixar Xml</v>
      </c>
    </row>
    <row r="257" spans="1:17" x14ac:dyDescent="0.75">
      <c r="A257" s="5">
        <v>10232</v>
      </c>
      <c r="B257" s="55">
        <v>1137.5</v>
      </c>
      <c r="C257" s="5" t="s">
        <v>4877</v>
      </c>
      <c r="D257" s="45" t="s">
        <v>1172</v>
      </c>
      <c r="E257" s="45" t="s">
        <v>1173</v>
      </c>
      <c r="F257" s="45" t="s">
        <v>334</v>
      </c>
      <c r="G257" s="45" t="s">
        <v>1120</v>
      </c>
      <c r="H257" s="45" t="s">
        <v>1121</v>
      </c>
      <c r="I257" s="45" t="s">
        <v>1121</v>
      </c>
      <c r="J257" s="45" t="s">
        <v>4877</v>
      </c>
      <c r="K257" s="45" t="s">
        <v>5229</v>
      </c>
      <c r="L257" s="45" t="s">
        <v>1122</v>
      </c>
      <c r="M257" s="45"/>
      <c r="N257" s="45"/>
      <c r="O257" s="45" t="s">
        <v>1123</v>
      </c>
      <c r="P257" s="46" t="str">
        <f>HYPERLINK("https://cofre.sieg.com/ajax/danfe.aspx?nfe=26230114256097000102550010000102321909702189","Ver Danfe")</f>
        <v>Ver Danfe</v>
      </c>
      <c r="Q257" s="46" t="str">
        <f>HYPERLINK("https://cofre.sieg.com/ajax/xml.aspx?nfe=26230114256097000102550010000102321909702189","Baixar Xml")</f>
        <v>Baixar Xml</v>
      </c>
    </row>
    <row r="258" spans="1:17" x14ac:dyDescent="0.75">
      <c r="A258" s="5">
        <v>10254</v>
      </c>
      <c r="B258" s="55">
        <v>2244</v>
      </c>
      <c r="C258" s="5" t="s">
        <v>4887</v>
      </c>
      <c r="D258" s="45" t="s">
        <v>1172</v>
      </c>
      <c r="E258" s="45" t="s">
        <v>1173</v>
      </c>
      <c r="F258" s="45" t="s">
        <v>334</v>
      </c>
      <c r="G258" s="45" t="s">
        <v>1120</v>
      </c>
      <c r="H258" s="45" t="s">
        <v>1121</v>
      </c>
      <c r="I258" s="45" t="s">
        <v>1121</v>
      </c>
      <c r="J258" s="45" t="s">
        <v>4887</v>
      </c>
      <c r="K258" s="45" t="s">
        <v>5230</v>
      </c>
      <c r="L258" s="45" t="s">
        <v>1122</v>
      </c>
      <c r="M258" s="45" t="s">
        <v>1311</v>
      </c>
      <c r="N258" s="45" t="s">
        <v>1312</v>
      </c>
      <c r="O258" s="45" t="s">
        <v>1123</v>
      </c>
      <c r="P258" s="46" t="str">
        <f>HYPERLINK("https://cofre.sieg.com/ajax/danfe.aspx?nfe=26230114256097000102550010000102541752210270","Ver Danfe")</f>
        <v>Ver Danfe</v>
      </c>
      <c r="Q258" s="46" t="str">
        <f>HYPERLINK("https://cofre.sieg.com/ajax/xml.aspx?nfe=26230114256097000102550010000102541752210270","Baixar Xml")</f>
        <v>Baixar Xml</v>
      </c>
    </row>
    <row r="259" spans="1:17" x14ac:dyDescent="0.75">
      <c r="A259" s="5">
        <v>10255</v>
      </c>
      <c r="B259" s="55">
        <v>415</v>
      </c>
      <c r="C259" s="5" t="s">
        <v>4887</v>
      </c>
      <c r="D259" s="45" t="s">
        <v>1172</v>
      </c>
      <c r="E259" s="45" t="s">
        <v>1173</v>
      </c>
      <c r="F259" s="45" t="s">
        <v>334</v>
      </c>
      <c r="G259" s="45" t="s">
        <v>1120</v>
      </c>
      <c r="H259" s="45" t="s">
        <v>1121</v>
      </c>
      <c r="I259" s="45" t="s">
        <v>1121</v>
      </c>
      <c r="J259" s="45" t="s">
        <v>4887</v>
      </c>
      <c r="K259" s="45" t="s">
        <v>5231</v>
      </c>
      <c r="L259" s="45" t="s">
        <v>1122</v>
      </c>
      <c r="M259" s="45" t="s">
        <v>1311</v>
      </c>
      <c r="N259" s="45" t="s">
        <v>1312</v>
      </c>
      <c r="O259" s="45" t="s">
        <v>1123</v>
      </c>
      <c r="P259" s="46" t="str">
        <f>HYPERLINK("https://cofre.sieg.com/ajax/danfe.aspx?nfe=26230114256097000102550010000102551109577600","Ver Danfe")</f>
        <v>Ver Danfe</v>
      </c>
      <c r="Q259" s="46" t="str">
        <f>HYPERLINK("https://cofre.sieg.com/ajax/xml.aspx?nfe=26230114256097000102550010000102551109577600","Baixar Xml")</f>
        <v>Baixar Xml</v>
      </c>
    </row>
    <row r="260" spans="1:17" x14ac:dyDescent="0.75">
      <c r="A260" s="5">
        <v>10273</v>
      </c>
      <c r="B260" s="55">
        <v>622.5</v>
      </c>
      <c r="C260" s="5" t="s">
        <v>4899</v>
      </c>
      <c r="D260" s="45" t="s">
        <v>1172</v>
      </c>
      <c r="E260" s="45" t="s">
        <v>1173</v>
      </c>
      <c r="F260" s="45" t="s">
        <v>334</v>
      </c>
      <c r="G260" s="45" t="s">
        <v>1120</v>
      </c>
      <c r="H260" s="45" t="s">
        <v>1121</v>
      </c>
      <c r="I260" s="45" t="s">
        <v>1121</v>
      </c>
      <c r="J260" s="45" t="s">
        <v>4899</v>
      </c>
      <c r="K260" s="45" t="s">
        <v>5232</v>
      </c>
      <c r="L260" s="45" t="s">
        <v>1122</v>
      </c>
      <c r="M260" s="45"/>
      <c r="N260" s="45"/>
      <c r="O260" s="45" t="s">
        <v>1123</v>
      </c>
      <c r="P260" s="46" t="str">
        <f>HYPERLINK("https://cofre.sieg.com/ajax/danfe.aspx?nfe=26230114256097000102550010000102731911644681","Ver Danfe")</f>
        <v>Ver Danfe</v>
      </c>
      <c r="Q260" s="46" t="str">
        <f>HYPERLINK("https://cofre.sieg.com/ajax/xml.aspx?nfe=26230114256097000102550010000102731911644681","Baixar Xml")</f>
        <v>Baixar Xml</v>
      </c>
    </row>
    <row r="261" spans="1:17" x14ac:dyDescent="0.75">
      <c r="A261" s="5">
        <v>10306</v>
      </c>
      <c r="B261" s="55">
        <v>415</v>
      </c>
      <c r="C261" s="5" t="s">
        <v>4912</v>
      </c>
      <c r="D261" s="45" t="s">
        <v>1172</v>
      </c>
      <c r="E261" s="45" t="s">
        <v>1173</v>
      </c>
      <c r="F261" s="45" t="s">
        <v>334</v>
      </c>
      <c r="G261" s="45" t="s">
        <v>1120</v>
      </c>
      <c r="H261" s="45" t="s">
        <v>1121</v>
      </c>
      <c r="I261" s="45" t="s">
        <v>1121</v>
      </c>
      <c r="J261" s="45" t="s">
        <v>4912</v>
      </c>
      <c r="K261" s="45" t="s">
        <v>5233</v>
      </c>
      <c r="L261" s="45" t="s">
        <v>1122</v>
      </c>
      <c r="M261" s="45" t="s">
        <v>1311</v>
      </c>
      <c r="N261" s="45" t="s">
        <v>1312</v>
      </c>
      <c r="O261" s="45" t="s">
        <v>1123</v>
      </c>
      <c r="P261" s="46" t="str">
        <f>HYPERLINK("https://cofre.sieg.com/ajax/danfe.aspx?nfe=26230114256097000102550010000103061437355184","Ver Danfe")</f>
        <v>Ver Danfe</v>
      </c>
      <c r="Q261" s="46" t="str">
        <f>HYPERLINK("https://cofre.sieg.com/ajax/xml.aspx?nfe=26230114256097000102550010000103061437355184","Baixar Xml")</f>
        <v>Baixar Xml</v>
      </c>
    </row>
    <row r="262" spans="1:17" x14ac:dyDescent="0.75">
      <c r="A262" s="5">
        <v>10337</v>
      </c>
      <c r="B262" s="55">
        <v>1160</v>
      </c>
      <c r="C262" s="5" t="s">
        <v>4923</v>
      </c>
      <c r="D262" s="45" t="s">
        <v>1172</v>
      </c>
      <c r="E262" s="45" t="s">
        <v>1173</v>
      </c>
      <c r="F262" s="45" t="s">
        <v>334</v>
      </c>
      <c r="G262" s="45" t="s">
        <v>1120</v>
      </c>
      <c r="H262" s="45" t="s">
        <v>1121</v>
      </c>
      <c r="I262" s="45" t="s">
        <v>1121</v>
      </c>
      <c r="J262" s="45" t="s">
        <v>4923</v>
      </c>
      <c r="K262" s="45" t="s">
        <v>5234</v>
      </c>
      <c r="L262" s="45" t="s">
        <v>1122</v>
      </c>
      <c r="M262" s="45" t="s">
        <v>1311</v>
      </c>
      <c r="N262" s="45" t="s">
        <v>1312</v>
      </c>
      <c r="O262" s="45" t="s">
        <v>1123</v>
      </c>
      <c r="P262" s="46" t="str">
        <f>HYPERLINK("https://cofre.sieg.com/ajax/danfe.aspx?nfe=26230114256097000102550010000103371674479460","Ver Danfe")</f>
        <v>Ver Danfe</v>
      </c>
      <c r="Q262" s="46" t="str">
        <f>HYPERLINK("https://cofre.sieg.com/ajax/xml.aspx?nfe=26230114256097000102550010000103371674479460","Baixar Xml")</f>
        <v>Baixar Xml</v>
      </c>
    </row>
    <row r="263" spans="1:17" x14ac:dyDescent="0.75">
      <c r="A263" s="5">
        <v>10338</v>
      </c>
      <c r="B263" s="55">
        <v>375</v>
      </c>
      <c r="C263" s="5" t="s">
        <v>4923</v>
      </c>
      <c r="D263" s="45" t="s">
        <v>1172</v>
      </c>
      <c r="E263" s="45" t="s">
        <v>1173</v>
      </c>
      <c r="F263" s="45" t="s">
        <v>334</v>
      </c>
      <c r="G263" s="45" t="s">
        <v>1120</v>
      </c>
      <c r="H263" s="45" t="s">
        <v>1121</v>
      </c>
      <c r="I263" s="45" t="s">
        <v>1121</v>
      </c>
      <c r="J263" s="45" t="s">
        <v>4923</v>
      </c>
      <c r="K263" s="45" t="s">
        <v>5235</v>
      </c>
      <c r="L263" s="45" t="s">
        <v>1122</v>
      </c>
      <c r="M263" s="45" t="s">
        <v>1311</v>
      </c>
      <c r="N263" s="45" t="s">
        <v>1312</v>
      </c>
      <c r="O263" s="45" t="s">
        <v>1123</v>
      </c>
      <c r="P263" s="46" t="str">
        <f>HYPERLINK("https://cofre.sieg.com/ajax/danfe.aspx?nfe=26230114256097000102550010000103381895306329","Ver Danfe")</f>
        <v>Ver Danfe</v>
      </c>
      <c r="Q263" s="46" t="str">
        <f>HYPERLINK("https://cofre.sieg.com/ajax/xml.aspx?nfe=26230114256097000102550010000103381895306329","Baixar Xml")</f>
        <v>Baixar Xml</v>
      </c>
    </row>
    <row r="264" spans="1:17" x14ac:dyDescent="0.75">
      <c r="A264" s="5">
        <v>10339</v>
      </c>
      <c r="B264" s="55">
        <v>1312.5</v>
      </c>
      <c r="C264" s="5" t="s">
        <v>4923</v>
      </c>
      <c r="D264" s="45" t="s">
        <v>1172</v>
      </c>
      <c r="E264" s="45" t="s">
        <v>1173</v>
      </c>
      <c r="F264" s="45" t="s">
        <v>334</v>
      </c>
      <c r="G264" s="45" t="s">
        <v>1120</v>
      </c>
      <c r="H264" s="45" t="s">
        <v>1121</v>
      </c>
      <c r="I264" s="45" t="s">
        <v>1121</v>
      </c>
      <c r="J264" s="45" t="s">
        <v>4923</v>
      </c>
      <c r="K264" s="45" t="s">
        <v>5236</v>
      </c>
      <c r="L264" s="45" t="s">
        <v>1122</v>
      </c>
      <c r="M264" s="45" t="s">
        <v>1311</v>
      </c>
      <c r="N264" s="45" t="s">
        <v>1312</v>
      </c>
      <c r="O264" s="45" t="s">
        <v>1123</v>
      </c>
      <c r="P264" s="46" t="str">
        <f>HYPERLINK("https://cofre.sieg.com/ajax/danfe.aspx?nfe=26230114256097000102550010000103391370335978","Ver Danfe")</f>
        <v>Ver Danfe</v>
      </c>
      <c r="Q264" s="46" t="str">
        <f>HYPERLINK("https://cofre.sieg.com/ajax/xml.aspx?nfe=26230114256097000102550010000103391370335978","Baixar Xml")</f>
        <v>Baixar Xml</v>
      </c>
    </row>
    <row r="265" spans="1:17" x14ac:dyDescent="0.75">
      <c r="A265" s="5">
        <v>10345</v>
      </c>
      <c r="B265" s="55">
        <v>635</v>
      </c>
      <c r="C265" s="5" t="s">
        <v>4923</v>
      </c>
      <c r="D265" s="45" t="s">
        <v>1172</v>
      </c>
      <c r="E265" s="45" t="s">
        <v>1173</v>
      </c>
      <c r="F265" s="45" t="s">
        <v>334</v>
      </c>
      <c r="G265" s="45" t="s">
        <v>1120</v>
      </c>
      <c r="H265" s="45" t="s">
        <v>1121</v>
      </c>
      <c r="I265" s="45" t="s">
        <v>1121</v>
      </c>
      <c r="J265" s="45" t="s">
        <v>4923</v>
      </c>
      <c r="K265" s="45" t="s">
        <v>5237</v>
      </c>
      <c r="L265" s="45" t="s">
        <v>1122</v>
      </c>
      <c r="M265" s="45" t="s">
        <v>1311</v>
      </c>
      <c r="N265" s="45" t="s">
        <v>1312</v>
      </c>
      <c r="O265" s="45" t="s">
        <v>1123</v>
      </c>
      <c r="P265" s="46" t="str">
        <f>HYPERLINK("https://cofre.sieg.com/ajax/danfe.aspx?nfe=26230114256097000102550010000103451510056526","Ver Danfe")</f>
        <v>Ver Danfe</v>
      </c>
      <c r="Q265" s="46" t="str">
        <f>HYPERLINK("https://cofre.sieg.com/ajax/xml.aspx?nfe=26230114256097000102550010000103451510056526","Baixar Xml")</f>
        <v>Baixar Xml</v>
      </c>
    </row>
    <row r="266" spans="1:17" x14ac:dyDescent="0.75">
      <c r="A266" s="5">
        <v>10346</v>
      </c>
      <c r="B266" s="55">
        <v>450</v>
      </c>
      <c r="C266" s="5" t="s">
        <v>4923</v>
      </c>
      <c r="D266" s="45" t="s">
        <v>1172</v>
      </c>
      <c r="E266" s="45" t="s">
        <v>1173</v>
      </c>
      <c r="F266" s="45" t="s">
        <v>334</v>
      </c>
      <c r="G266" s="45" t="s">
        <v>1120</v>
      </c>
      <c r="H266" s="45" t="s">
        <v>1121</v>
      </c>
      <c r="I266" s="45" t="s">
        <v>1121</v>
      </c>
      <c r="J266" s="45" t="s">
        <v>4923</v>
      </c>
      <c r="K266" s="45" t="s">
        <v>5238</v>
      </c>
      <c r="L266" s="45" t="s">
        <v>1122</v>
      </c>
      <c r="M266" s="45" t="s">
        <v>1311</v>
      </c>
      <c r="N266" s="45" t="s">
        <v>1312</v>
      </c>
      <c r="O266" s="45" t="s">
        <v>1123</v>
      </c>
      <c r="P266" s="46" t="str">
        <f>HYPERLINK("https://cofre.sieg.com/ajax/danfe.aspx?nfe=26230114256097000102550010000103461744487920","Ver Danfe")</f>
        <v>Ver Danfe</v>
      </c>
      <c r="Q266" s="46" t="str">
        <f>HYPERLINK("https://cofre.sieg.com/ajax/xml.aspx?nfe=26230114256097000102550010000103461744487920","Baixar Xml")</f>
        <v>Baixar Xml</v>
      </c>
    </row>
    <row r="267" spans="1:17" x14ac:dyDescent="0.75">
      <c r="A267" s="5">
        <v>10373</v>
      </c>
      <c r="B267" s="55">
        <v>300</v>
      </c>
      <c r="C267" s="5" t="s">
        <v>4937</v>
      </c>
      <c r="D267" s="45" t="s">
        <v>1172</v>
      </c>
      <c r="E267" s="45" t="s">
        <v>1173</v>
      </c>
      <c r="F267" s="45" t="s">
        <v>334</v>
      </c>
      <c r="G267" s="45" t="s">
        <v>1120</v>
      </c>
      <c r="H267" s="45" t="s">
        <v>1121</v>
      </c>
      <c r="I267" s="45" t="s">
        <v>1121</v>
      </c>
      <c r="J267" s="45" t="s">
        <v>4937</v>
      </c>
      <c r="K267" s="45" t="s">
        <v>5239</v>
      </c>
      <c r="L267" s="45" t="s">
        <v>1122</v>
      </c>
      <c r="M267" s="45" t="s">
        <v>1311</v>
      </c>
      <c r="N267" s="45" t="s">
        <v>1312</v>
      </c>
      <c r="O267" s="45" t="s">
        <v>1123</v>
      </c>
      <c r="P267" s="46" t="str">
        <f>HYPERLINK("https://cofre.sieg.com/ajax/danfe.aspx?nfe=26230114256097000102550010000103731477095054","Ver Danfe")</f>
        <v>Ver Danfe</v>
      </c>
      <c r="Q267" s="46" t="str">
        <f>HYPERLINK("https://cofre.sieg.com/ajax/xml.aspx?nfe=26230114256097000102550010000103731477095054","Baixar Xml")</f>
        <v>Baixar Xml</v>
      </c>
    </row>
    <row r="268" spans="1:17" x14ac:dyDescent="0.75">
      <c r="A268" s="5">
        <v>10384</v>
      </c>
      <c r="B268" s="55">
        <v>1585</v>
      </c>
      <c r="C268" s="5" t="s">
        <v>4938</v>
      </c>
      <c r="D268" s="45" t="s">
        <v>1172</v>
      </c>
      <c r="E268" s="45" t="s">
        <v>1173</v>
      </c>
      <c r="F268" s="45" t="s">
        <v>334</v>
      </c>
      <c r="G268" s="45" t="s">
        <v>1120</v>
      </c>
      <c r="H268" s="45" t="s">
        <v>1121</v>
      </c>
      <c r="I268" s="45" t="s">
        <v>1121</v>
      </c>
      <c r="J268" s="45" t="s">
        <v>4938</v>
      </c>
      <c r="K268" s="45" t="s">
        <v>5240</v>
      </c>
      <c r="L268" s="45" t="s">
        <v>1122</v>
      </c>
      <c r="M268" s="45"/>
      <c r="N268" s="45"/>
      <c r="O268" s="45" t="s">
        <v>1123</v>
      </c>
      <c r="P268" s="46" t="str">
        <f>HYPERLINK("https://cofre.sieg.com/ajax/danfe.aspx?nfe=26230114256097000102550010000103841264454417","Ver Danfe")</f>
        <v>Ver Danfe</v>
      </c>
      <c r="Q268" s="46" t="str">
        <f>HYPERLINK("https://cofre.sieg.com/ajax/xml.aspx?nfe=26230114256097000102550010000103841264454417","Baixar Xml")</f>
        <v>Baixar Xml</v>
      </c>
    </row>
    <row r="269" spans="1:17" x14ac:dyDescent="0.75">
      <c r="A269" s="5">
        <v>10386</v>
      </c>
      <c r="B269" s="55">
        <v>350</v>
      </c>
      <c r="C269" s="5" t="s">
        <v>4938</v>
      </c>
      <c r="D269" s="45" t="s">
        <v>1172</v>
      </c>
      <c r="E269" s="45" t="s">
        <v>1173</v>
      </c>
      <c r="F269" s="45" t="s">
        <v>334</v>
      </c>
      <c r="G269" s="45" t="s">
        <v>1120</v>
      </c>
      <c r="H269" s="45" t="s">
        <v>1121</v>
      </c>
      <c r="I269" s="45" t="s">
        <v>1121</v>
      </c>
      <c r="J269" s="45" t="s">
        <v>4938</v>
      </c>
      <c r="K269" s="45" t="s">
        <v>5241</v>
      </c>
      <c r="L269" s="45" t="s">
        <v>1122</v>
      </c>
      <c r="M269" s="45"/>
      <c r="N269" s="45"/>
      <c r="O269" s="45" t="s">
        <v>1123</v>
      </c>
      <c r="P269" s="46" t="str">
        <f>HYPERLINK("https://cofre.sieg.com/ajax/danfe.aspx?nfe=26230114256097000102550010000103861594322020","Ver Danfe")</f>
        <v>Ver Danfe</v>
      </c>
      <c r="Q269" s="46" t="str">
        <f>HYPERLINK("https://cofre.sieg.com/ajax/xml.aspx?nfe=26230114256097000102550010000103861594322020","Baixar Xml")</f>
        <v>Baixar Xml</v>
      </c>
    </row>
    <row r="270" spans="1:17" x14ac:dyDescent="0.75">
      <c r="A270" s="5">
        <v>10854</v>
      </c>
      <c r="B270" s="55">
        <v>45.5</v>
      </c>
      <c r="C270" s="5" t="s">
        <v>4825</v>
      </c>
      <c r="D270" s="45" t="s">
        <v>1321</v>
      </c>
      <c r="E270" s="45" t="s">
        <v>1322</v>
      </c>
      <c r="F270" s="45" t="s">
        <v>1323</v>
      </c>
      <c r="G270" s="45" t="s">
        <v>1120</v>
      </c>
      <c r="H270" s="45" t="s">
        <v>1126</v>
      </c>
      <c r="I270" s="45" t="s">
        <v>1126</v>
      </c>
      <c r="J270" s="45" t="s">
        <v>4825</v>
      </c>
      <c r="K270" s="45" t="s">
        <v>5242</v>
      </c>
      <c r="L270" s="45" t="s">
        <v>1122</v>
      </c>
      <c r="M270" s="45" t="s">
        <v>1311</v>
      </c>
      <c r="N270" s="45" t="s">
        <v>1312</v>
      </c>
      <c r="O270" s="45" t="s">
        <v>1123</v>
      </c>
      <c r="P270" s="46" t="str">
        <f>HYPERLINK("https://cofre.sieg.com/ajax/danfe.aspx?nfe=26230120300157000905550010000108541767160789","Ver Danfe")</f>
        <v>Ver Danfe</v>
      </c>
      <c r="Q270" s="46" t="str">
        <f>HYPERLINK("https://cofre.sieg.com/ajax/xml.aspx?nfe=26230120300157000905550010000108541767160789","Baixar Xml")</f>
        <v>Baixar Xml</v>
      </c>
    </row>
    <row r="271" spans="1:17" x14ac:dyDescent="0.75">
      <c r="A271" s="5">
        <v>10873</v>
      </c>
      <c r="B271" s="55">
        <v>499.2</v>
      </c>
      <c r="C271" s="5" t="s">
        <v>4826</v>
      </c>
      <c r="D271" s="45" t="s">
        <v>1321</v>
      </c>
      <c r="E271" s="45" t="s">
        <v>1322</v>
      </c>
      <c r="F271" s="45" t="s">
        <v>1323</v>
      </c>
      <c r="G271" s="45" t="s">
        <v>1120</v>
      </c>
      <c r="H271" s="45" t="s">
        <v>1126</v>
      </c>
      <c r="I271" s="45" t="s">
        <v>1126</v>
      </c>
      <c r="J271" s="45" t="s">
        <v>4826</v>
      </c>
      <c r="K271" s="45" t="s">
        <v>5243</v>
      </c>
      <c r="L271" s="45" t="s">
        <v>1122</v>
      </c>
      <c r="M271" s="45" t="s">
        <v>1311</v>
      </c>
      <c r="N271" s="45" t="s">
        <v>1312</v>
      </c>
      <c r="O271" s="45" t="s">
        <v>1123</v>
      </c>
      <c r="P271" s="46" t="str">
        <f>HYPERLINK("https://cofre.sieg.com/ajax/danfe.aspx?nfe=26230120300157000905550010000108731823804041","Ver Danfe")</f>
        <v>Ver Danfe</v>
      </c>
      <c r="Q271" s="46" t="str">
        <f>HYPERLINK("https://cofre.sieg.com/ajax/xml.aspx?nfe=26230120300157000905550010000108731823804041","Baixar Xml")</f>
        <v>Baixar Xml</v>
      </c>
    </row>
    <row r="272" spans="1:17" x14ac:dyDescent="0.75">
      <c r="A272" s="5">
        <v>10874</v>
      </c>
      <c r="B272" s="55">
        <v>9.3000000000000007</v>
      </c>
      <c r="C272" s="5" t="s">
        <v>4826</v>
      </c>
      <c r="D272" s="45" t="s">
        <v>1321</v>
      </c>
      <c r="E272" s="45" t="s">
        <v>1322</v>
      </c>
      <c r="F272" s="45" t="s">
        <v>1323</v>
      </c>
      <c r="G272" s="45" t="s">
        <v>1120</v>
      </c>
      <c r="H272" s="45" t="s">
        <v>1126</v>
      </c>
      <c r="I272" s="45" t="s">
        <v>1126</v>
      </c>
      <c r="J272" s="45" t="s">
        <v>4826</v>
      </c>
      <c r="K272" s="45" t="s">
        <v>5244</v>
      </c>
      <c r="L272" s="45" t="s">
        <v>1122</v>
      </c>
      <c r="M272" s="45" t="s">
        <v>1311</v>
      </c>
      <c r="N272" s="45" t="s">
        <v>1312</v>
      </c>
      <c r="O272" s="45" t="s">
        <v>1123</v>
      </c>
      <c r="P272" s="46" t="str">
        <f>HYPERLINK("https://cofre.sieg.com/ajax/danfe.aspx?nfe=26230120300157000905550010000108741614118681","Ver Danfe")</f>
        <v>Ver Danfe</v>
      </c>
      <c r="Q272" s="46" t="str">
        <f>HYPERLINK("https://cofre.sieg.com/ajax/xml.aspx?nfe=26230120300157000905550010000108741614118681","Baixar Xml")</f>
        <v>Baixar Xml</v>
      </c>
    </row>
    <row r="273" spans="1:17" x14ac:dyDescent="0.75">
      <c r="A273" s="5">
        <v>10899</v>
      </c>
      <c r="B273" s="55">
        <v>46.4</v>
      </c>
      <c r="C273" s="5" t="s">
        <v>4834</v>
      </c>
      <c r="D273" s="45" t="s">
        <v>1321</v>
      </c>
      <c r="E273" s="45" t="s">
        <v>1322</v>
      </c>
      <c r="F273" s="45" t="s">
        <v>1323</v>
      </c>
      <c r="G273" s="45" t="s">
        <v>1120</v>
      </c>
      <c r="H273" s="45" t="s">
        <v>1126</v>
      </c>
      <c r="I273" s="45" t="s">
        <v>1126</v>
      </c>
      <c r="J273" s="45" t="s">
        <v>4834</v>
      </c>
      <c r="K273" s="45" t="s">
        <v>5245</v>
      </c>
      <c r="L273" s="45" t="s">
        <v>1122</v>
      </c>
      <c r="M273" s="45" t="s">
        <v>1311</v>
      </c>
      <c r="N273" s="45" t="s">
        <v>1312</v>
      </c>
      <c r="O273" s="45" t="s">
        <v>1123</v>
      </c>
      <c r="P273" s="46" t="str">
        <f>HYPERLINK("https://cofre.sieg.com/ajax/danfe.aspx?nfe=26230120300157000905550010000108991377568807","Ver Danfe")</f>
        <v>Ver Danfe</v>
      </c>
      <c r="Q273" s="46" t="str">
        <f>HYPERLINK("https://cofre.sieg.com/ajax/xml.aspx?nfe=26230120300157000905550010000108991377568807","Baixar Xml")</f>
        <v>Baixar Xml</v>
      </c>
    </row>
    <row r="274" spans="1:17" x14ac:dyDescent="0.75">
      <c r="A274" s="5">
        <v>10969</v>
      </c>
      <c r="B274" s="55">
        <v>170.8</v>
      </c>
      <c r="C274" s="5" t="s">
        <v>4844</v>
      </c>
      <c r="D274" s="45" t="s">
        <v>1321</v>
      </c>
      <c r="E274" s="45" t="s">
        <v>1322</v>
      </c>
      <c r="F274" s="45" t="s">
        <v>1323</v>
      </c>
      <c r="G274" s="45" t="s">
        <v>1120</v>
      </c>
      <c r="H274" s="45" t="s">
        <v>1126</v>
      </c>
      <c r="I274" s="45" t="s">
        <v>1126</v>
      </c>
      <c r="J274" s="45" t="s">
        <v>4844</v>
      </c>
      <c r="K274" s="45" t="s">
        <v>5246</v>
      </c>
      <c r="L274" s="45" t="s">
        <v>1122</v>
      </c>
      <c r="M274" s="45"/>
      <c r="N274" s="45"/>
      <c r="O274" s="45" t="s">
        <v>1123</v>
      </c>
      <c r="P274" s="46" t="str">
        <f>HYPERLINK("https://cofre.sieg.com/ajax/danfe.aspx?nfe=26230120300157000905550010000109691716620853","Ver Danfe")</f>
        <v>Ver Danfe</v>
      </c>
      <c r="Q274" s="46" t="str">
        <f>HYPERLINK("https://cofre.sieg.com/ajax/xml.aspx?nfe=26230120300157000905550010000109691716620853","Baixar Xml")</f>
        <v>Baixar Xml</v>
      </c>
    </row>
    <row r="275" spans="1:17" x14ac:dyDescent="0.75">
      <c r="A275" s="5">
        <v>11011</v>
      </c>
      <c r="B275" s="55">
        <v>22.5</v>
      </c>
      <c r="C275" s="5" t="s">
        <v>4846</v>
      </c>
      <c r="D275" s="45" t="s">
        <v>1321</v>
      </c>
      <c r="E275" s="45" t="s">
        <v>1322</v>
      </c>
      <c r="F275" s="45" t="s">
        <v>1323</v>
      </c>
      <c r="G275" s="45" t="s">
        <v>1120</v>
      </c>
      <c r="H275" s="45" t="s">
        <v>1126</v>
      </c>
      <c r="I275" s="45" t="s">
        <v>1126</v>
      </c>
      <c r="J275" s="45" t="s">
        <v>4846</v>
      </c>
      <c r="K275" s="45" t="s">
        <v>5247</v>
      </c>
      <c r="L275" s="45" t="s">
        <v>1122</v>
      </c>
      <c r="M275" s="45" t="s">
        <v>1311</v>
      </c>
      <c r="N275" s="45" t="s">
        <v>1312</v>
      </c>
      <c r="O275" s="45" t="s">
        <v>1123</v>
      </c>
      <c r="P275" s="46" t="str">
        <f>HYPERLINK("https://cofre.sieg.com/ajax/danfe.aspx?nfe=26230120300157000905550010000110111604135819","Ver Danfe")</f>
        <v>Ver Danfe</v>
      </c>
      <c r="Q275" s="46" t="str">
        <f>HYPERLINK("https://cofre.sieg.com/ajax/xml.aspx?nfe=26230120300157000905550010000110111604135819","Baixar Xml")</f>
        <v>Baixar Xml</v>
      </c>
    </row>
    <row r="276" spans="1:17" x14ac:dyDescent="0.75">
      <c r="A276" s="5">
        <v>11054</v>
      </c>
      <c r="B276" s="55">
        <v>462.5</v>
      </c>
      <c r="C276" s="5" t="s">
        <v>4861</v>
      </c>
      <c r="D276" s="45" t="s">
        <v>1321</v>
      </c>
      <c r="E276" s="45" t="s">
        <v>1322</v>
      </c>
      <c r="F276" s="45" t="s">
        <v>1323</v>
      </c>
      <c r="G276" s="45" t="s">
        <v>1120</v>
      </c>
      <c r="H276" s="45" t="s">
        <v>1126</v>
      </c>
      <c r="I276" s="45" t="s">
        <v>1126</v>
      </c>
      <c r="J276" s="45" t="s">
        <v>4861</v>
      </c>
      <c r="K276" s="45" t="s">
        <v>5248</v>
      </c>
      <c r="L276" s="45" t="s">
        <v>1122</v>
      </c>
      <c r="M276" s="45"/>
      <c r="N276" s="45"/>
      <c r="O276" s="45" t="s">
        <v>1123</v>
      </c>
      <c r="P276" s="46" t="str">
        <f>HYPERLINK("https://cofre.sieg.com/ajax/danfe.aspx?nfe=26230120300157000905550010000110541451677316","Ver Danfe")</f>
        <v>Ver Danfe</v>
      </c>
      <c r="Q276" s="46" t="str">
        <f>HYPERLINK("https://cofre.sieg.com/ajax/xml.aspx?nfe=26230120300157000905550010000110541451677316","Baixar Xml")</f>
        <v>Baixar Xml</v>
      </c>
    </row>
    <row r="277" spans="1:17" x14ac:dyDescent="0.75">
      <c r="A277" s="5">
        <v>11088</v>
      </c>
      <c r="B277" s="55">
        <v>112.8</v>
      </c>
      <c r="C277" s="5" t="s">
        <v>4862</v>
      </c>
      <c r="D277" s="45" t="s">
        <v>1321</v>
      </c>
      <c r="E277" s="45" t="s">
        <v>1322</v>
      </c>
      <c r="F277" s="45" t="s">
        <v>1323</v>
      </c>
      <c r="G277" s="45" t="s">
        <v>1120</v>
      </c>
      <c r="H277" s="45" t="s">
        <v>1126</v>
      </c>
      <c r="I277" s="45" t="s">
        <v>1126</v>
      </c>
      <c r="J277" s="45" t="s">
        <v>4862</v>
      </c>
      <c r="K277" s="45" t="s">
        <v>5249</v>
      </c>
      <c r="L277" s="45" t="s">
        <v>1122</v>
      </c>
      <c r="M277" s="45" t="s">
        <v>1311</v>
      </c>
      <c r="N277" s="45" t="s">
        <v>1312</v>
      </c>
      <c r="O277" s="45" t="s">
        <v>1123</v>
      </c>
      <c r="P277" s="46" t="str">
        <f>HYPERLINK("https://cofre.sieg.com/ajax/danfe.aspx?nfe=26230120300157000905550010000110881414285408","Ver Danfe")</f>
        <v>Ver Danfe</v>
      </c>
      <c r="Q277" s="46" t="str">
        <f>HYPERLINK("https://cofre.sieg.com/ajax/xml.aspx?nfe=26230120300157000905550010000110881414285408","Baixar Xml")</f>
        <v>Baixar Xml</v>
      </c>
    </row>
    <row r="278" spans="1:17" x14ac:dyDescent="0.75">
      <c r="A278" s="5">
        <v>11119</v>
      </c>
      <c r="B278" s="55">
        <v>94.5</v>
      </c>
      <c r="C278" s="5" t="s">
        <v>4866</v>
      </c>
      <c r="D278" s="45" t="s">
        <v>1321</v>
      </c>
      <c r="E278" s="45" t="s">
        <v>1322</v>
      </c>
      <c r="F278" s="45" t="s">
        <v>1323</v>
      </c>
      <c r="G278" s="45" t="s">
        <v>1120</v>
      </c>
      <c r="H278" s="45" t="s">
        <v>1126</v>
      </c>
      <c r="I278" s="45" t="s">
        <v>1126</v>
      </c>
      <c r="J278" s="45" t="s">
        <v>4866</v>
      </c>
      <c r="K278" s="45" t="s">
        <v>5250</v>
      </c>
      <c r="L278" s="45" t="s">
        <v>1122</v>
      </c>
      <c r="M278" s="45" t="s">
        <v>1311</v>
      </c>
      <c r="N278" s="45" t="s">
        <v>1312</v>
      </c>
      <c r="O278" s="45" t="s">
        <v>1123</v>
      </c>
      <c r="P278" s="46" t="str">
        <f>HYPERLINK("https://cofre.sieg.com/ajax/danfe.aspx?nfe=26230120300157000905550010000111191482580450","Ver Danfe")</f>
        <v>Ver Danfe</v>
      </c>
      <c r="Q278" s="46" t="str">
        <f>HYPERLINK("https://cofre.sieg.com/ajax/xml.aspx?nfe=26230120300157000905550010000111191482580450","Baixar Xml")</f>
        <v>Baixar Xml</v>
      </c>
    </row>
    <row r="279" spans="1:17" x14ac:dyDescent="0.75">
      <c r="A279" s="5">
        <v>11120</v>
      </c>
      <c r="B279" s="55">
        <v>69.599999999999994</v>
      </c>
      <c r="C279" s="5" t="s">
        <v>4866</v>
      </c>
      <c r="D279" s="45" t="s">
        <v>1321</v>
      </c>
      <c r="E279" s="45" t="s">
        <v>1322</v>
      </c>
      <c r="F279" s="45" t="s">
        <v>1323</v>
      </c>
      <c r="G279" s="45" t="s">
        <v>1120</v>
      </c>
      <c r="H279" s="45" t="s">
        <v>1126</v>
      </c>
      <c r="I279" s="45" t="s">
        <v>1126</v>
      </c>
      <c r="J279" s="45" t="s">
        <v>4866</v>
      </c>
      <c r="K279" s="45" t="s">
        <v>5251</v>
      </c>
      <c r="L279" s="45" t="s">
        <v>1122</v>
      </c>
      <c r="M279" s="45" t="s">
        <v>1311</v>
      </c>
      <c r="N279" s="45" t="s">
        <v>1312</v>
      </c>
      <c r="O279" s="45" t="s">
        <v>1123</v>
      </c>
      <c r="P279" s="46" t="str">
        <f>HYPERLINK("https://cofre.sieg.com/ajax/danfe.aspx?nfe=26230120300157000905550010000111201277589337","Ver Danfe")</f>
        <v>Ver Danfe</v>
      </c>
      <c r="Q279" s="46" t="str">
        <f>HYPERLINK("https://cofre.sieg.com/ajax/xml.aspx?nfe=26230120300157000905550010000111201277589337","Baixar Xml")</f>
        <v>Baixar Xml</v>
      </c>
    </row>
    <row r="280" spans="1:17" x14ac:dyDescent="0.75">
      <c r="A280" s="5">
        <v>11121</v>
      </c>
      <c r="B280" s="55">
        <v>38</v>
      </c>
      <c r="C280" s="5" t="s">
        <v>4866</v>
      </c>
      <c r="D280" s="45" t="s">
        <v>1321</v>
      </c>
      <c r="E280" s="45" t="s">
        <v>1322</v>
      </c>
      <c r="F280" s="45" t="s">
        <v>1323</v>
      </c>
      <c r="G280" s="45" t="s">
        <v>1120</v>
      </c>
      <c r="H280" s="45" t="s">
        <v>1126</v>
      </c>
      <c r="I280" s="45" t="s">
        <v>1126</v>
      </c>
      <c r="J280" s="45" t="s">
        <v>4866</v>
      </c>
      <c r="K280" s="45" t="s">
        <v>5252</v>
      </c>
      <c r="L280" s="45" t="s">
        <v>1122</v>
      </c>
      <c r="M280" s="45" t="s">
        <v>1311</v>
      </c>
      <c r="N280" s="45" t="s">
        <v>1312</v>
      </c>
      <c r="O280" s="45" t="s">
        <v>1123</v>
      </c>
      <c r="P280" s="46" t="str">
        <f>HYPERLINK("https://cofre.sieg.com/ajax/danfe.aspx?nfe=26230120300157000905550010000111211258867707","Ver Danfe")</f>
        <v>Ver Danfe</v>
      </c>
      <c r="Q280" s="46" t="str">
        <f>HYPERLINK("https://cofre.sieg.com/ajax/xml.aspx?nfe=26230120300157000905550010000111211258867707","Baixar Xml")</f>
        <v>Baixar Xml</v>
      </c>
    </row>
    <row r="281" spans="1:17" x14ac:dyDescent="0.75">
      <c r="A281" s="5">
        <v>11122</v>
      </c>
      <c r="B281" s="55">
        <v>86.4</v>
      </c>
      <c r="C281" s="5" t="s">
        <v>4866</v>
      </c>
      <c r="D281" s="45" t="s">
        <v>1321</v>
      </c>
      <c r="E281" s="45" t="s">
        <v>1322</v>
      </c>
      <c r="F281" s="45" t="s">
        <v>1323</v>
      </c>
      <c r="G281" s="45" t="s">
        <v>1120</v>
      </c>
      <c r="H281" s="45" t="s">
        <v>1126</v>
      </c>
      <c r="I281" s="45" t="s">
        <v>1126</v>
      </c>
      <c r="J281" s="45" t="s">
        <v>4866</v>
      </c>
      <c r="K281" s="45" t="s">
        <v>5253</v>
      </c>
      <c r="L281" s="45" t="s">
        <v>1122</v>
      </c>
      <c r="M281" s="45" t="s">
        <v>1311</v>
      </c>
      <c r="N281" s="45" t="s">
        <v>1312</v>
      </c>
      <c r="O281" s="45" t="s">
        <v>1123</v>
      </c>
      <c r="P281" s="46" t="str">
        <f>HYPERLINK("https://cofre.sieg.com/ajax/danfe.aspx?nfe=26230120300157000905550010000111221616912296","Ver Danfe")</f>
        <v>Ver Danfe</v>
      </c>
      <c r="Q281" s="46" t="str">
        <f>HYPERLINK("https://cofre.sieg.com/ajax/xml.aspx?nfe=26230120300157000905550010000111221616912296","Baixar Xml")</f>
        <v>Baixar Xml</v>
      </c>
    </row>
    <row r="282" spans="1:17" x14ac:dyDescent="0.75">
      <c r="A282" s="5">
        <v>11123</v>
      </c>
      <c r="B282" s="55">
        <v>32</v>
      </c>
      <c r="C282" s="5" t="s">
        <v>4866</v>
      </c>
      <c r="D282" s="45" t="s">
        <v>1321</v>
      </c>
      <c r="E282" s="45" t="s">
        <v>1322</v>
      </c>
      <c r="F282" s="45" t="s">
        <v>1323</v>
      </c>
      <c r="G282" s="45" t="s">
        <v>1120</v>
      </c>
      <c r="H282" s="45" t="s">
        <v>1126</v>
      </c>
      <c r="I282" s="45" t="s">
        <v>1126</v>
      </c>
      <c r="J282" s="45" t="s">
        <v>4866</v>
      </c>
      <c r="K282" s="45" t="s">
        <v>5254</v>
      </c>
      <c r="L282" s="45" t="s">
        <v>1122</v>
      </c>
      <c r="M282" s="45" t="s">
        <v>1311</v>
      </c>
      <c r="N282" s="45" t="s">
        <v>1312</v>
      </c>
      <c r="O282" s="45" t="s">
        <v>1123</v>
      </c>
      <c r="P282" s="46" t="str">
        <f>HYPERLINK("https://cofre.sieg.com/ajax/danfe.aspx?nfe=26230120300157000905550010000111231334673542","Ver Danfe")</f>
        <v>Ver Danfe</v>
      </c>
      <c r="Q282" s="46" t="str">
        <f>HYPERLINK("https://cofre.sieg.com/ajax/xml.aspx?nfe=26230120300157000905550010000111231334673542","Baixar Xml")</f>
        <v>Baixar Xml</v>
      </c>
    </row>
    <row r="283" spans="1:17" x14ac:dyDescent="0.75">
      <c r="A283" s="5">
        <v>11124</v>
      </c>
      <c r="B283" s="55">
        <v>507.8</v>
      </c>
      <c r="C283" s="5" t="s">
        <v>4866</v>
      </c>
      <c r="D283" s="45" t="s">
        <v>1321</v>
      </c>
      <c r="E283" s="45" t="s">
        <v>1322</v>
      </c>
      <c r="F283" s="45" t="s">
        <v>1323</v>
      </c>
      <c r="G283" s="45" t="s">
        <v>1120</v>
      </c>
      <c r="H283" s="45" t="s">
        <v>1126</v>
      </c>
      <c r="I283" s="45" t="s">
        <v>1126</v>
      </c>
      <c r="J283" s="45" t="s">
        <v>4866</v>
      </c>
      <c r="K283" s="45" t="s">
        <v>5255</v>
      </c>
      <c r="L283" s="45" t="s">
        <v>1122</v>
      </c>
      <c r="M283" s="45" t="s">
        <v>1311</v>
      </c>
      <c r="N283" s="45" t="s">
        <v>1312</v>
      </c>
      <c r="O283" s="45" t="s">
        <v>1123</v>
      </c>
      <c r="P283" s="46" t="str">
        <f>HYPERLINK("https://cofre.sieg.com/ajax/danfe.aspx?nfe=26230120300157000905550010000111241439009917","Ver Danfe")</f>
        <v>Ver Danfe</v>
      </c>
      <c r="Q283" s="46" t="str">
        <f>HYPERLINK("https://cofre.sieg.com/ajax/xml.aspx?nfe=26230120300157000905550010000111241439009917","Baixar Xml")</f>
        <v>Baixar Xml</v>
      </c>
    </row>
    <row r="284" spans="1:17" x14ac:dyDescent="0.75">
      <c r="A284" s="5">
        <v>11151</v>
      </c>
      <c r="B284" s="55">
        <v>32</v>
      </c>
      <c r="C284" s="5" t="s">
        <v>4873</v>
      </c>
      <c r="D284" s="45" t="s">
        <v>1321</v>
      </c>
      <c r="E284" s="45" t="s">
        <v>1322</v>
      </c>
      <c r="F284" s="45" t="s">
        <v>1323</v>
      </c>
      <c r="G284" s="45" t="s">
        <v>1120</v>
      </c>
      <c r="H284" s="45" t="s">
        <v>1126</v>
      </c>
      <c r="I284" s="45" t="s">
        <v>1126</v>
      </c>
      <c r="J284" s="45" t="s">
        <v>4873</v>
      </c>
      <c r="K284" s="45" t="s">
        <v>5256</v>
      </c>
      <c r="L284" s="45" t="s">
        <v>1122</v>
      </c>
      <c r="M284" s="45"/>
      <c r="N284" s="45"/>
      <c r="O284" s="45" t="s">
        <v>1123</v>
      </c>
      <c r="P284" s="46" t="str">
        <f>HYPERLINK("https://cofre.sieg.com/ajax/danfe.aspx?nfe=26230120300157000905550010000111511139298724","Ver Danfe")</f>
        <v>Ver Danfe</v>
      </c>
      <c r="Q284" s="46" t="str">
        <f>HYPERLINK("https://cofre.sieg.com/ajax/xml.aspx?nfe=26230120300157000905550010000111511139298724","Baixar Xml")</f>
        <v>Baixar Xml</v>
      </c>
    </row>
    <row r="285" spans="1:17" x14ac:dyDescent="0.75">
      <c r="A285" s="5">
        <v>11152</v>
      </c>
      <c r="B285" s="55">
        <v>8</v>
      </c>
      <c r="C285" s="5" t="s">
        <v>4873</v>
      </c>
      <c r="D285" s="45" t="s">
        <v>1321</v>
      </c>
      <c r="E285" s="45" t="s">
        <v>1322</v>
      </c>
      <c r="F285" s="45" t="s">
        <v>1323</v>
      </c>
      <c r="G285" s="45" t="s">
        <v>1120</v>
      </c>
      <c r="H285" s="45" t="s">
        <v>1126</v>
      </c>
      <c r="I285" s="45" t="s">
        <v>1126</v>
      </c>
      <c r="J285" s="45" t="s">
        <v>4873</v>
      </c>
      <c r="K285" s="45" t="s">
        <v>5257</v>
      </c>
      <c r="L285" s="45" t="s">
        <v>1122</v>
      </c>
      <c r="M285" s="45"/>
      <c r="N285" s="45"/>
      <c r="O285" s="45" t="s">
        <v>1123</v>
      </c>
      <c r="P285" s="46" t="str">
        <f>HYPERLINK("https://cofre.sieg.com/ajax/danfe.aspx?nfe=26230120300157000905550010000111521900655374","Ver Danfe")</f>
        <v>Ver Danfe</v>
      </c>
      <c r="Q285" s="46" t="str">
        <f>HYPERLINK("https://cofre.sieg.com/ajax/xml.aspx?nfe=26230120300157000905550010000111521900655374","Baixar Xml")</f>
        <v>Baixar Xml</v>
      </c>
    </row>
    <row r="286" spans="1:17" x14ac:dyDescent="0.75">
      <c r="A286" s="5">
        <v>11153</v>
      </c>
      <c r="B286" s="55">
        <v>277</v>
      </c>
      <c r="C286" s="5" t="s">
        <v>4873</v>
      </c>
      <c r="D286" s="45" t="s">
        <v>1321</v>
      </c>
      <c r="E286" s="45" t="s">
        <v>1322</v>
      </c>
      <c r="F286" s="45" t="s">
        <v>1323</v>
      </c>
      <c r="G286" s="45" t="s">
        <v>1120</v>
      </c>
      <c r="H286" s="45" t="s">
        <v>1126</v>
      </c>
      <c r="I286" s="45" t="s">
        <v>1126</v>
      </c>
      <c r="J286" s="45" t="s">
        <v>4873</v>
      </c>
      <c r="K286" s="45" t="s">
        <v>5258</v>
      </c>
      <c r="L286" s="45" t="s">
        <v>1122</v>
      </c>
      <c r="M286" s="45"/>
      <c r="N286" s="45"/>
      <c r="O286" s="45" t="s">
        <v>1123</v>
      </c>
      <c r="P286" s="46" t="str">
        <f>HYPERLINK("https://cofre.sieg.com/ajax/danfe.aspx?nfe=26230120300157000905550010000111531248617345","Ver Danfe")</f>
        <v>Ver Danfe</v>
      </c>
      <c r="Q286" s="46" t="str">
        <f>HYPERLINK("https://cofre.sieg.com/ajax/xml.aspx?nfe=26230120300157000905550010000111531248617345","Baixar Xml")</f>
        <v>Baixar Xml</v>
      </c>
    </row>
    <row r="287" spans="1:17" x14ac:dyDescent="0.75">
      <c r="A287" s="5">
        <v>11154</v>
      </c>
      <c r="B287" s="55">
        <v>120</v>
      </c>
      <c r="C287" s="5" t="s">
        <v>4873</v>
      </c>
      <c r="D287" s="45" t="s">
        <v>1321</v>
      </c>
      <c r="E287" s="45" t="s">
        <v>1322</v>
      </c>
      <c r="F287" s="45" t="s">
        <v>1323</v>
      </c>
      <c r="G287" s="45" t="s">
        <v>1120</v>
      </c>
      <c r="H287" s="45" t="s">
        <v>1126</v>
      </c>
      <c r="I287" s="45" t="s">
        <v>1126</v>
      </c>
      <c r="J287" s="45" t="s">
        <v>4873</v>
      </c>
      <c r="K287" s="45" t="s">
        <v>5259</v>
      </c>
      <c r="L287" s="45" t="s">
        <v>1122</v>
      </c>
      <c r="M287" s="45"/>
      <c r="N287" s="45"/>
      <c r="O287" s="45" t="s">
        <v>1123</v>
      </c>
      <c r="P287" s="46" t="str">
        <f>HYPERLINK("https://cofre.sieg.com/ajax/danfe.aspx?nfe=26230120300157000905550010000111541124748097","Ver Danfe")</f>
        <v>Ver Danfe</v>
      </c>
      <c r="Q287" s="46" t="str">
        <f>HYPERLINK("https://cofre.sieg.com/ajax/xml.aspx?nfe=26230120300157000905550010000111541124748097","Baixar Xml")</f>
        <v>Baixar Xml</v>
      </c>
    </row>
    <row r="288" spans="1:17" x14ac:dyDescent="0.75">
      <c r="A288" s="5">
        <v>11166</v>
      </c>
      <c r="B288" s="55">
        <v>171.9</v>
      </c>
      <c r="C288" s="5" t="s">
        <v>4873</v>
      </c>
      <c r="D288" s="45" t="s">
        <v>1321</v>
      </c>
      <c r="E288" s="45" t="s">
        <v>1322</v>
      </c>
      <c r="F288" s="45" t="s">
        <v>1323</v>
      </c>
      <c r="G288" s="45" t="s">
        <v>1120</v>
      </c>
      <c r="H288" s="45" t="s">
        <v>1126</v>
      </c>
      <c r="I288" s="45" t="s">
        <v>1126</v>
      </c>
      <c r="J288" s="45" t="s">
        <v>4873</v>
      </c>
      <c r="K288" s="45" t="s">
        <v>5260</v>
      </c>
      <c r="L288" s="45" t="s">
        <v>1122</v>
      </c>
      <c r="M288" s="45" t="s">
        <v>1311</v>
      </c>
      <c r="N288" s="45" t="s">
        <v>1312</v>
      </c>
      <c r="O288" s="45" t="s">
        <v>1123</v>
      </c>
      <c r="P288" s="46" t="str">
        <f>HYPERLINK("https://cofre.sieg.com/ajax/danfe.aspx?nfe=26230120300157000905550010000111661873888704","Ver Danfe")</f>
        <v>Ver Danfe</v>
      </c>
      <c r="Q288" s="46" t="str">
        <f>HYPERLINK("https://cofre.sieg.com/ajax/xml.aspx?nfe=26230120300157000905550010000111661873888704","Baixar Xml")</f>
        <v>Baixar Xml</v>
      </c>
    </row>
    <row r="289" spans="1:17" x14ac:dyDescent="0.75">
      <c r="A289" s="5">
        <v>11272</v>
      </c>
      <c r="B289" s="55">
        <v>17</v>
      </c>
      <c r="C289" s="5" t="s">
        <v>4887</v>
      </c>
      <c r="D289" s="45" t="s">
        <v>1321</v>
      </c>
      <c r="E289" s="45" t="s">
        <v>1322</v>
      </c>
      <c r="F289" s="45" t="s">
        <v>1323</v>
      </c>
      <c r="G289" s="45" t="s">
        <v>1120</v>
      </c>
      <c r="H289" s="45" t="s">
        <v>1126</v>
      </c>
      <c r="I289" s="45" t="s">
        <v>1126</v>
      </c>
      <c r="J289" s="45" t="s">
        <v>4887</v>
      </c>
      <c r="K289" s="45" t="s">
        <v>5261</v>
      </c>
      <c r="L289" s="45" t="s">
        <v>1122</v>
      </c>
      <c r="M289" s="45" t="s">
        <v>1311</v>
      </c>
      <c r="N289" s="45" t="s">
        <v>1312</v>
      </c>
      <c r="O289" s="45" t="s">
        <v>1123</v>
      </c>
      <c r="P289" s="46" t="str">
        <f>HYPERLINK("https://cofre.sieg.com/ajax/danfe.aspx?nfe=26230120300157000905550010000112721155329740","Ver Danfe")</f>
        <v>Ver Danfe</v>
      </c>
      <c r="Q289" s="46" t="str">
        <f>HYPERLINK("https://cofre.sieg.com/ajax/xml.aspx?nfe=26230120300157000905550010000112721155329740","Baixar Xml")</f>
        <v>Baixar Xml</v>
      </c>
    </row>
    <row r="290" spans="1:17" x14ac:dyDescent="0.75">
      <c r="A290" s="5">
        <v>11287</v>
      </c>
      <c r="B290" s="55">
        <v>10.7</v>
      </c>
      <c r="C290" s="5" t="s">
        <v>4891</v>
      </c>
      <c r="D290" s="45" t="s">
        <v>1321</v>
      </c>
      <c r="E290" s="45" t="s">
        <v>1322</v>
      </c>
      <c r="F290" s="45" t="s">
        <v>1323</v>
      </c>
      <c r="G290" s="45" t="s">
        <v>1120</v>
      </c>
      <c r="H290" s="45" t="s">
        <v>1126</v>
      </c>
      <c r="I290" s="45" t="s">
        <v>1126</v>
      </c>
      <c r="J290" s="45" t="s">
        <v>4891</v>
      </c>
      <c r="K290" s="45" t="s">
        <v>5262</v>
      </c>
      <c r="L290" s="45" t="s">
        <v>1122</v>
      </c>
      <c r="M290" s="45" t="s">
        <v>1311</v>
      </c>
      <c r="N290" s="45" t="s">
        <v>1312</v>
      </c>
      <c r="O290" s="45" t="s">
        <v>1123</v>
      </c>
      <c r="P290" s="46" t="str">
        <f>HYPERLINK("https://cofre.sieg.com/ajax/danfe.aspx?nfe=26230120300157000905550010000112871953578499","Ver Danfe")</f>
        <v>Ver Danfe</v>
      </c>
      <c r="Q290" s="46" t="str">
        <f>HYPERLINK("https://cofre.sieg.com/ajax/xml.aspx?nfe=26230120300157000905550010000112871953578499","Baixar Xml")</f>
        <v>Baixar Xml</v>
      </c>
    </row>
    <row r="291" spans="1:17" x14ac:dyDescent="0.75">
      <c r="A291" s="5">
        <v>11288</v>
      </c>
      <c r="B291" s="55">
        <v>9.1999999999999993</v>
      </c>
      <c r="C291" s="5" t="s">
        <v>4891</v>
      </c>
      <c r="D291" s="45" t="s">
        <v>1321</v>
      </c>
      <c r="E291" s="45" t="s">
        <v>1322</v>
      </c>
      <c r="F291" s="45" t="s">
        <v>1323</v>
      </c>
      <c r="G291" s="45" t="s">
        <v>1120</v>
      </c>
      <c r="H291" s="45" t="s">
        <v>1126</v>
      </c>
      <c r="I291" s="45" t="s">
        <v>1126</v>
      </c>
      <c r="J291" s="45" t="s">
        <v>4891</v>
      </c>
      <c r="K291" s="45" t="s">
        <v>5263</v>
      </c>
      <c r="L291" s="45" t="s">
        <v>1122</v>
      </c>
      <c r="M291" s="45" t="s">
        <v>1311</v>
      </c>
      <c r="N291" s="45" t="s">
        <v>1312</v>
      </c>
      <c r="O291" s="45" t="s">
        <v>1123</v>
      </c>
      <c r="P291" s="46" t="str">
        <f>HYPERLINK("https://cofre.sieg.com/ajax/danfe.aspx?nfe=26230120300157000905550010000112881943954630","Ver Danfe")</f>
        <v>Ver Danfe</v>
      </c>
      <c r="Q291" s="46" t="str">
        <f>HYPERLINK("https://cofre.sieg.com/ajax/xml.aspx?nfe=26230120300157000905550010000112881943954630","Baixar Xml")</f>
        <v>Baixar Xml</v>
      </c>
    </row>
    <row r="292" spans="1:17" x14ac:dyDescent="0.75">
      <c r="A292" s="5">
        <v>11289</v>
      </c>
      <c r="B292" s="55">
        <v>366.3</v>
      </c>
      <c r="C292" s="5" t="s">
        <v>4891</v>
      </c>
      <c r="D292" s="45" t="s">
        <v>1321</v>
      </c>
      <c r="E292" s="45" t="s">
        <v>1322</v>
      </c>
      <c r="F292" s="45" t="s">
        <v>1323</v>
      </c>
      <c r="G292" s="45" t="s">
        <v>1120</v>
      </c>
      <c r="H292" s="45" t="s">
        <v>1126</v>
      </c>
      <c r="I292" s="45" t="s">
        <v>1126</v>
      </c>
      <c r="J292" s="45" t="s">
        <v>4891</v>
      </c>
      <c r="K292" s="45" t="s">
        <v>5264</v>
      </c>
      <c r="L292" s="45" t="s">
        <v>1122</v>
      </c>
      <c r="M292" s="45" t="s">
        <v>1311</v>
      </c>
      <c r="N292" s="45" t="s">
        <v>1312</v>
      </c>
      <c r="O292" s="45" t="s">
        <v>1123</v>
      </c>
      <c r="P292" s="46" t="str">
        <f>HYPERLINK("https://cofre.sieg.com/ajax/danfe.aspx?nfe=26230120300157000905550010000112891588534665","Ver Danfe")</f>
        <v>Ver Danfe</v>
      </c>
      <c r="Q292" s="46" t="str">
        <f>HYPERLINK("https://cofre.sieg.com/ajax/xml.aspx?nfe=26230120300157000905550010000112891588534665","Baixar Xml")</f>
        <v>Baixar Xml</v>
      </c>
    </row>
    <row r="293" spans="1:17" x14ac:dyDescent="0.75">
      <c r="A293" s="5">
        <v>11308</v>
      </c>
      <c r="B293" s="55">
        <v>33</v>
      </c>
      <c r="C293" s="5" t="s">
        <v>4899</v>
      </c>
      <c r="D293" s="45" t="s">
        <v>1321</v>
      </c>
      <c r="E293" s="45" t="s">
        <v>1322</v>
      </c>
      <c r="F293" s="45" t="s">
        <v>1323</v>
      </c>
      <c r="G293" s="45" t="s">
        <v>1120</v>
      </c>
      <c r="H293" s="45" t="s">
        <v>1126</v>
      </c>
      <c r="I293" s="45" t="s">
        <v>1126</v>
      </c>
      <c r="J293" s="45" t="s">
        <v>4899</v>
      </c>
      <c r="K293" s="45" t="s">
        <v>5265</v>
      </c>
      <c r="L293" s="45" t="s">
        <v>1122</v>
      </c>
      <c r="M293" s="45" t="s">
        <v>1311</v>
      </c>
      <c r="N293" s="45" t="s">
        <v>1312</v>
      </c>
      <c r="O293" s="45" t="s">
        <v>1123</v>
      </c>
      <c r="P293" s="46" t="str">
        <f>HYPERLINK("https://cofre.sieg.com/ajax/danfe.aspx?nfe=26230120300157000905550010000113081324002658","Ver Danfe")</f>
        <v>Ver Danfe</v>
      </c>
      <c r="Q293" s="46" t="str">
        <f>HYPERLINK("https://cofre.sieg.com/ajax/xml.aspx?nfe=26230120300157000905550010000113081324002658","Baixar Xml")</f>
        <v>Baixar Xml</v>
      </c>
    </row>
    <row r="294" spans="1:17" x14ac:dyDescent="0.75">
      <c r="A294" s="5">
        <v>11332</v>
      </c>
      <c r="B294" s="55">
        <v>348.2</v>
      </c>
      <c r="C294" s="5" t="s">
        <v>4900</v>
      </c>
      <c r="D294" s="45" t="s">
        <v>1321</v>
      </c>
      <c r="E294" s="45" t="s">
        <v>1322</v>
      </c>
      <c r="F294" s="45" t="s">
        <v>1323</v>
      </c>
      <c r="G294" s="45" t="s">
        <v>1120</v>
      </c>
      <c r="H294" s="45" t="s">
        <v>1126</v>
      </c>
      <c r="I294" s="45" t="s">
        <v>1126</v>
      </c>
      <c r="J294" s="45" t="s">
        <v>4900</v>
      </c>
      <c r="K294" s="45" t="s">
        <v>5266</v>
      </c>
      <c r="L294" s="45" t="s">
        <v>1122</v>
      </c>
      <c r="M294" s="45" t="s">
        <v>1311</v>
      </c>
      <c r="N294" s="45" t="s">
        <v>1312</v>
      </c>
      <c r="O294" s="45" t="s">
        <v>1123</v>
      </c>
      <c r="P294" s="46" t="str">
        <f>HYPERLINK("https://cofre.sieg.com/ajax/danfe.aspx?nfe=26230120300157000905550010000113321140004793","Ver Danfe")</f>
        <v>Ver Danfe</v>
      </c>
      <c r="Q294" s="46" t="str">
        <f>HYPERLINK("https://cofre.sieg.com/ajax/xml.aspx?nfe=26230120300157000905550010000113321140004793","Baixar Xml")</f>
        <v>Baixar Xml</v>
      </c>
    </row>
    <row r="295" spans="1:17" x14ac:dyDescent="0.75">
      <c r="A295" s="5">
        <v>11361</v>
      </c>
      <c r="B295" s="55">
        <v>19.2</v>
      </c>
      <c r="C295" s="5" t="s">
        <v>4907</v>
      </c>
      <c r="D295" s="45" t="s">
        <v>1321</v>
      </c>
      <c r="E295" s="45" t="s">
        <v>1322</v>
      </c>
      <c r="F295" s="45" t="s">
        <v>1323</v>
      </c>
      <c r="G295" s="45" t="s">
        <v>1120</v>
      </c>
      <c r="H295" s="45" t="s">
        <v>1126</v>
      </c>
      <c r="I295" s="45" t="s">
        <v>1126</v>
      </c>
      <c r="J295" s="45" t="s">
        <v>4907</v>
      </c>
      <c r="K295" s="45" t="s">
        <v>5267</v>
      </c>
      <c r="L295" s="45" t="s">
        <v>1122</v>
      </c>
      <c r="M295" s="45" t="s">
        <v>1311</v>
      </c>
      <c r="N295" s="45" t="s">
        <v>1312</v>
      </c>
      <c r="O295" s="45" t="s">
        <v>1123</v>
      </c>
      <c r="P295" s="46" t="str">
        <f>HYPERLINK("https://cofre.sieg.com/ajax/danfe.aspx?nfe=26230120300157000905550010000113611884377000","Ver Danfe")</f>
        <v>Ver Danfe</v>
      </c>
      <c r="Q295" s="46" t="str">
        <f>HYPERLINK("https://cofre.sieg.com/ajax/xml.aspx?nfe=26230120300157000905550010000113611884377000","Baixar Xml")</f>
        <v>Baixar Xml</v>
      </c>
    </row>
    <row r="296" spans="1:17" x14ac:dyDescent="0.75">
      <c r="A296" s="5">
        <v>11404</v>
      </c>
      <c r="B296" s="55">
        <v>3.4</v>
      </c>
      <c r="C296" s="5" t="s">
        <v>4912</v>
      </c>
      <c r="D296" s="45" t="s">
        <v>1321</v>
      </c>
      <c r="E296" s="45" t="s">
        <v>1322</v>
      </c>
      <c r="F296" s="45" t="s">
        <v>1323</v>
      </c>
      <c r="G296" s="45" t="s">
        <v>1120</v>
      </c>
      <c r="H296" s="45" t="s">
        <v>1126</v>
      </c>
      <c r="I296" s="45" t="s">
        <v>1126</v>
      </c>
      <c r="J296" s="45" t="s">
        <v>4912</v>
      </c>
      <c r="K296" s="45" t="s">
        <v>5268</v>
      </c>
      <c r="L296" s="45" t="s">
        <v>1122</v>
      </c>
      <c r="M296" s="45" t="s">
        <v>1311</v>
      </c>
      <c r="N296" s="45" t="s">
        <v>1312</v>
      </c>
      <c r="O296" s="45" t="s">
        <v>1123</v>
      </c>
      <c r="P296" s="46" t="str">
        <f>HYPERLINK("https://cofre.sieg.com/ajax/danfe.aspx?nfe=26230120300157000905550010000114041242559507","Ver Danfe")</f>
        <v>Ver Danfe</v>
      </c>
      <c r="Q296" s="46" t="str">
        <f>HYPERLINK("https://cofre.sieg.com/ajax/xml.aspx?nfe=26230120300157000905550010000114041242559507","Baixar Xml")</f>
        <v>Baixar Xml</v>
      </c>
    </row>
    <row r="297" spans="1:17" x14ac:dyDescent="0.75">
      <c r="A297" s="5">
        <v>11443</v>
      </c>
      <c r="B297" s="55">
        <v>9.1999999999999993</v>
      </c>
      <c r="C297" s="5" t="s">
        <v>4919</v>
      </c>
      <c r="D297" s="45" t="s">
        <v>1321</v>
      </c>
      <c r="E297" s="45" t="s">
        <v>1322</v>
      </c>
      <c r="F297" s="45" t="s">
        <v>1323</v>
      </c>
      <c r="G297" s="45" t="s">
        <v>1120</v>
      </c>
      <c r="H297" s="45" t="s">
        <v>1126</v>
      </c>
      <c r="I297" s="45" t="s">
        <v>1126</v>
      </c>
      <c r="J297" s="45" t="s">
        <v>4919</v>
      </c>
      <c r="K297" s="45" t="s">
        <v>5269</v>
      </c>
      <c r="L297" s="45" t="s">
        <v>1122</v>
      </c>
      <c r="M297" s="45" t="s">
        <v>1311</v>
      </c>
      <c r="N297" s="45" t="s">
        <v>1312</v>
      </c>
      <c r="O297" s="45" t="s">
        <v>1123</v>
      </c>
      <c r="P297" s="46" t="str">
        <f>HYPERLINK("https://cofre.sieg.com/ajax/danfe.aspx?nfe=26230120300157000905550010000114431573967635","Ver Danfe")</f>
        <v>Ver Danfe</v>
      </c>
      <c r="Q297" s="46" t="str">
        <f>HYPERLINK("https://cofre.sieg.com/ajax/xml.aspx?nfe=26230120300157000905550010000114431573967635","Baixar Xml")</f>
        <v>Baixar Xml</v>
      </c>
    </row>
    <row r="298" spans="1:17" x14ac:dyDescent="0.75">
      <c r="A298" s="5">
        <v>11444</v>
      </c>
      <c r="B298" s="55">
        <v>6.9</v>
      </c>
      <c r="C298" s="5" t="s">
        <v>4919</v>
      </c>
      <c r="D298" s="45" t="s">
        <v>1321</v>
      </c>
      <c r="E298" s="45" t="s">
        <v>1322</v>
      </c>
      <c r="F298" s="45" t="s">
        <v>1323</v>
      </c>
      <c r="G298" s="45" t="s">
        <v>1120</v>
      </c>
      <c r="H298" s="45" t="s">
        <v>1126</v>
      </c>
      <c r="I298" s="45" t="s">
        <v>1126</v>
      </c>
      <c r="J298" s="45" t="s">
        <v>4919</v>
      </c>
      <c r="K298" s="45" t="s">
        <v>5270</v>
      </c>
      <c r="L298" s="45" t="s">
        <v>1122</v>
      </c>
      <c r="M298" s="45" t="s">
        <v>1311</v>
      </c>
      <c r="N298" s="45" t="s">
        <v>1312</v>
      </c>
      <c r="O298" s="45" t="s">
        <v>1123</v>
      </c>
      <c r="P298" s="46" t="str">
        <f>HYPERLINK("https://cofre.sieg.com/ajax/danfe.aspx?nfe=26230120300157000905550010000114441508542592","Ver Danfe")</f>
        <v>Ver Danfe</v>
      </c>
      <c r="Q298" s="46" t="str">
        <f>HYPERLINK("https://cofre.sieg.com/ajax/xml.aspx?nfe=26230120300157000905550010000114441508542592","Baixar Xml")</f>
        <v>Baixar Xml</v>
      </c>
    </row>
    <row r="299" spans="1:17" x14ac:dyDescent="0.75">
      <c r="A299" s="5">
        <v>11445</v>
      </c>
      <c r="B299" s="55">
        <v>9.1999999999999993</v>
      </c>
      <c r="C299" s="5" t="s">
        <v>4919</v>
      </c>
      <c r="D299" s="45" t="s">
        <v>1321</v>
      </c>
      <c r="E299" s="45" t="s">
        <v>1322</v>
      </c>
      <c r="F299" s="45" t="s">
        <v>1323</v>
      </c>
      <c r="G299" s="45" t="s">
        <v>1120</v>
      </c>
      <c r="H299" s="45" t="s">
        <v>1126</v>
      </c>
      <c r="I299" s="45" t="s">
        <v>1126</v>
      </c>
      <c r="J299" s="45" t="s">
        <v>4919</v>
      </c>
      <c r="K299" s="45" t="s">
        <v>5271</v>
      </c>
      <c r="L299" s="45" t="s">
        <v>1122</v>
      </c>
      <c r="M299" s="45" t="s">
        <v>1311</v>
      </c>
      <c r="N299" s="45" t="s">
        <v>1312</v>
      </c>
      <c r="O299" s="45" t="s">
        <v>1123</v>
      </c>
      <c r="P299" s="46" t="str">
        <f>HYPERLINK("https://cofre.sieg.com/ajax/danfe.aspx?nfe=26230120300157000905550010000114451938780739","Ver Danfe")</f>
        <v>Ver Danfe</v>
      </c>
      <c r="Q299" s="46" t="str">
        <f>HYPERLINK("https://cofre.sieg.com/ajax/xml.aspx?nfe=26230120300157000905550010000114451938780739","Baixar Xml")</f>
        <v>Baixar Xml</v>
      </c>
    </row>
    <row r="300" spans="1:17" x14ac:dyDescent="0.75">
      <c r="A300" s="5">
        <v>11446</v>
      </c>
      <c r="B300" s="55">
        <v>4.2</v>
      </c>
      <c r="C300" s="5" t="s">
        <v>4919</v>
      </c>
      <c r="D300" s="45" t="s">
        <v>1321</v>
      </c>
      <c r="E300" s="45" t="s">
        <v>1322</v>
      </c>
      <c r="F300" s="45" t="s">
        <v>1323</v>
      </c>
      <c r="G300" s="45" t="s">
        <v>1120</v>
      </c>
      <c r="H300" s="45" t="s">
        <v>1126</v>
      </c>
      <c r="I300" s="45" t="s">
        <v>1126</v>
      </c>
      <c r="J300" s="45" t="s">
        <v>4919</v>
      </c>
      <c r="K300" s="45" t="s">
        <v>5272</v>
      </c>
      <c r="L300" s="45" t="s">
        <v>1122</v>
      </c>
      <c r="M300" s="45" t="s">
        <v>1311</v>
      </c>
      <c r="N300" s="45" t="s">
        <v>1312</v>
      </c>
      <c r="O300" s="45" t="s">
        <v>1123</v>
      </c>
      <c r="P300" s="46" t="str">
        <f>HYPERLINK("https://cofre.sieg.com/ajax/danfe.aspx?nfe=26230120300157000905550010000114461963482360","Ver Danfe")</f>
        <v>Ver Danfe</v>
      </c>
      <c r="Q300" s="46" t="str">
        <f>HYPERLINK("https://cofre.sieg.com/ajax/xml.aspx?nfe=26230120300157000905550010000114461963482360","Baixar Xml")</f>
        <v>Baixar Xml</v>
      </c>
    </row>
    <row r="301" spans="1:17" x14ac:dyDescent="0.75">
      <c r="A301" s="5">
        <v>11447</v>
      </c>
      <c r="B301" s="55">
        <v>24</v>
      </c>
      <c r="C301" s="5" t="s">
        <v>4919</v>
      </c>
      <c r="D301" s="45" t="s">
        <v>1321</v>
      </c>
      <c r="E301" s="45" t="s">
        <v>1322</v>
      </c>
      <c r="F301" s="45" t="s">
        <v>1323</v>
      </c>
      <c r="G301" s="45" t="s">
        <v>1120</v>
      </c>
      <c r="H301" s="45" t="s">
        <v>1126</v>
      </c>
      <c r="I301" s="45" t="s">
        <v>1126</v>
      </c>
      <c r="J301" s="45" t="s">
        <v>4919</v>
      </c>
      <c r="K301" s="45" t="s">
        <v>5273</v>
      </c>
      <c r="L301" s="45" t="s">
        <v>1122</v>
      </c>
      <c r="M301" s="45" t="s">
        <v>1311</v>
      </c>
      <c r="N301" s="45" t="s">
        <v>1312</v>
      </c>
      <c r="O301" s="45" t="s">
        <v>1123</v>
      </c>
      <c r="P301" s="46" t="str">
        <f>HYPERLINK("https://cofre.sieg.com/ajax/danfe.aspx?nfe=26230120300157000905550010000114471568477241","Ver Danfe")</f>
        <v>Ver Danfe</v>
      </c>
      <c r="Q301" s="46" t="str">
        <f>HYPERLINK("https://cofre.sieg.com/ajax/xml.aspx?nfe=26230120300157000905550010000114471568477241","Baixar Xml")</f>
        <v>Baixar Xml</v>
      </c>
    </row>
    <row r="302" spans="1:17" x14ac:dyDescent="0.75">
      <c r="A302" s="5">
        <v>11448</v>
      </c>
      <c r="B302" s="55">
        <v>78</v>
      </c>
      <c r="C302" s="5" t="s">
        <v>4919</v>
      </c>
      <c r="D302" s="45" t="s">
        <v>1321</v>
      </c>
      <c r="E302" s="45" t="s">
        <v>1322</v>
      </c>
      <c r="F302" s="45" t="s">
        <v>1323</v>
      </c>
      <c r="G302" s="45" t="s">
        <v>1120</v>
      </c>
      <c r="H302" s="45" t="s">
        <v>1126</v>
      </c>
      <c r="I302" s="45" t="s">
        <v>1126</v>
      </c>
      <c r="J302" s="45" t="s">
        <v>4919</v>
      </c>
      <c r="K302" s="45" t="s">
        <v>5274</v>
      </c>
      <c r="L302" s="45" t="s">
        <v>1122</v>
      </c>
      <c r="M302" s="45" t="s">
        <v>1311</v>
      </c>
      <c r="N302" s="45" t="s">
        <v>1312</v>
      </c>
      <c r="O302" s="45" t="s">
        <v>1123</v>
      </c>
      <c r="P302" s="46" t="str">
        <f>HYPERLINK("https://cofre.sieg.com/ajax/danfe.aspx?nfe=26230120300157000905550010000114481919965097","Ver Danfe")</f>
        <v>Ver Danfe</v>
      </c>
      <c r="Q302" s="46" t="str">
        <f>HYPERLINK("https://cofre.sieg.com/ajax/xml.aspx?nfe=26230120300157000905550010000114481919965097","Baixar Xml")</f>
        <v>Baixar Xml</v>
      </c>
    </row>
    <row r="303" spans="1:17" x14ac:dyDescent="0.75">
      <c r="A303" s="5">
        <v>11449</v>
      </c>
      <c r="B303" s="55">
        <v>475.4</v>
      </c>
      <c r="C303" s="5" t="s">
        <v>4919</v>
      </c>
      <c r="D303" s="45" t="s">
        <v>1321</v>
      </c>
      <c r="E303" s="45" t="s">
        <v>1322</v>
      </c>
      <c r="F303" s="45" t="s">
        <v>1323</v>
      </c>
      <c r="G303" s="45" t="s">
        <v>1120</v>
      </c>
      <c r="H303" s="45" t="s">
        <v>1126</v>
      </c>
      <c r="I303" s="45" t="s">
        <v>1126</v>
      </c>
      <c r="J303" s="45" t="s">
        <v>4919</v>
      </c>
      <c r="K303" s="45" t="s">
        <v>5275</v>
      </c>
      <c r="L303" s="45" t="s">
        <v>1122</v>
      </c>
      <c r="M303" s="45" t="s">
        <v>1311</v>
      </c>
      <c r="N303" s="45" t="s">
        <v>1312</v>
      </c>
      <c r="O303" s="45" t="s">
        <v>1123</v>
      </c>
      <c r="P303" s="46" t="str">
        <f>HYPERLINK("https://cofre.sieg.com/ajax/danfe.aspx?nfe=26230120300157000905550010000114491790157511","Ver Danfe")</f>
        <v>Ver Danfe</v>
      </c>
      <c r="Q303" s="46" t="str">
        <f>HYPERLINK("https://cofre.sieg.com/ajax/xml.aspx?nfe=26230120300157000905550010000114491790157511","Baixar Xml")</f>
        <v>Baixar Xml</v>
      </c>
    </row>
    <row r="304" spans="1:17" x14ac:dyDescent="0.75">
      <c r="A304" s="5">
        <v>11488</v>
      </c>
      <c r="B304" s="55">
        <v>7.5</v>
      </c>
      <c r="C304" s="5" t="s">
        <v>4923</v>
      </c>
      <c r="D304" s="45" t="s">
        <v>1321</v>
      </c>
      <c r="E304" s="45" t="s">
        <v>1322</v>
      </c>
      <c r="F304" s="45" t="s">
        <v>1323</v>
      </c>
      <c r="G304" s="45" t="s">
        <v>1120</v>
      </c>
      <c r="H304" s="45" t="s">
        <v>1126</v>
      </c>
      <c r="I304" s="45" t="s">
        <v>1126</v>
      </c>
      <c r="J304" s="45" t="s">
        <v>4923</v>
      </c>
      <c r="K304" s="45" t="s">
        <v>5276</v>
      </c>
      <c r="L304" s="45" t="s">
        <v>1122</v>
      </c>
      <c r="M304" s="45" t="s">
        <v>1311</v>
      </c>
      <c r="N304" s="45" t="s">
        <v>1312</v>
      </c>
      <c r="O304" s="45" t="s">
        <v>1123</v>
      </c>
      <c r="P304" s="46" t="str">
        <f>HYPERLINK("https://cofre.sieg.com/ajax/danfe.aspx?nfe=26230120300157000905550010000114881687128898","Ver Danfe")</f>
        <v>Ver Danfe</v>
      </c>
      <c r="Q304" s="46" t="str">
        <f>HYPERLINK("https://cofre.sieg.com/ajax/xml.aspx?nfe=26230120300157000905550010000114881687128898","Baixar Xml")</f>
        <v>Baixar Xml</v>
      </c>
    </row>
    <row r="305" spans="1:17" x14ac:dyDescent="0.75">
      <c r="A305" s="5">
        <v>11489</v>
      </c>
      <c r="B305" s="55">
        <v>5.0999999999999996</v>
      </c>
      <c r="C305" s="5" t="s">
        <v>4923</v>
      </c>
      <c r="D305" s="45" t="s">
        <v>1321</v>
      </c>
      <c r="E305" s="45" t="s">
        <v>1322</v>
      </c>
      <c r="F305" s="45" t="s">
        <v>1323</v>
      </c>
      <c r="G305" s="45" t="s">
        <v>1120</v>
      </c>
      <c r="H305" s="45" t="s">
        <v>1126</v>
      </c>
      <c r="I305" s="45" t="s">
        <v>1126</v>
      </c>
      <c r="J305" s="45" t="s">
        <v>4923</v>
      </c>
      <c r="K305" s="45" t="s">
        <v>5277</v>
      </c>
      <c r="L305" s="45" t="s">
        <v>1122</v>
      </c>
      <c r="M305" s="45" t="s">
        <v>1311</v>
      </c>
      <c r="N305" s="45" t="s">
        <v>1312</v>
      </c>
      <c r="O305" s="45" t="s">
        <v>1123</v>
      </c>
      <c r="P305" s="46" t="str">
        <f>HYPERLINK("https://cofre.sieg.com/ajax/danfe.aspx?nfe=26230120300157000905550010000114891976013523","Ver Danfe")</f>
        <v>Ver Danfe</v>
      </c>
      <c r="Q305" s="46" t="str">
        <f>HYPERLINK("https://cofre.sieg.com/ajax/xml.aspx?nfe=26230120300157000905550010000114891976013523","Baixar Xml")</f>
        <v>Baixar Xml</v>
      </c>
    </row>
    <row r="306" spans="1:17" x14ac:dyDescent="0.75">
      <c r="A306" s="5">
        <v>11490</v>
      </c>
      <c r="B306" s="55">
        <v>8.5</v>
      </c>
      <c r="C306" s="5" t="s">
        <v>4923</v>
      </c>
      <c r="D306" s="45" t="s">
        <v>1321</v>
      </c>
      <c r="E306" s="45" t="s">
        <v>1322</v>
      </c>
      <c r="F306" s="45" t="s">
        <v>1323</v>
      </c>
      <c r="G306" s="45" t="s">
        <v>1120</v>
      </c>
      <c r="H306" s="45" t="s">
        <v>1126</v>
      </c>
      <c r="I306" s="45" t="s">
        <v>1126</v>
      </c>
      <c r="J306" s="45" t="s">
        <v>4923</v>
      </c>
      <c r="K306" s="45" t="s">
        <v>5278</v>
      </c>
      <c r="L306" s="45" t="s">
        <v>1122</v>
      </c>
      <c r="M306" s="45" t="s">
        <v>1311</v>
      </c>
      <c r="N306" s="45" t="s">
        <v>1312</v>
      </c>
      <c r="O306" s="45" t="s">
        <v>1123</v>
      </c>
      <c r="P306" s="46" t="str">
        <f>HYPERLINK("https://cofre.sieg.com/ajax/danfe.aspx?nfe=26230120300157000905550010000114901950137960","Ver Danfe")</f>
        <v>Ver Danfe</v>
      </c>
      <c r="Q306" s="46" t="str">
        <f>HYPERLINK("https://cofre.sieg.com/ajax/xml.aspx?nfe=26230120300157000905550010000114901950137960","Baixar Xml")</f>
        <v>Baixar Xml</v>
      </c>
    </row>
    <row r="307" spans="1:17" x14ac:dyDescent="0.75">
      <c r="A307" s="5">
        <v>11491</v>
      </c>
      <c r="B307" s="55">
        <v>192.5</v>
      </c>
      <c r="C307" s="5" t="s">
        <v>4923</v>
      </c>
      <c r="D307" s="45" t="s">
        <v>1321</v>
      </c>
      <c r="E307" s="45" t="s">
        <v>1322</v>
      </c>
      <c r="F307" s="45" t="s">
        <v>1323</v>
      </c>
      <c r="G307" s="45" t="s">
        <v>1120</v>
      </c>
      <c r="H307" s="45" t="s">
        <v>1126</v>
      </c>
      <c r="I307" s="45" t="s">
        <v>1126</v>
      </c>
      <c r="J307" s="45" t="s">
        <v>4923</v>
      </c>
      <c r="K307" s="45" t="s">
        <v>5279</v>
      </c>
      <c r="L307" s="45" t="s">
        <v>1122</v>
      </c>
      <c r="M307" s="45" t="s">
        <v>1311</v>
      </c>
      <c r="N307" s="45" t="s">
        <v>1312</v>
      </c>
      <c r="O307" s="45" t="s">
        <v>1123</v>
      </c>
      <c r="P307" s="46" t="str">
        <f>HYPERLINK("https://cofre.sieg.com/ajax/danfe.aspx?nfe=26230120300157000905550010000114911184601610","Ver Danfe")</f>
        <v>Ver Danfe</v>
      </c>
      <c r="Q307" s="46" t="str">
        <f>HYPERLINK("https://cofre.sieg.com/ajax/xml.aspx?nfe=26230120300157000905550010000114911184601610","Baixar Xml")</f>
        <v>Baixar Xml</v>
      </c>
    </row>
    <row r="308" spans="1:17" x14ac:dyDescent="0.75">
      <c r="A308" s="5">
        <v>11492</v>
      </c>
      <c r="B308" s="55">
        <v>114.6</v>
      </c>
      <c r="C308" s="5" t="s">
        <v>4923</v>
      </c>
      <c r="D308" s="45" t="s">
        <v>1321</v>
      </c>
      <c r="E308" s="45" t="s">
        <v>1322</v>
      </c>
      <c r="F308" s="45" t="s">
        <v>1323</v>
      </c>
      <c r="G308" s="45" t="s">
        <v>1120</v>
      </c>
      <c r="H308" s="45" t="s">
        <v>1126</v>
      </c>
      <c r="I308" s="45" t="s">
        <v>1126</v>
      </c>
      <c r="J308" s="45" t="s">
        <v>4923</v>
      </c>
      <c r="K308" s="45" t="s">
        <v>5280</v>
      </c>
      <c r="L308" s="45" t="s">
        <v>1122</v>
      </c>
      <c r="M308" s="45" t="s">
        <v>1311</v>
      </c>
      <c r="N308" s="45" t="s">
        <v>1312</v>
      </c>
      <c r="O308" s="45" t="s">
        <v>1123</v>
      </c>
      <c r="P308" s="46" t="str">
        <f>HYPERLINK("https://cofre.sieg.com/ajax/danfe.aspx?nfe=26230120300157000905550010000114921365192124","Ver Danfe")</f>
        <v>Ver Danfe</v>
      </c>
      <c r="Q308" s="46" t="str">
        <f>HYPERLINK("https://cofre.sieg.com/ajax/xml.aspx?nfe=26230120300157000905550010000114921365192124","Baixar Xml")</f>
        <v>Baixar Xml</v>
      </c>
    </row>
    <row r="309" spans="1:17" x14ac:dyDescent="0.75">
      <c r="A309" s="5">
        <v>11533</v>
      </c>
      <c r="B309" s="55">
        <v>96.5</v>
      </c>
      <c r="C309" s="5" t="s">
        <v>4930</v>
      </c>
      <c r="D309" s="45" t="s">
        <v>1321</v>
      </c>
      <c r="E309" s="45" t="s">
        <v>1322</v>
      </c>
      <c r="F309" s="45" t="s">
        <v>1323</v>
      </c>
      <c r="G309" s="45" t="s">
        <v>1120</v>
      </c>
      <c r="H309" s="45" t="s">
        <v>1126</v>
      </c>
      <c r="I309" s="45" t="s">
        <v>1126</v>
      </c>
      <c r="J309" s="45" t="s">
        <v>4930</v>
      </c>
      <c r="K309" s="45" t="s">
        <v>5281</v>
      </c>
      <c r="L309" s="45" t="s">
        <v>1122</v>
      </c>
      <c r="M309" s="45" t="s">
        <v>1311</v>
      </c>
      <c r="N309" s="45" t="s">
        <v>1312</v>
      </c>
      <c r="O309" s="45" t="s">
        <v>1123</v>
      </c>
      <c r="P309" s="46" t="str">
        <f>HYPERLINK("https://cofre.sieg.com/ajax/danfe.aspx?nfe=26230120300157000905550010000115331773287009","Ver Danfe")</f>
        <v>Ver Danfe</v>
      </c>
      <c r="Q309" s="46" t="str">
        <f>HYPERLINK("https://cofre.sieg.com/ajax/xml.aspx?nfe=26230120300157000905550010000115331773287009","Baixar Xml")</f>
        <v>Baixar Xml</v>
      </c>
    </row>
    <row r="310" spans="1:17" x14ac:dyDescent="0.75">
      <c r="A310" s="5">
        <v>11534</v>
      </c>
      <c r="B310" s="55">
        <v>269.5</v>
      </c>
      <c r="C310" s="5" t="s">
        <v>4930</v>
      </c>
      <c r="D310" s="45" t="s">
        <v>1321</v>
      </c>
      <c r="E310" s="45" t="s">
        <v>1322</v>
      </c>
      <c r="F310" s="45" t="s">
        <v>1323</v>
      </c>
      <c r="G310" s="45" t="s">
        <v>1120</v>
      </c>
      <c r="H310" s="45" t="s">
        <v>1126</v>
      </c>
      <c r="I310" s="45" t="s">
        <v>1126</v>
      </c>
      <c r="J310" s="45" t="s">
        <v>4930</v>
      </c>
      <c r="K310" s="45" t="s">
        <v>5282</v>
      </c>
      <c r="L310" s="45" t="s">
        <v>1122</v>
      </c>
      <c r="M310" s="45" t="s">
        <v>1311</v>
      </c>
      <c r="N310" s="45" t="s">
        <v>1312</v>
      </c>
      <c r="O310" s="45" t="s">
        <v>1123</v>
      </c>
      <c r="P310" s="46" t="str">
        <f>HYPERLINK("https://cofre.sieg.com/ajax/danfe.aspx?nfe=26230120300157000905550010000115341168294970","Ver Danfe")</f>
        <v>Ver Danfe</v>
      </c>
      <c r="Q310" s="46" t="str">
        <f>HYPERLINK("https://cofre.sieg.com/ajax/xml.aspx?nfe=26230120300157000905550010000115341168294970","Baixar Xml")</f>
        <v>Baixar Xml</v>
      </c>
    </row>
    <row r="311" spans="1:17" x14ac:dyDescent="0.75">
      <c r="A311" s="5">
        <v>11535</v>
      </c>
      <c r="B311" s="55">
        <v>50.9</v>
      </c>
      <c r="C311" s="5" t="s">
        <v>4930</v>
      </c>
      <c r="D311" s="45" t="s">
        <v>1321</v>
      </c>
      <c r="E311" s="45" t="s">
        <v>1322</v>
      </c>
      <c r="F311" s="45" t="s">
        <v>1323</v>
      </c>
      <c r="G311" s="45" t="s">
        <v>1120</v>
      </c>
      <c r="H311" s="45" t="s">
        <v>1126</v>
      </c>
      <c r="I311" s="45" t="s">
        <v>1126</v>
      </c>
      <c r="J311" s="45" t="s">
        <v>4930</v>
      </c>
      <c r="K311" s="45" t="s">
        <v>5283</v>
      </c>
      <c r="L311" s="45" t="s">
        <v>1122</v>
      </c>
      <c r="M311" s="45" t="s">
        <v>1311</v>
      </c>
      <c r="N311" s="45" t="s">
        <v>1312</v>
      </c>
      <c r="O311" s="45" t="s">
        <v>1123</v>
      </c>
      <c r="P311" s="46" t="str">
        <f>HYPERLINK("https://cofre.sieg.com/ajax/danfe.aspx?nfe=26230120300157000905550010000115351284897925","Ver Danfe")</f>
        <v>Ver Danfe</v>
      </c>
      <c r="Q311" s="46" t="str">
        <f>HYPERLINK("https://cofre.sieg.com/ajax/xml.aspx?nfe=26230120300157000905550010000115351284897925","Baixar Xml")</f>
        <v>Baixar Xml</v>
      </c>
    </row>
    <row r="312" spans="1:17" x14ac:dyDescent="0.75">
      <c r="A312" s="5">
        <v>11536</v>
      </c>
      <c r="B312" s="55">
        <v>14.5</v>
      </c>
      <c r="C312" s="5" t="s">
        <v>4930</v>
      </c>
      <c r="D312" s="45" t="s">
        <v>1321</v>
      </c>
      <c r="E312" s="45" t="s">
        <v>1322</v>
      </c>
      <c r="F312" s="45" t="s">
        <v>1323</v>
      </c>
      <c r="G312" s="45" t="s">
        <v>1120</v>
      </c>
      <c r="H312" s="45" t="s">
        <v>1126</v>
      </c>
      <c r="I312" s="45" t="s">
        <v>1126</v>
      </c>
      <c r="J312" s="45" t="s">
        <v>4930</v>
      </c>
      <c r="K312" s="45" t="s">
        <v>5284</v>
      </c>
      <c r="L312" s="45" t="s">
        <v>1122</v>
      </c>
      <c r="M312" s="45" t="s">
        <v>1311</v>
      </c>
      <c r="N312" s="45" t="s">
        <v>1312</v>
      </c>
      <c r="O312" s="45" t="s">
        <v>1123</v>
      </c>
      <c r="P312" s="46" t="str">
        <f>HYPERLINK("https://cofre.sieg.com/ajax/danfe.aspx?nfe=26230120300157000905550010000115361868972460","Ver Danfe")</f>
        <v>Ver Danfe</v>
      </c>
      <c r="Q312" s="46" t="str">
        <f>HYPERLINK("https://cofre.sieg.com/ajax/xml.aspx?nfe=26230120300157000905550010000115361868972460","Baixar Xml")</f>
        <v>Baixar Xml</v>
      </c>
    </row>
    <row r="313" spans="1:17" x14ac:dyDescent="0.75">
      <c r="A313" s="5">
        <v>11537</v>
      </c>
      <c r="B313" s="55">
        <v>346</v>
      </c>
      <c r="C313" s="5" t="s">
        <v>4930</v>
      </c>
      <c r="D313" s="45" t="s">
        <v>1321</v>
      </c>
      <c r="E313" s="45" t="s">
        <v>1322</v>
      </c>
      <c r="F313" s="45" t="s">
        <v>1323</v>
      </c>
      <c r="G313" s="45" t="s">
        <v>1120</v>
      </c>
      <c r="H313" s="45" t="s">
        <v>1126</v>
      </c>
      <c r="I313" s="45" t="s">
        <v>1126</v>
      </c>
      <c r="J313" s="45" t="s">
        <v>4930</v>
      </c>
      <c r="K313" s="45" t="s">
        <v>5285</v>
      </c>
      <c r="L313" s="45" t="s">
        <v>1122</v>
      </c>
      <c r="M313" s="45" t="s">
        <v>1311</v>
      </c>
      <c r="N313" s="45" t="s">
        <v>1312</v>
      </c>
      <c r="O313" s="45" t="s">
        <v>1123</v>
      </c>
      <c r="P313" s="46" t="str">
        <f>HYPERLINK("https://cofre.sieg.com/ajax/danfe.aspx?nfe=26230120300157000905550010000115371509317771","Ver Danfe")</f>
        <v>Ver Danfe</v>
      </c>
      <c r="Q313" s="46" t="str">
        <f>HYPERLINK("https://cofre.sieg.com/ajax/xml.aspx?nfe=26230120300157000905550010000115371509317771","Baixar Xml")</f>
        <v>Baixar Xml</v>
      </c>
    </row>
    <row r="314" spans="1:17" x14ac:dyDescent="0.75">
      <c r="A314" s="5">
        <v>11564</v>
      </c>
      <c r="B314" s="55">
        <v>393</v>
      </c>
      <c r="C314" s="5" t="s">
        <v>4937</v>
      </c>
      <c r="D314" s="45" t="s">
        <v>1321</v>
      </c>
      <c r="E314" s="45" t="s">
        <v>1322</v>
      </c>
      <c r="F314" s="45" t="s">
        <v>1323</v>
      </c>
      <c r="G314" s="45" t="s">
        <v>1120</v>
      </c>
      <c r="H314" s="45" t="s">
        <v>1126</v>
      </c>
      <c r="I314" s="45" t="s">
        <v>1126</v>
      </c>
      <c r="J314" s="45" t="s">
        <v>4937</v>
      </c>
      <c r="K314" s="45" t="s">
        <v>5286</v>
      </c>
      <c r="L314" s="45" t="s">
        <v>1122</v>
      </c>
      <c r="M314" s="45" t="s">
        <v>1311</v>
      </c>
      <c r="N314" s="45" t="s">
        <v>1312</v>
      </c>
      <c r="O314" s="45" t="s">
        <v>1123</v>
      </c>
      <c r="P314" s="46" t="str">
        <f>HYPERLINK("https://cofre.sieg.com/ajax/danfe.aspx?nfe=26230120300157000905550010000115641824714444","Ver Danfe")</f>
        <v>Ver Danfe</v>
      </c>
      <c r="Q314" s="46" t="str">
        <f>HYPERLINK("https://cofre.sieg.com/ajax/xml.aspx?nfe=26230120300157000905550010000115641824714444","Baixar Xml")</f>
        <v>Baixar Xml</v>
      </c>
    </row>
    <row r="315" spans="1:17" x14ac:dyDescent="0.75">
      <c r="A315" s="5">
        <v>11574</v>
      </c>
      <c r="B315" s="55">
        <v>7.5</v>
      </c>
      <c r="C315" s="5" t="s">
        <v>4937</v>
      </c>
      <c r="D315" s="45" t="s">
        <v>1321</v>
      </c>
      <c r="E315" s="45" t="s">
        <v>1322</v>
      </c>
      <c r="F315" s="45" t="s">
        <v>1323</v>
      </c>
      <c r="G315" s="45" t="s">
        <v>1120</v>
      </c>
      <c r="H315" s="45" t="s">
        <v>1126</v>
      </c>
      <c r="I315" s="45" t="s">
        <v>1126</v>
      </c>
      <c r="J315" s="45" t="s">
        <v>4937</v>
      </c>
      <c r="K315" s="45" t="s">
        <v>5287</v>
      </c>
      <c r="L315" s="45" t="s">
        <v>1122</v>
      </c>
      <c r="M315" s="45" t="s">
        <v>1311</v>
      </c>
      <c r="N315" s="45" t="s">
        <v>1312</v>
      </c>
      <c r="O315" s="45" t="s">
        <v>1123</v>
      </c>
      <c r="P315" s="46" t="str">
        <f>HYPERLINK("https://cofre.sieg.com/ajax/danfe.aspx?nfe=26230120300157000905550010000115741400189390","Ver Danfe")</f>
        <v>Ver Danfe</v>
      </c>
      <c r="Q315" s="46" t="str">
        <f>HYPERLINK("https://cofre.sieg.com/ajax/xml.aspx?nfe=26230120300157000905550010000115741400189390","Baixar Xml")</f>
        <v>Baixar Xml</v>
      </c>
    </row>
    <row r="316" spans="1:17" x14ac:dyDescent="0.75">
      <c r="A316" s="5">
        <v>11575</v>
      </c>
      <c r="B316" s="55">
        <v>17</v>
      </c>
      <c r="C316" s="5" t="s">
        <v>4937</v>
      </c>
      <c r="D316" s="45" t="s">
        <v>1321</v>
      </c>
      <c r="E316" s="45" t="s">
        <v>1322</v>
      </c>
      <c r="F316" s="45" t="s">
        <v>1323</v>
      </c>
      <c r="G316" s="45" t="s">
        <v>1120</v>
      </c>
      <c r="H316" s="45" t="s">
        <v>1126</v>
      </c>
      <c r="I316" s="45" t="s">
        <v>1126</v>
      </c>
      <c r="J316" s="45" t="s">
        <v>4937</v>
      </c>
      <c r="K316" s="45" t="s">
        <v>5288</v>
      </c>
      <c r="L316" s="45" t="s">
        <v>1122</v>
      </c>
      <c r="M316" s="45" t="s">
        <v>1311</v>
      </c>
      <c r="N316" s="45" t="s">
        <v>1312</v>
      </c>
      <c r="O316" s="45" t="s">
        <v>1123</v>
      </c>
      <c r="P316" s="46" t="str">
        <f>HYPERLINK("https://cofre.sieg.com/ajax/danfe.aspx?nfe=26230120300157000905550010000115751341795702","Ver Danfe")</f>
        <v>Ver Danfe</v>
      </c>
      <c r="Q316" s="46" t="str">
        <f>HYPERLINK("https://cofre.sieg.com/ajax/xml.aspx?nfe=26230120300157000905550010000115751341795702","Baixar Xml")</f>
        <v>Baixar Xml</v>
      </c>
    </row>
    <row r="317" spans="1:17" x14ac:dyDescent="0.75">
      <c r="A317" s="5">
        <v>11576</v>
      </c>
      <c r="B317" s="55">
        <v>665.3</v>
      </c>
      <c r="C317" s="5" t="s">
        <v>4937</v>
      </c>
      <c r="D317" s="45" t="s">
        <v>1321</v>
      </c>
      <c r="E317" s="45" t="s">
        <v>1322</v>
      </c>
      <c r="F317" s="45" t="s">
        <v>1323</v>
      </c>
      <c r="G317" s="45" t="s">
        <v>1120</v>
      </c>
      <c r="H317" s="45" t="s">
        <v>1126</v>
      </c>
      <c r="I317" s="45" t="s">
        <v>1126</v>
      </c>
      <c r="J317" s="45" t="s">
        <v>4937</v>
      </c>
      <c r="K317" s="45" t="s">
        <v>5289</v>
      </c>
      <c r="L317" s="45" t="s">
        <v>1122</v>
      </c>
      <c r="M317" s="45" t="s">
        <v>1311</v>
      </c>
      <c r="N317" s="45" t="s">
        <v>1312</v>
      </c>
      <c r="O317" s="45" t="s">
        <v>1123</v>
      </c>
      <c r="P317" s="46" t="str">
        <f>HYPERLINK("https://cofre.sieg.com/ajax/danfe.aspx?nfe=26230120300157000905550010000115761948307019","Ver Danfe")</f>
        <v>Ver Danfe</v>
      </c>
      <c r="Q317" s="46" t="str">
        <f>HYPERLINK("https://cofre.sieg.com/ajax/xml.aspx?nfe=26230120300157000905550010000115761948307019","Baixar Xml")</f>
        <v>Baixar Xml</v>
      </c>
    </row>
    <row r="318" spans="1:17" x14ac:dyDescent="0.75">
      <c r="A318" s="5">
        <v>11592</v>
      </c>
      <c r="B318" s="55">
        <v>2.2999999999999998</v>
      </c>
      <c r="C318" s="5" t="s">
        <v>4938</v>
      </c>
      <c r="D318" s="45" t="s">
        <v>1321</v>
      </c>
      <c r="E318" s="45" t="s">
        <v>1322</v>
      </c>
      <c r="F318" s="45" t="s">
        <v>1323</v>
      </c>
      <c r="G318" s="45" t="s">
        <v>1120</v>
      </c>
      <c r="H318" s="45" t="s">
        <v>1126</v>
      </c>
      <c r="I318" s="45" t="s">
        <v>1126</v>
      </c>
      <c r="J318" s="45" t="s">
        <v>4938</v>
      </c>
      <c r="K318" s="45" t="s">
        <v>5290</v>
      </c>
      <c r="L318" s="45" t="s">
        <v>1122</v>
      </c>
      <c r="M318" s="45" t="s">
        <v>1311</v>
      </c>
      <c r="N318" s="45" t="s">
        <v>1312</v>
      </c>
      <c r="O318" s="45" t="s">
        <v>1123</v>
      </c>
      <c r="P318" s="46" t="str">
        <f>HYPERLINK("https://cofre.sieg.com/ajax/danfe.aspx?nfe=26230120300157000905550010000115921528130055","Ver Danfe")</f>
        <v>Ver Danfe</v>
      </c>
      <c r="Q318" s="46" t="str">
        <f>HYPERLINK("https://cofre.sieg.com/ajax/xml.aspx?nfe=26230120300157000905550010000115921528130055","Baixar Xml")</f>
        <v>Baixar Xml</v>
      </c>
    </row>
    <row r="319" spans="1:17" x14ac:dyDescent="0.75">
      <c r="A319" s="5">
        <v>11593</v>
      </c>
      <c r="B319" s="55">
        <v>11.5</v>
      </c>
      <c r="C319" s="5" t="s">
        <v>4938</v>
      </c>
      <c r="D319" s="45" t="s">
        <v>1321</v>
      </c>
      <c r="E319" s="45" t="s">
        <v>1322</v>
      </c>
      <c r="F319" s="45" t="s">
        <v>1323</v>
      </c>
      <c r="G319" s="45" t="s">
        <v>1120</v>
      </c>
      <c r="H319" s="45" t="s">
        <v>1126</v>
      </c>
      <c r="I319" s="45" t="s">
        <v>1126</v>
      </c>
      <c r="J319" s="45" t="s">
        <v>4938</v>
      </c>
      <c r="K319" s="45" t="s">
        <v>5291</v>
      </c>
      <c r="L319" s="45" t="s">
        <v>1122</v>
      </c>
      <c r="M319" s="45" t="s">
        <v>1311</v>
      </c>
      <c r="N319" s="45" t="s">
        <v>1312</v>
      </c>
      <c r="O319" s="45" t="s">
        <v>1123</v>
      </c>
      <c r="P319" s="46" t="str">
        <f>HYPERLINK("https://cofre.sieg.com/ajax/danfe.aspx?nfe=26230120300157000905550010000115931031759803","Ver Danfe")</f>
        <v>Ver Danfe</v>
      </c>
      <c r="Q319" s="46" t="str">
        <f>HYPERLINK("https://cofre.sieg.com/ajax/xml.aspx?nfe=26230120300157000905550010000115931031759803","Baixar Xml")</f>
        <v>Baixar Xml</v>
      </c>
    </row>
    <row r="320" spans="1:17" x14ac:dyDescent="0.75">
      <c r="A320" s="5">
        <v>11594</v>
      </c>
      <c r="B320" s="55">
        <v>2.2999999999999998</v>
      </c>
      <c r="C320" s="5" t="s">
        <v>4938</v>
      </c>
      <c r="D320" s="45" t="s">
        <v>1321</v>
      </c>
      <c r="E320" s="45" t="s">
        <v>1322</v>
      </c>
      <c r="F320" s="45" t="s">
        <v>1323</v>
      </c>
      <c r="G320" s="45" t="s">
        <v>1120</v>
      </c>
      <c r="H320" s="45" t="s">
        <v>1126</v>
      </c>
      <c r="I320" s="45" t="s">
        <v>1126</v>
      </c>
      <c r="J320" s="45" t="s">
        <v>4938</v>
      </c>
      <c r="K320" s="45" t="s">
        <v>5292</v>
      </c>
      <c r="L320" s="45" t="s">
        <v>1122</v>
      </c>
      <c r="M320" s="45" t="s">
        <v>1311</v>
      </c>
      <c r="N320" s="45" t="s">
        <v>1312</v>
      </c>
      <c r="O320" s="45" t="s">
        <v>1123</v>
      </c>
      <c r="P320" s="46" t="str">
        <f>HYPERLINK("https://cofre.sieg.com/ajax/danfe.aspx?nfe=26230120300157000905550010000115941562723165","Ver Danfe")</f>
        <v>Ver Danfe</v>
      </c>
      <c r="Q320" s="46" t="str">
        <f>HYPERLINK("https://cofre.sieg.com/ajax/xml.aspx?nfe=26230120300157000905550010000115941562723165","Baixar Xml")</f>
        <v>Baixar Xml</v>
      </c>
    </row>
    <row r="321" spans="1:17" x14ac:dyDescent="0.75">
      <c r="A321" s="5">
        <v>11595</v>
      </c>
      <c r="B321" s="55">
        <v>6.9</v>
      </c>
      <c r="C321" s="5" t="s">
        <v>4938</v>
      </c>
      <c r="D321" s="45" t="s">
        <v>1321</v>
      </c>
      <c r="E321" s="45" t="s">
        <v>1322</v>
      </c>
      <c r="F321" s="45" t="s">
        <v>1323</v>
      </c>
      <c r="G321" s="45" t="s">
        <v>1120</v>
      </c>
      <c r="H321" s="45" t="s">
        <v>1126</v>
      </c>
      <c r="I321" s="45" t="s">
        <v>1126</v>
      </c>
      <c r="J321" s="45" t="s">
        <v>4938</v>
      </c>
      <c r="K321" s="45" t="s">
        <v>5293</v>
      </c>
      <c r="L321" s="45" t="s">
        <v>1122</v>
      </c>
      <c r="M321" s="45" t="s">
        <v>1311</v>
      </c>
      <c r="N321" s="45" t="s">
        <v>1312</v>
      </c>
      <c r="O321" s="45" t="s">
        <v>1123</v>
      </c>
      <c r="P321" s="46" t="str">
        <f>HYPERLINK("https://cofre.sieg.com/ajax/danfe.aspx?nfe=26230120300157000905550010000115951708456120","Ver Danfe")</f>
        <v>Ver Danfe</v>
      </c>
      <c r="Q321" s="46" t="str">
        <f>HYPERLINK("https://cofre.sieg.com/ajax/xml.aspx?nfe=26230120300157000905550010000115951708456120","Baixar Xml")</f>
        <v>Baixar Xml</v>
      </c>
    </row>
    <row r="322" spans="1:17" x14ac:dyDescent="0.75">
      <c r="A322" s="5">
        <v>11596</v>
      </c>
      <c r="B322" s="55">
        <v>7.5</v>
      </c>
      <c r="C322" s="5" t="s">
        <v>4938</v>
      </c>
      <c r="D322" s="45" t="s">
        <v>1321</v>
      </c>
      <c r="E322" s="45" t="s">
        <v>1322</v>
      </c>
      <c r="F322" s="45" t="s">
        <v>1323</v>
      </c>
      <c r="G322" s="45" t="s">
        <v>1120</v>
      </c>
      <c r="H322" s="45" t="s">
        <v>1126</v>
      </c>
      <c r="I322" s="45" t="s">
        <v>1126</v>
      </c>
      <c r="J322" s="45" t="s">
        <v>4938</v>
      </c>
      <c r="K322" s="45" t="s">
        <v>5294</v>
      </c>
      <c r="L322" s="45" t="s">
        <v>1122</v>
      </c>
      <c r="M322" s="45" t="s">
        <v>1311</v>
      </c>
      <c r="N322" s="45" t="s">
        <v>1312</v>
      </c>
      <c r="O322" s="45" t="s">
        <v>1123</v>
      </c>
      <c r="P322" s="46" t="str">
        <f>HYPERLINK("https://cofre.sieg.com/ajax/danfe.aspx?nfe=26230120300157000905550010000115961913111803","Ver Danfe")</f>
        <v>Ver Danfe</v>
      </c>
      <c r="Q322" s="46" t="str">
        <f>HYPERLINK("https://cofre.sieg.com/ajax/xml.aspx?nfe=26230120300157000905550010000115961913111803","Baixar Xml")</f>
        <v>Baixar Xml</v>
      </c>
    </row>
    <row r="323" spans="1:17" x14ac:dyDescent="0.75">
      <c r="A323" s="5">
        <v>11597</v>
      </c>
      <c r="B323" s="55">
        <v>7.5</v>
      </c>
      <c r="C323" s="5" t="s">
        <v>4938</v>
      </c>
      <c r="D323" s="45" t="s">
        <v>1321</v>
      </c>
      <c r="E323" s="45" t="s">
        <v>1322</v>
      </c>
      <c r="F323" s="45" t="s">
        <v>1323</v>
      </c>
      <c r="G323" s="45" t="s">
        <v>1120</v>
      </c>
      <c r="H323" s="45" t="s">
        <v>1126</v>
      </c>
      <c r="I323" s="45" t="s">
        <v>1126</v>
      </c>
      <c r="J323" s="45" t="s">
        <v>4938</v>
      </c>
      <c r="K323" s="45" t="s">
        <v>5295</v>
      </c>
      <c r="L323" s="45" t="s">
        <v>1122</v>
      </c>
      <c r="M323" s="45" t="s">
        <v>1311</v>
      </c>
      <c r="N323" s="45" t="s">
        <v>1312</v>
      </c>
      <c r="O323" s="45" t="s">
        <v>1123</v>
      </c>
      <c r="P323" s="46" t="str">
        <f>HYPERLINK("https://cofre.sieg.com/ajax/danfe.aspx?nfe=26230120300157000905550010000115971744238523","Ver Danfe")</f>
        <v>Ver Danfe</v>
      </c>
      <c r="Q323" s="46" t="str">
        <f>HYPERLINK("https://cofre.sieg.com/ajax/xml.aspx?nfe=26230120300157000905550010000115971744238523","Baixar Xml")</f>
        <v>Baixar Xml</v>
      </c>
    </row>
    <row r="324" spans="1:17" x14ac:dyDescent="0.75">
      <c r="A324" s="5">
        <v>11598</v>
      </c>
      <c r="B324" s="55">
        <v>56.8</v>
      </c>
      <c r="C324" s="5" t="s">
        <v>4938</v>
      </c>
      <c r="D324" s="45" t="s">
        <v>1321</v>
      </c>
      <c r="E324" s="45" t="s">
        <v>1322</v>
      </c>
      <c r="F324" s="45" t="s">
        <v>1323</v>
      </c>
      <c r="G324" s="45" t="s">
        <v>1120</v>
      </c>
      <c r="H324" s="45" t="s">
        <v>1126</v>
      </c>
      <c r="I324" s="45" t="s">
        <v>1126</v>
      </c>
      <c r="J324" s="45" t="s">
        <v>4938</v>
      </c>
      <c r="K324" s="45" t="s">
        <v>5296</v>
      </c>
      <c r="L324" s="45" t="s">
        <v>1122</v>
      </c>
      <c r="M324" s="45" t="s">
        <v>1311</v>
      </c>
      <c r="N324" s="45" t="s">
        <v>1312</v>
      </c>
      <c r="O324" s="45" t="s">
        <v>1123</v>
      </c>
      <c r="P324" s="46" t="str">
        <f>HYPERLINK("https://cofre.sieg.com/ajax/danfe.aspx?nfe=26230120300157000905550010000115981531547739","Ver Danfe")</f>
        <v>Ver Danfe</v>
      </c>
      <c r="Q324" s="46" t="str">
        <f>HYPERLINK("https://cofre.sieg.com/ajax/xml.aspx?nfe=26230120300157000905550010000115981531547739","Baixar Xml")</f>
        <v>Baixar Xml</v>
      </c>
    </row>
    <row r="325" spans="1:17" x14ac:dyDescent="0.75">
      <c r="A325" s="5">
        <v>11599</v>
      </c>
      <c r="B325" s="55">
        <v>172</v>
      </c>
      <c r="C325" s="5" t="s">
        <v>4938</v>
      </c>
      <c r="D325" s="45" t="s">
        <v>1321</v>
      </c>
      <c r="E325" s="45" t="s">
        <v>1322</v>
      </c>
      <c r="F325" s="45" t="s">
        <v>1323</v>
      </c>
      <c r="G325" s="45" t="s">
        <v>1120</v>
      </c>
      <c r="H325" s="45" t="s">
        <v>1126</v>
      </c>
      <c r="I325" s="45" t="s">
        <v>1126</v>
      </c>
      <c r="J325" s="45" t="s">
        <v>4938</v>
      </c>
      <c r="K325" s="45" t="s">
        <v>5297</v>
      </c>
      <c r="L325" s="45" t="s">
        <v>1122</v>
      </c>
      <c r="M325" s="45" t="s">
        <v>1311</v>
      </c>
      <c r="N325" s="45" t="s">
        <v>1312</v>
      </c>
      <c r="O325" s="45" t="s">
        <v>1123</v>
      </c>
      <c r="P325" s="46" t="str">
        <f>HYPERLINK("https://cofre.sieg.com/ajax/danfe.aspx?nfe=26230120300157000905550010000115991998763543","Ver Danfe")</f>
        <v>Ver Danfe</v>
      </c>
      <c r="Q325" s="46" t="str">
        <f>HYPERLINK("https://cofre.sieg.com/ajax/xml.aspx?nfe=26230120300157000905550010000115991998763543","Baixar Xml")</f>
        <v>Baixar Xml</v>
      </c>
    </row>
    <row r="326" spans="1:17" x14ac:dyDescent="0.75">
      <c r="A326" s="5">
        <v>11600</v>
      </c>
      <c r="B326" s="55">
        <v>28.5</v>
      </c>
      <c r="C326" s="5" t="s">
        <v>4938</v>
      </c>
      <c r="D326" s="45" t="s">
        <v>1321</v>
      </c>
      <c r="E326" s="45" t="s">
        <v>1322</v>
      </c>
      <c r="F326" s="45" t="s">
        <v>1323</v>
      </c>
      <c r="G326" s="45" t="s">
        <v>1120</v>
      </c>
      <c r="H326" s="45" t="s">
        <v>1126</v>
      </c>
      <c r="I326" s="45" t="s">
        <v>1126</v>
      </c>
      <c r="J326" s="45" t="s">
        <v>4938</v>
      </c>
      <c r="K326" s="45" t="s">
        <v>5298</v>
      </c>
      <c r="L326" s="45" t="s">
        <v>1122</v>
      </c>
      <c r="M326" s="45" t="s">
        <v>1311</v>
      </c>
      <c r="N326" s="45" t="s">
        <v>1312</v>
      </c>
      <c r="O326" s="45" t="s">
        <v>1123</v>
      </c>
      <c r="P326" s="46" t="str">
        <f>HYPERLINK("https://cofre.sieg.com/ajax/danfe.aspx?nfe=26230120300157000905550010000116001297698411","Ver Danfe")</f>
        <v>Ver Danfe</v>
      </c>
      <c r="Q326" s="46" t="str">
        <f>HYPERLINK("https://cofre.sieg.com/ajax/xml.aspx?nfe=26230120300157000905550010000116001297698411","Baixar Xml")</f>
        <v>Baixar Xml</v>
      </c>
    </row>
    <row r="327" spans="1:17" x14ac:dyDescent="0.75">
      <c r="A327" s="5">
        <v>11601</v>
      </c>
      <c r="B327" s="55">
        <v>252</v>
      </c>
      <c r="C327" s="5" t="s">
        <v>4938</v>
      </c>
      <c r="D327" s="45" t="s">
        <v>1321</v>
      </c>
      <c r="E327" s="45" t="s">
        <v>1322</v>
      </c>
      <c r="F327" s="45" t="s">
        <v>1323</v>
      </c>
      <c r="G327" s="45" t="s">
        <v>1120</v>
      </c>
      <c r="H327" s="45" t="s">
        <v>1126</v>
      </c>
      <c r="I327" s="45" t="s">
        <v>1126</v>
      </c>
      <c r="J327" s="45" t="s">
        <v>4938</v>
      </c>
      <c r="K327" s="45" t="s">
        <v>5299</v>
      </c>
      <c r="L327" s="45" t="s">
        <v>1122</v>
      </c>
      <c r="M327" s="45" t="s">
        <v>1311</v>
      </c>
      <c r="N327" s="45" t="s">
        <v>1312</v>
      </c>
      <c r="O327" s="45" t="s">
        <v>1123</v>
      </c>
      <c r="P327" s="46" t="str">
        <f>HYPERLINK("https://cofre.sieg.com/ajax/danfe.aspx?nfe=26230120300157000905550010000116011569902827","Ver Danfe")</f>
        <v>Ver Danfe</v>
      </c>
      <c r="Q327" s="46" t="str">
        <f>HYPERLINK("https://cofre.sieg.com/ajax/xml.aspx?nfe=26230120300157000905550010000116011569902827","Baixar Xml")</f>
        <v>Baixar Xml</v>
      </c>
    </row>
    <row r="328" spans="1:17" x14ac:dyDescent="0.75">
      <c r="A328" s="5">
        <v>11602</v>
      </c>
      <c r="B328" s="55">
        <v>333.8</v>
      </c>
      <c r="C328" s="5" t="s">
        <v>4938</v>
      </c>
      <c r="D328" s="45" t="s">
        <v>1321</v>
      </c>
      <c r="E328" s="45" t="s">
        <v>1322</v>
      </c>
      <c r="F328" s="45" t="s">
        <v>1323</v>
      </c>
      <c r="G328" s="45" t="s">
        <v>1120</v>
      </c>
      <c r="H328" s="45" t="s">
        <v>1126</v>
      </c>
      <c r="I328" s="45" t="s">
        <v>1126</v>
      </c>
      <c r="J328" s="45" t="s">
        <v>4938</v>
      </c>
      <c r="K328" s="45" t="s">
        <v>5300</v>
      </c>
      <c r="L328" s="45" t="s">
        <v>1122</v>
      </c>
      <c r="M328" s="45" t="s">
        <v>1311</v>
      </c>
      <c r="N328" s="45" t="s">
        <v>1312</v>
      </c>
      <c r="O328" s="45" t="s">
        <v>1123</v>
      </c>
      <c r="P328" s="46" t="str">
        <f>HYPERLINK("https://cofre.sieg.com/ajax/danfe.aspx?nfe=26230120300157000905550010000116021296149532","Ver Danfe")</f>
        <v>Ver Danfe</v>
      </c>
      <c r="Q328" s="46" t="str">
        <f>HYPERLINK("https://cofre.sieg.com/ajax/xml.aspx?nfe=26230120300157000905550010000116021296149532","Baixar Xml")</f>
        <v>Baixar Xml</v>
      </c>
    </row>
    <row r="329" spans="1:17" x14ac:dyDescent="0.75">
      <c r="A329" s="5">
        <v>1814</v>
      </c>
      <c r="B329" s="55">
        <v>57.6</v>
      </c>
      <c r="C329" s="5" t="s">
        <v>4825</v>
      </c>
      <c r="D329" s="45" t="s">
        <v>1324</v>
      </c>
      <c r="E329" s="45" t="s">
        <v>1325</v>
      </c>
      <c r="F329" s="45" t="s">
        <v>1323</v>
      </c>
      <c r="G329" s="45" t="s">
        <v>1120</v>
      </c>
      <c r="H329" s="45" t="s">
        <v>1126</v>
      </c>
      <c r="I329" s="45" t="s">
        <v>1126</v>
      </c>
      <c r="J329" s="45" t="s">
        <v>4825</v>
      </c>
      <c r="K329" s="45" t="s">
        <v>5301</v>
      </c>
      <c r="L329" s="45" t="s">
        <v>1122</v>
      </c>
      <c r="M329" s="45"/>
      <c r="N329" s="45"/>
      <c r="O329" s="45" t="s">
        <v>1123</v>
      </c>
      <c r="P329" s="46" t="str">
        <f>HYPERLINK("https://cofre.sieg.com/ajax/danfe.aspx?nfe=26230120300157002193550010000018141336302878","Ver Danfe")</f>
        <v>Ver Danfe</v>
      </c>
      <c r="Q329" s="46" t="str">
        <f>HYPERLINK("https://cofre.sieg.com/ajax/xml.aspx?nfe=26230120300157002193550010000018141336302878","Baixar Xml")</f>
        <v>Baixar Xml</v>
      </c>
    </row>
    <row r="330" spans="1:17" x14ac:dyDescent="0.75">
      <c r="A330" s="5">
        <v>1815</v>
      </c>
      <c r="B330" s="55">
        <v>9</v>
      </c>
      <c r="C330" s="5" t="s">
        <v>4825</v>
      </c>
      <c r="D330" s="45" t="s">
        <v>1324</v>
      </c>
      <c r="E330" s="45" t="s">
        <v>1325</v>
      </c>
      <c r="F330" s="45" t="s">
        <v>1323</v>
      </c>
      <c r="G330" s="45" t="s">
        <v>1120</v>
      </c>
      <c r="H330" s="45" t="s">
        <v>1126</v>
      </c>
      <c r="I330" s="45" t="s">
        <v>1126</v>
      </c>
      <c r="J330" s="45" t="s">
        <v>4825</v>
      </c>
      <c r="K330" s="45" t="s">
        <v>5302</v>
      </c>
      <c r="L330" s="45" t="s">
        <v>1122</v>
      </c>
      <c r="M330" s="45"/>
      <c r="N330" s="45"/>
      <c r="O330" s="45" t="s">
        <v>1123</v>
      </c>
      <c r="P330" s="46" t="str">
        <f>HYPERLINK("https://cofre.sieg.com/ajax/danfe.aspx?nfe=26230120300157002193550010000018151492938919","Ver Danfe")</f>
        <v>Ver Danfe</v>
      </c>
      <c r="Q330" s="46" t="str">
        <f>HYPERLINK("https://cofre.sieg.com/ajax/xml.aspx?nfe=26230120300157002193550010000018151492938919","Baixar Xml")</f>
        <v>Baixar Xml</v>
      </c>
    </row>
    <row r="331" spans="1:17" x14ac:dyDescent="0.75">
      <c r="A331" s="5">
        <v>1818</v>
      </c>
      <c r="B331" s="55">
        <v>4.2</v>
      </c>
      <c r="C331" s="5" t="s">
        <v>4825</v>
      </c>
      <c r="D331" s="45" t="s">
        <v>1324</v>
      </c>
      <c r="E331" s="45" t="s">
        <v>1325</v>
      </c>
      <c r="F331" s="45" t="s">
        <v>1323</v>
      </c>
      <c r="G331" s="45" t="s">
        <v>1120</v>
      </c>
      <c r="H331" s="45" t="s">
        <v>1126</v>
      </c>
      <c r="I331" s="45" t="s">
        <v>1126</v>
      </c>
      <c r="J331" s="45" t="s">
        <v>4825</v>
      </c>
      <c r="K331" s="45" t="s">
        <v>5303</v>
      </c>
      <c r="L331" s="45" t="s">
        <v>1122</v>
      </c>
      <c r="M331" s="45"/>
      <c r="N331" s="45"/>
      <c r="O331" s="45" t="s">
        <v>1123</v>
      </c>
      <c r="P331" s="46" t="str">
        <f>HYPERLINK("https://cofre.sieg.com/ajax/danfe.aspx?nfe=26230120300157002193550010000018181778624730","Ver Danfe")</f>
        <v>Ver Danfe</v>
      </c>
      <c r="Q331" s="46" t="str">
        <f>HYPERLINK("https://cofre.sieg.com/ajax/xml.aspx?nfe=26230120300157002193550010000018181778624730","Baixar Xml")</f>
        <v>Baixar Xml</v>
      </c>
    </row>
    <row r="332" spans="1:17" x14ac:dyDescent="0.75">
      <c r="A332" s="5">
        <v>1819</v>
      </c>
      <c r="B332" s="55">
        <v>8.8000000000000007</v>
      </c>
      <c r="C332" s="5" t="s">
        <v>4825</v>
      </c>
      <c r="D332" s="45" t="s">
        <v>1324</v>
      </c>
      <c r="E332" s="45" t="s">
        <v>1325</v>
      </c>
      <c r="F332" s="45" t="s">
        <v>1323</v>
      </c>
      <c r="G332" s="45" t="s">
        <v>1120</v>
      </c>
      <c r="H332" s="45" t="s">
        <v>1126</v>
      </c>
      <c r="I332" s="45" t="s">
        <v>1126</v>
      </c>
      <c r="J332" s="45" t="s">
        <v>4825</v>
      </c>
      <c r="K332" s="45" t="s">
        <v>5304</v>
      </c>
      <c r="L332" s="45" t="s">
        <v>1122</v>
      </c>
      <c r="M332" s="45"/>
      <c r="N332" s="45"/>
      <c r="O332" s="45" t="s">
        <v>1123</v>
      </c>
      <c r="P332" s="46" t="str">
        <f>HYPERLINK("https://cofre.sieg.com/ajax/danfe.aspx?nfe=26230120300157002193550010000018191555533278","Ver Danfe")</f>
        <v>Ver Danfe</v>
      </c>
      <c r="Q332" s="46" t="str">
        <f>HYPERLINK("https://cofre.sieg.com/ajax/xml.aspx?nfe=26230120300157002193550010000018191555533278","Baixar Xml")</f>
        <v>Baixar Xml</v>
      </c>
    </row>
    <row r="333" spans="1:17" x14ac:dyDescent="0.75">
      <c r="A333" s="5">
        <v>1820</v>
      </c>
      <c r="B333" s="55">
        <v>205.6</v>
      </c>
      <c r="C333" s="5" t="s">
        <v>4825</v>
      </c>
      <c r="D333" s="45" t="s">
        <v>1324</v>
      </c>
      <c r="E333" s="45" t="s">
        <v>1325</v>
      </c>
      <c r="F333" s="45" t="s">
        <v>1323</v>
      </c>
      <c r="G333" s="45" t="s">
        <v>1120</v>
      </c>
      <c r="H333" s="45" t="s">
        <v>1126</v>
      </c>
      <c r="I333" s="45" t="s">
        <v>1126</v>
      </c>
      <c r="J333" s="45" t="s">
        <v>4825</v>
      </c>
      <c r="K333" s="45" t="s">
        <v>5305</v>
      </c>
      <c r="L333" s="45" t="s">
        <v>1122</v>
      </c>
      <c r="M333" s="45"/>
      <c r="N333" s="45"/>
      <c r="O333" s="45" t="s">
        <v>1123</v>
      </c>
      <c r="P333" s="46" t="str">
        <f>HYPERLINK("https://cofre.sieg.com/ajax/danfe.aspx?nfe=26230120300157002193550010000018201596854304","Ver Danfe")</f>
        <v>Ver Danfe</v>
      </c>
      <c r="Q333" s="46" t="str">
        <f>HYPERLINK("https://cofre.sieg.com/ajax/xml.aspx?nfe=26230120300157002193550010000018201596854304","Baixar Xml")</f>
        <v>Baixar Xml</v>
      </c>
    </row>
    <row r="334" spans="1:17" x14ac:dyDescent="0.75">
      <c r="A334" s="5">
        <v>1821</v>
      </c>
      <c r="B334" s="55">
        <v>41.8</v>
      </c>
      <c r="C334" s="5" t="s">
        <v>4825</v>
      </c>
      <c r="D334" s="45" t="s">
        <v>1324</v>
      </c>
      <c r="E334" s="45" t="s">
        <v>1325</v>
      </c>
      <c r="F334" s="45" t="s">
        <v>1323</v>
      </c>
      <c r="G334" s="45" t="s">
        <v>1120</v>
      </c>
      <c r="H334" s="45" t="s">
        <v>1126</v>
      </c>
      <c r="I334" s="45" t="s">
        <v>1126</v>
      </c>
      <c r="J334" s="45" t="s">
        <v>4825</v>
      </c>
      <c r="K334" s="45" t="s">
        <v>5306</v>
      </c>
      <c r="L334" s="45" t="s">
        <v>1122</v>
      </c>
      <c r="M334" s="45"/>
      <c r="N334" s="45"/>
      <c r="O334" s="45" t="s">
        <v>1123</v>
      </c>
      <c r="P334" s="46" t="str">
        <f>HYPERLINK("https://cofre.sieg.com/ajax/danfe.aspx?nfe=26230120300157002193550010000018211187238051","Ver Danfe")</f>
        <v>Ver Danfe</v>
      </c>
      <c r="Q334" s="46" t="str">
        <f>HYPERLINK("https://cofre.sieg.com/ajax/xml.aspx?nfe=26230120300157002193550010000018211187238051","Baixar Xml")</f>
        <v>Baixar Xml</v>
      </c>
    </row>
    <row r="335" spans="1:17" x14ac:dyDescent="0.75">
      <c r="A335" s="5">
        <v>1867</v>
      </c>
      <c r="B335" s="55">
        <v>6</v>
      </c>
      <c r="C335" s="5" t="s">
        <v>4826</v>
      </c>
      <c r="D335" s="45" t="s">
        <v>1324</v>
      </c>
      <c r="E335" s="45" t="s">
        <v>1325</v>
      </c>
      <c r="F335" s="45" t="s">
        <v>1323</v>
      </c>
      <c r="G335" s="45" t="s">
        <v>1120</v>
      </c>
      <c r="H335" s="45" t="s">
        <v>1126</v>
      </c>
      <c r="I335" s="45" t="s">
        <v>1126</v>
      </c>
      <c r="J335" s="45" t="s">
        <v>4826</v>
      </c>
      <c r="K335" s="45" t="s">
        <v>5307</v>
      </c>
      <c r="L335" s="45" t="s">
        <v>1122</v>
      </c>
      <c r="M335" s="45" t="s">
        <v>1311</v>
      </c>
      <c r="N335" s="45" t="s">
        <v>1312</v>
      </c>
      <c r="O335" s="45" t="s">
        <v>1123</v>
      </c>
      <c r="P335" s="46" t="str">
        <f>HYPERLINK("https://cofre.sieg.com/ajax/danfe.aspx?nfe=26230120300157002193550010000018671964509435","Ver Danfe")</f>
        <v>Ver Danfe</v>
      </c>
      <c r="Q335" s="46" t="str">
        <f>HYPERLINK("https://cofre.sieg.com/ajax/xml.aspx?nfe=26230120300157002193550010000018671964509435","Baixar Xml")</f>
        <v>Baixar Xml</v>
      </c>
    </row>
    <row r="336" spans="1:17" x14ac:dyDescent="0.75">
      <c r="A336" s="5">
        <v>1868</v>
      </c>
      <c r="B336" s="55">
        <v>4.8</v>
      </c>
      <c r="C336" s="5" t="s">
        <v>4826</v>
      </c>
      <c r="D336" s="45" t="s">
        <v>1324</v>
      </c>
      <c r="E336" s="45" t="s">
        <v>1325</v>
      </c>
      <c r="F336" s="45" t="s">
        <v>1323</v>
      </c>
      <c r="G336" s="45" t="s">
        <v>1120</v>
      </c>
      <c r="H336" s="45" t="s">
        <v>1126</v>
      </c>
      <c r="I336" s="45" t="s">
        <v>1126</v>
      </c>
      <c r="J336" s="45" t="s">
        <v>4826</v>
      </c>
      <c r="K336" s="45" t="s">
        <v>5308</v>
      </c>
      <c r="L336" s="45" t="s">
        <v>1122</v>
      </c>
      <c r="M336" s="45" t="s">
        <v>1311</v>
      </c>
      <c r="N336" s="45" t="s">
        <v>1312</v>
      </c>
      <c r="O336" s="45" t="s">
        <v>1123</v>
      </c>
      <c r="P336" s="46" t="str">
        <f>HYPERLINK("https://cofre.sieg.com/ajax/danfe.aspx?nfe=26230120300157002193550010000018681691191302","Ver Danfe")</f>
        <v>Ver Danfe</v>
      </c>
      <c r="Q336" s="46" t="str">
        <f>HYPERLINK("https://cofre.sieg.com/ajax/xml.aspx?nfe=26230120300157002193550010000018681691191302","Baixar Xml")</f>
        <v>Baixar Xml</v>
      </c>
    </row>
    <row r="337" spans="1:17" x14ac:dyDescent="0.75">
      <c r="A337" s="5">
        <v>1869</v>
      </c>
      <c r="B337" s="55">
        <v>25.5</v>
      </c>
      <c r="C337" s="5" t="s">
        <v>4826</v>
      </c>
      <c r="D337" s="45" t="s">
        <v>1324</v>
      </c>
      <c r="E337" s="45" t="s">
        <v>1325</v>
      </c>
      <c r="F337" s="45" t="s">
        <v>1323</v>
      </c>
      <c r="G337" s="45" t="s">
        <v>1120</v>
      </c>
      <c r="H337" s="45" t="s">
        <v>1126</v>
      </c>
      <c r="I337" s="45" t="s">
        <v>1126</v>
      </c>
      <c r="J337" s="45" t="s">
        <v>4826</v>
      </c>
      <c r="K337" s="45" t="s">
        <v>5309</v>
      </c>
      <c r="L337" s="45" t="s">
        <v>1122</v>
      </c>
      <c r="M337" s="45" t="s">
        <v>1311</v>
      </c>
      <c r="N337" s="45" t="s">
        <v>1312</v>
      </c>
      <c r="O337" s="45" t="s">
        <v>1123</v>
      </c>
      <c r="P337" s="46" t="str">
        <f>HYPERLINK("https://cofre.sieg.com/ajax/danfe.aspx?nfe=26230120300157002193550010000018691129572851","Ver Danfe")</f>
        <v>Ver Danfe</v>
      </c>
      <c r="Q337" s="46" t="str">
        <f>HYPERLINK("https://cofre.sieg.com/ajax/xml.aspx?nfe=26230120300157002193550010000018691129572851","Baixar Xml")</f>
        <v>Baixar Xml</v>
      </c>
    </row>
    <row r="338" spans="1:17" x14ac:dyDescent="0.75">
      <c r="A338" s="5">
        <v>1935</v>
      </c>
      <c r="B338" s="55">
        <v>31.9</v>
      </c>
      <c r="C338" s="5" t="s">
        <v>4844</v>
      </c>
      <c r="D338" s="45" t="s">
        <v>1324</v>
      </c>
      <c r="E338" s="45" t="s">
        <v>1325</v>
      </c>
      <c r="F338" s="45" t="s">
        <v>1323</v>
      </c>
      <c r="G338" s="45" t="s">
        <v>1120</v>
      </c>
      <c r="H338" s="45" t="s">
        <v>1126</v>
      </c>
      <c r="I338" s="45" t="s">
        <v>1126</v>
      </c>
      <c r="J338" s="45" t="s">
        <v>4844</v>
      </c>
      <c r="K338" s="45" t="s">
        <v>5310</v>
      </c>
      <c r="L338" s="45" t="s">
        <v>1122</v>
      </c>
      <c r="M338" s="45"/>
      <c r="N338" s="45"/>
      <c r="O338" s="45" t="s">
        <v>1123</v>
      </c>
      <c r="P338" s="46" t="str">
        <f>HYPERLINK("https://cofre.sieg.com/ajax/danfe.aspx?nfe=26230120300157002193550010000019351607208916","Ver Danfe")</f>
        <v>Ver Danfe</v>
      </c>
      <c r="Q338" s="46" t="str">
        <f>HYPERLINK("https://cofre.sieg.com/ajax/xml.aspx?nfe=26230120300157002193550010000019351607208916","Baixar Xml")</f>
        <v>Baixar Xml</v>
      </c>
    </row>
    <row r="339" spans="1:17" x14ac:dyDescent="0.75">
      <c r="A339" s="5">
        <v>1936</v>
      </c>
      <c r="B339" s="55">
        <v>63.9</v>
      </c>
      <c r="C339" s="5" t="s">
        <v>4844</v>
      </c>
      <c r="D339" s="45" t="s">
        <v>1324</v>
      </c>
      <c r="E339" s="45" t="s">
        <v>1325</v>
      </c>
      <c r="F339" s="45" t="s">
        <v>1323</v>
      </c>
      <c r="G339" s="45" t="s">
        <v>1120</v>
      </c>
      <c r="H339" s="45" t="s">
        <v>1126</v>
      </c>
      <c r="I339" s="45" t="s">
        <v>1126</v>
      </c>
      <c r="J339" s="45" t="s">
        <v>4844</v>
      </c>
      <c r="K339" s="45" t="s">
        <v>5311</v>
      </c>
      <c r="L339" s="45" t="s">
        <v>1122</v>
      </c>
      <c r="M339" s="45"/>
      <c r="N339" s="45"/>
      <c r="O339" s="45" t="s">
        <v>1123</v>
      </c>
      <c r="P339" s="46" t="str">
        <f>HYPERLINK("https://cofre.sieg.com/ajax/danfe.aspx?nfe=26230120300157002193550010000019361253281752","Ver Danfe")</f>
        <v>Ver Danfe</v>
      </c>
      <c r="Q339" s="46" t="str">
        <f>HYPERLINK("https://cofre.sieg.com/ajax/xml.aspx?nfe=26230120300157002193550010000019361253281752","Baixar Xml")</f>
        <v>Baixar Xml</v>
      </c>
    </row>
    <row r="340" spans="1:17" x14ac:dyDescent="0.75">
      <c r="A340" s="5">
        <v>1937</v>
      </c>
      <c r="B340" s="55">
        <v>123.1</v>
      </c>
      <c r="C340" s="5" t="s">
        <v>4844</v>
      </c>
      <c r="D340" s="45" t="s">
        <v>1324</v>
      </c>
      <c r="E340" s="45" t="s">
        <v>1325</v>
      </c>
      <c r="F340" s="45" t="s">
        <v>1323</v>
      </c>
      <c r="G340" s="45" t="s">
        <v>1120</v>
      </c>
      <c r="H340" s="45" t="s">
        <v>1126</v>
      </c>
      <c r="I340" s="45" t="s">
        <v>1126</v>
      </c>
      <c r="J340" s="45" t="s">
        <v>4844</v>
      </c>
      <c r="K340" s="45" t="s">
        <v>5312</v>
      </c>
      <c r="L340" s="45" t="s">
        <v>1122</v>
      </c>
      <c r="M340" s="45"/>
      <c r="N340" s="45"/>
      <c r="O340" s="45" t="s">
        <v>1123</v>
      </c>
      <c r="P340" s="46" t="str">
        <f>HYPERLINK("https://cofre.sieg.com/ajax/danfe.aspx?nfe=26230120300157002193550010000019371105942308","Ver Danfe")</f>
        <v>Ver Danfe</v>
      </c>
      <c r="Q340" s="46" t="str">
        <f>HYPERLINK("https://cofre.sieg.com/ajax/xml.aspx?nfe=26230120300157002193550010000019371105942308","Baixar Xml")</f>
        <v>Baixar Xml</v>
      </c>
    </row>
    <row r="341" spans="1:17" x14ac:dyDescent="0.75">
      <c r="A341" s="5">
        <v>1938</v>
      </c>
      <c r="B341" s="55">
        <v>2.5</v>
      </c>
      <c r="C341" s="5" t="s">
        <v>4844</v>
      </c>
      <c r="D341" s="45" t="s">
        <v>1324</v>
      </c>
      <c r="E341" s="45" t="s">
        <v>1325</v>
      </c>
      <c r="F341" s="45" t="s">
        <v>1323</v>
      </c>
      <c r="G341" s="45" t="s">
        <v>1120</v>
      </c>
      <c r="H341" s="45" t="s">
        <v>1126</v>
      </c>
      <c r="I341" s="45" t="s">
        <v>1126</v>
      </c>
      <c r="J341" s="45" t="s">
        <v>4844</v>
      </c>
      <c r="K341" s="45" t="s">
        <v>5313</v>
      </c>
      <c r="L341" s="45" t="s">
        <v>1122</v>
      </c>
      <c r="M341" s="45"/>
      <c r="N341" s="45"/>
      <c r="O341" s="45" t="s">
        <v>1123</v>
      </c>
      <c r="P341" s="46" t="str">
        <f>HYPERLINK("https://cofre.sieg.com/ajax/danfe.aspx?nfe=26230120300157002193550010000019381905427944","Ver Danfe")</f>
        <v>Ver Danfe</v>
      </c>
      <c r="Q341" s="46" t="str">
        <f>HYPERLINK("https://cofre.sieg.com/ajax/xml.aspx?nfe=26230120300157002193550010000019381905427944","Baixar Xml")</f>
        <v>Baixar Xml</v>
      </c>
    </row>
    <row r="342" spans="1:17" x14ac:dyDescent="0.75">
      <c r="A342" s="5">
        <v>1939</v>
      </c>
      <c r="B342" s="55">
        <v>54.4</v>
      </c>
      <c r="C342" s="5" t="s">
        <v>4844</v>
      </c>
      <c r="D342" s="45" t="s">
        <v>1324</v>
      </c>
      <c r="E342" s="45" t="s">
        <v>1325</v>
      </c>
      <c r="F342" s="45" t="s">
        <v>1323</v>
      </c>
      <c r="G342" s="45" t="s">
        <v>1120</v>
      </c>
      <c r="H342" s="45" t="s">
        <v>1126</v>
      </c>
      <c r="I342" s="45" t="s">
        <v>1126</v>
      </c>
      <c r="J342" s="45" t="s">
        <v>4844</v>
      </c>
      <c r="K342" s="45" t="s">
        <v>5314</v>
      </c>
      <c r="L342" s="45" t="s">
        <v>1122</v>
      </c>
      <c r="M342" s="45"/>
      <c r="N342" s="45"/>
      <c r="O342" s="45" t="s">
        <v>1123</v>
      </c>
      <c r="P342" s="46" t="str">
        <f>HYPERLINK("https://cofre.sieg.com/ajax/danfe.aspx?nfe=26230120300157002193550010000019391372209984","Ver Danfe")</f>
        <v>Ver Danfe</v>
      </c>
      <c r="Q342" s="46" t="str">
        <f>HYPERLINK("https://cofre.sieg.com/ajax/xml.aspx?nfe=26230120300157002193550010000019391372209984","Baixar Xml")</f>
        <v>Baixar Xml</v>
      </c>
    </row>
    <row r="343" spans="1:17" x14ac:dyDescent="0.75">
      <c r="A343" s="5">
        <v>1995</v>
      </c>
      <c r="B343" s="55">
        <v>99.8</v>
      </c>
      <c r="C343" s="5" t="s">
        <v>4846</v>
      </c>
      <c r="D343" s="45" t="s">
        <v>1324</v>
      </c>
      <c r="E343" s="45" t="s">
        <v>1325</v>
      </c>
      <c r="F343" s="45" t="s">
        <v>1323</v>
      </c>
      <c r="G343" s="45" t="s">
        <v>1120</v>
      </c>
      <c r="H343" s="45" t="s">
        <v>1126</v>
      </c>
      <c r="I343" s="45" t="s">
        <v>1126</v>
      </c>
      <c r="J343" s="45" t="s">
        <v>4846</v>
      </c>
      <c r="K343" s="45" t="s">
        <v>5315</v>
      </c>
      <c r="L343" s="45" t="s">
        <v>1122</v>
      </c>
      <c r="M343" s="45" t="s">
        <v>1311</v>
      </c>
      <c r="N343" s="45" t="s">
        <v>1312</v>
      </c>
      <c r="O343" s="45" t="s">
        <v>1123</v>
      </c>
      <c r="P343" s="46" t="str">
        <f>HYPERLINK("https://cofre.sieg.com/ajax/danfe.aspx?nfe=26230120300157002193550010000019951399276428","Ver Danfe")</f>
        <v>Ver Danfe</v>
      </c>
      <c r="Q343" s="46" t="str">
        <f>HYPERLINK("https://cofre.sieg.com/ajax/xml.aspx?nfe=26230120300157002193550010000019951399276428","Baixar Xml")</f>
        <v>Baixar Xml</v>
      </c>
    </row>
    <row r="344" spans="1:17" x14ac:dyDescent="0.75">
      <c r="A344" s="5">
        <v>1997</v>
      </c>
      <c r="B344" s="55">
        <v>37.76</v>
      </c>
      <c r="C344" s="5" t="s">
        <v>4846</v>
      </c>
      <c r="D344" s="45" t="s">
        <v>1324</v>
      </c>
      <c r="E344" s="45" t="s">
        <v>1325</v>
      </c>
      <c r="F344" s="45" t="s">
        <v>1323</v>
      </c>
      <c r="G344" s="45" t="s">
        <v>1120</v>
      </c>
      <c r="H344" s="45" t="s">
        <v>1126</v>
      </c>
      <c r="I344" s="45" t="s">
        <v>1126</v>
      </c>
      <c r="J344" s="45" t="s">
        <v>4846</v>
      </c>
      <c r="K344" s="45" t="s">
        <v>5316</v>
      </c>
      <c r="L344" s="45" t="s">
        <v>1122</v>
      </c>
      <c r="M344" s="45" t="s">
        <v>1311</v>
      </c>
      <c r="N344" s="45" t="s">
        <v>1312</v>
      </c>
      <c r="O344" s="45" t="s">
        <v>1123</v>
      </c>
      <c r="P344" s="46" t="str">
        <f>HYPERLINK("https://cofre.sieg.com/ajax/danfe.aspx?nfe=26230120300157002193550010000019971925742404","Ver Danfe")</f>
        <v>Ver Danfe</v>
      </c>
      <c r="Q344" s="46" t="str">
        <f>HYPERLINK("https://cofre.sieg.com/ajax/xml.aspx?nfe=26230120300157002193550010000019971925742404","Baixar Xml")</f>
        <v>Baixar Xml</v>
      </c>
    </row>
    <row r="345" spans="1:17" x14ac:dyDescent="0.75">
      <c r="A345" s="5">
        <v>1999</v>
      </c>
      <c r="B345" s="55">
        <v>1.8</v>
      </c>
      <c r="C345" s="5" t="s">
        <v>4846</v>
      </c>
      <c r="D345" s="45" t="s">
        <v>1324</v>
      </c>
      <c r="E345" s="45" t="s">
        <v>1325</v>
      </c>
      <c r="F345" s="45" t="s">
        <v>1323</v>
      </c>
      <c r="G345" s="45" t="s">
        <v>1120</v>
      </c>
      <c r="H345" s="45" t="s">
        <v>1126</v>
      </c>
      <c r="I345" s="45" t="s">
        <v>1126</v>
      </c>
      <c r="J345" s="45" t="s">
        <v>4846</v>
      </c>
      <c r="K345" s="45" t="s">
        <v>5317</v>
      </c>
      <c r="L345" s="45" t="s">
        <v>1122</v>
      </c>
      <c r="M345" s="45" t="s">
        <v>1311</v>
      </c>
      <c r="N345" s="45" t="s">
        <v>1312</v>
      </c>
      <c r="O345" s="45" t="s">
        <v>1123</v>
      </c>
      <c r="P345" s="46" t="str">
        <f>HYPERLINK("https://cofre.sieg.com/ajax/danfe.aspx?nfe=26230120300157002193550010000019991497264393","Ver Danfe")</f>
        <v>Ver Danfe</v>
      </c>
      <c r="Q345" s="46" t="str">
        <f>HYPERLINK("https://cofre.sieg.com/ajax/xml.aspx?nfe=26230120300157002193550010000019991497264393","Baixar Xml")</f>
        <v>Baixar Xml</v>
      </c>
    </row>
    <row r="346" spans="1:17" x14ac:dyDescent="0.75">
      <c r="A346" s="5">
        <v>2021</v>
      </c>
      <c r="B346" s="55">
        <v>11.5</v>
      </c>
      <c r="C346" s="5" t="s">
        <v>4857</v>
      </c>
      <c r="D346" s="45" t="s">
        <v>1324</v>
      </c>
      <c r="E346" s="45" t="s">
        <v>1325</v>
      </c>
      <c r="F346" s="45" t="s">
        <v>1323</v>
      </c>
      <c r="G346" s="45" t="s">
        <v>1120</v>
      </c>
      <c r="H346" s="45" t="s">
        <v>1126</v>
      </c>
      <c r="I346" s="45" t="s">
        <v>1126</v>
      </c>
      <c r="J346" s="45" t="s">
        <v>4857</v>
      </c>
      <c r="K346" s="45" t="s">
        <v>5318</v>
      </c>
      <c r="L346" s="45" t="s">
        <v>1122</v>
      </c>
      <c r="M346" s="45" t="s">
        <v>1311</v>
      </c>
      <c r="N346" s="45" t="s">
        <v>1312</v>
      </c>
      <c r="O346" s="45" t="s">
        <v>1123</v>
      </c>
      <c r="P346" s="46" t="str">
        <f>HYPERLINK("https://cofre.sieg.com/ajax/danfe.aspx?nfe=26230120300157002193550010000020211152783658","Ver Danfe")</f>
        <v>Ver Danfe</v>
      </c>
      <c r="Q346" s="46" t="str">
        <f>HYPERLINK("https://cofre.sieg.com/ajax/xml.aspx?nfe=26230120300157002193550010000020211152783658","Baixar Xml")</f>
        <v>Baixar Xml</v>
      </c>
    </row>
    <row r="347" spans="1:17" x14ac:dyDescent="0.75">
      <c r="A347" s="5">
        <v>2022</v>
      </c>
      <c r="B347" s="55">
        <v>202.2</v>
      </c>
      <c r="C347" s="5" t="s">
        <v>4857</v>
      </c>
      <c r="D347" s="45" t="s">
        <v>1324</v>
      </c>
      <c r="E347" s="45" t="s">
        <v>1325</v>
      </c>
      <c r="F347" s="45" t="s">
        <v>1323</v>
      </c>
      <c r="G347" s="45" t="s">
        <v>1120</v>
      </c>
      <c r="H347" s="45" t="s">
        <v>1126</v>
      </c>
      <c r="I347" s="45" t="s">
        <v>1126</v>
      </c>
      <c r="J347" s="45" t="s">
        <v>4857</v>
      </c>
      <c r="K347" s="45" t="s">
        <v>5319</v>
      </c>
      <c r="L347" s="45" t="s">
        <v>1122</v>
      </c>
      <c r="M347" s="45" t="s">
        <v>1311</v>
      </c>
      <c r="N347" s="45" t="s">
        <v>1312</v>
      </c>
      <c r="O347" s="45" t="s">
        <v>1123</v>
      </c>
      <c r="P347" s="46" t="str">
        <f>HYPERLINK("https://cofre.sieg.com/ajax/danfe.aspx?nfe=26230120300157002193550010000020221540564020","Ver Danfe")</f>
        <v>Ver Danfe</v>
      </c>
      <c r="Q347" s="46" t="str">
        <f>HYPERLINK("https://cofre.sieg.com/ajax/xml.aspx?nfe=26230120300157002193550010000020221540564020","Baixar Xml")</f>
        <v>Baixar Xml</v>
      </c>
    </row>
    <row r="348" spans="1:17" x14ac:dyDescent="0.75">
      <c r="A348" s="5">
        <v>2042</v>
      </c>
      <c r="B348" s="55">
        <v>18.600000000000001</v>
      </c>
      <c r="C348" s="5" t="s">
        <v>4861</v>
      </c>
      <c r="D348" s="45" t="s">
        <v>1324</v>
      </c>
      <c r="E348" s="45" t="s">
        <v>1325</v>
      </c>
      <c r="F348" s="45" t="s">
        <v>1323</v>
      </c>
      <c r="G348" s="45" t="s">
        <v>1120</v>
      </c>
      <c r="H348" s="45" t="s">
        <v>1126</v>
      </c>
      <c r="I348" s="45" t="s">
        <v>1126</v>
      </c>
      <c r="J348" s="45" t="s">
        <v>4861</v>
      </c>
      <c r="K348" s="45" t="s">
        <v>5320</v>
      </c>
      <c r="L348" s="45" t="s">
        <v>1122</v>
      </c>
      <c r="M348" s="45" t="s">
        <v>1311</v>
      </c>
      <c r="N348" s="45" t="s">
        <v>1312</v>
      </c>
      <c r="O348" s="45" t="s">
        <v>1123</v>
      </c>
      <c r="P348" s="46" t="str">
        <f>HYPERLINK("https://cofre.sieg.com/ajax/danfe.aspx?nfe=26230120300157002193550010000020421300927601","Ver Danfe")</f>
        <v>Ver Danfe</v>
      </c>
      <c r="Q348" s="46" t="str">
        <f>HYPERLINK("https://cofre.sieg.com/ajax/xml.aspx?nfe=26230120300157002193550010000020421300927601","Baixar Xml")</f>
        <v>Baixar Xml</v>
      </c>
    </row>
    <row r="349" spans="1:17" x14ac:dyDescent="0.75">
      <c r="A349" s="5">
        <v>2043</v>
      </c>
      <c r="B349" s="55">
        <v>6</v>
      </c>
      <c r="C349" s="5" t="s">
        <v>4861</v>
      </c>
      <c r="D349" s="45" t="s">
        <v>1324</v>
      </c>
      <c r="E349" s="45" t="s">
        <v>1325</v>
      </c>
      <c r="F349" s="45" t="s">
        <v>1323</v>
      </c>
      <c r="G349" s="45" t="s">
        <v>1120</v>
      </c>
      <c r="H349" s="45" t="s">
        <v>1126</v>
      </c>
      <c r="I349" s="45" t="s">
        <v>1126</v>
      </c>
      <c r="J349" s="45" t="s">
        <v>4861</v>
      </c>
      <c r="K349" s="45" t="s">
        <v>5321</v>
      </c>
      <c r="L349" s="45" t="s">
        <v>1122</v>
      </c>
      <c r="M349" s="45" t="s">
        <v>1311</v>
      </c>
      <c r="N349" s="45" t="s">
        <v>1312</v>
      </c>
      <c r="O349" s="45" t="s">
        <v>1123</v>
      </c>
      <c r="P349" s="46" t="str">
        <f>HYPERLINK("https://cofre.sieg.com/ajax/danfe.aspx?nfe=26230120300157002193550010000020431334889076","Ver Danfe")</f>
        <v>Ver Danfe</v>
      </c>
      <c r="Q349" s="46" t="str">
        <f>HYPERLINK("https://cofre.sieg.com/ajax/xml.aspx?nfe=26230120300157002193550010000020431334889076","Baixar Xml")</f>
        <v>Baixar Xml</v>
      </c>
    </row>
    <row r="350" spans="1:17" x14ac:dyDescent="0.75">
      <c r="A350" s="5">
        <v>2044</v>
      </c>
      <c r="B350" s="55">
        <v>320.3</v>
      </c>
      <c r="C350" s="5" t="s">
        <v>4861</v>
      </c>
      <c r="D350" s="45" t="s">
        <v>1324</v>
      </c>
      <c r="E350" s="45" t="s">
        <v>1325</v>
      </c>
      <c r="F350" s="45" t="s">
        <v>1323</v>
      </c>
      <c r="G350" s="45" t="s">
        <v>1120</v>
      </c>
      <c r="H350" s="45" t="s">
        <v>1126</v>
      </c>
      <c r="I350" s="45" t="s">
        <v>1126</v>
      </c>
      <c r="J350" s="45" t="s">
        <v>4861</v>
      </c>
      <c r="K350" s="45" t="s">
        <v>5322</v>
      </c>
      <c r="L350" s="45" t="s">
        <v>1122</v>
      </c>
      <c r="M350" s="45" t="s">
        <v>1311</v>
      </c>
      <c r="N350" s="45" t="s">
        <v>1312</v>
      </c>
      <c r="O350" s="45" t="s">
        <v>1123</v>
      </c>
      <c r="P350" s="46" t="str">
        <f>HYPERLINK("https://cofre.sieg.com/ajax/danfe.aspx?nfe=26230120300157002193550010000020441876757964","Ver Danfe")</f>
        <v>Ver Danfe</v>
      </c>
      <c r="Q350" s="46" t="str">
        <f>HYPERLINK("https://cofre.sieg.com/ajax/xml.aspx?nfe=26230120300157002193550010000020441876757964","Baixar Xml")</f>
        <v>Baixar Xml</v>
      </c>
    </row>
    <row r="351" spans="1:17" x14ac:dyDescent="0.75">
      <c r="A351" s="5">
        <v>2066</v>
      </c>
      <c r="B351" s="55">
        <v>104.1</v>
      </c>
      <c r="C351" s="5" t="s">
        <v>4862</v>
      </c>
      <c r="D351" s="45" t="s">
        <v>1324</v>
      </c>
      <c r="E351" s="45" t="s">
        <v>1325</v>
      </c>
      <c r="F351" s="45" t="s">
        <v>1323</v>
      </c>
      <c r="G351" s="45" t="s">
        <v>1120</v>
      </c>
      <c r="H351" s="45" t="s">
        <v>1126</v>
      </c>
      <c r="I351" s="45" t="s">
        <v>1126</v>
      </c>
      <c r="J351" s="45" t="s">
        <v>4862</v>
      </c>
      <c r="K351" s="45" t="s">
        <v>5323</v>
      </c>
      <c r="L351" s="45" t="s">
        <v>1122</v>
      </c>
      <c r="M351" s="45" t="s">
        <v>1311</v>
      </c>
      <c r="N351" s="45" t="s">
        <v>1312</v>
      </c>
      <c r="O351" s="45" t="s">
        <v>1123</v>
      </c>
      <c r="P351" s="46" t="str">
        <f>HYPERLINK("https://cofre.sieg.com/ajax/danfe.aspx?nfe=26230120300157002193550010000020661882705978","Ver Danfe")</f>
        <v>Ver Danfe</v>
      </c>
      <c r="Q351" s="46" t="str">
        <f>HYPERLINK("https://cofre.sieg.com/ajax/xml.aspx?nfe=26230120300157002193550010000020661882705978","Baixar Xml")</f>
        <v>Baixar Xml</v>
      </c>
    </row>
    <row r="352" spans="1:17" x14ac:dyDescent="0.75">
      <c r="A352" s="5">
        <v>2091</v>
      </c>
      <c r="B352" s="55">
        <v>192</v>
      </c>
      <c r="C352" s="5" t="s">
        <v>4866</v>
      </c>
      <c r="D352" s="45" t="s">
        <v>1324</v>
      </c>
      <c r="E352" s="45" t="s">
        <v>1325</v>
      </c>
      <c r="F352" s="45" t="s">
        <v>1323</v>
      </c>
      <c r="G352" s="45" t="s">
        <v>1120</v>
      </c>
      <c r="H352" s="45" t="s">
        <v>1126</v>
      </c>
      <c r="I352" s="45" t="s">
        <v>1126</v>
      </c>
      <c r="J352" s="45" t="s">
        <v>4866</v>
      </c>
      <c r="K352" s="45" t="s">
        <v>5324</v>
      </c>
      <c r="L352" s="45" t="s">
        <v>1122</v>
      </c>
      <c r="M352" s="45"/>
      <c r="N352" s="45"/>
      <c r="O352" s="45" t="s">
        <v>1123</v>
      </c>
      <c r="P352" s="46" t="str">
        <f>HYPERLINK("https://cofre.sieg.com/ajax/danfe.aspx?nfe=26230120300157002193550010000020911850753295","Ver Danfe")</f>
        <v>Ver Danfe</v>
      </c>
      <c r="Q352" s="46" t="str">
        <f>HYPERLINK("https://cofre.sieg.com/ajax/xml.aspx?nfe=26230120300157002193550010000020911850753295","Baixar Xml")</f>
        <v>Baixar Xml</v>
      </c>
    </row>
    <row r="353" spans="1:17" x14ac:dyDescent="0.75">
      <c r="A353" s="5">
        <v>2110</v>
      </c>
      <c r="B353" s="55">
        <v>162</v>
      </c>
      <c r="C353" s="5" t="s">
        <v>4873</v>
      </c>
      <c r="D353" s="45" t="s">
        <v>1324</v>
      </c>
      <c r="E353" s="45" t="s">
        <v>1325</v>
      </c>
      <c r="F353" s="45" t="s">
        <v>1323</v>
      </c>
      <c r="G353" s="45" t="s">
        <v>1120</v>
      </c>
      <c r="H353" s="45" t="s">
        <v>1126</v>
      </c>
      <c r="I353" s="45" t="s">
        <v>1126</v>
      </c>
      <c r="J353" s="45" t="s">
        <v>4873</v>
      </c>
      <c r="K353" s="45" t="s">
        <v>5325</v>
      </c>
      <c r="L353" s="45" t="s">
        <v>1122</v>
      </c>
      <c r="M353" s="45" t="s">
        <v>1311</v>
      </c>
      <c r="N353" s="45" t="s">
        <v>1312</v>
      </c>
      <c r="O353" s="45" t="s">
        <v>1123</v>
      </c>
      <c r="P353" s="46" t="str">
        <f>HYPERLINK("https://cofre.sieg.com/ajax/danfe.aspx?nfe=26230120300157002193550010000021101859401186","Ver Danfe")</f>
        <v>Ver Danfe</v>
      </c>
      <c r="Q353" s="46" t="str">
        <f>HYPERLINK("https://cofre.sieg.com/ajax/xml.aspx?nfe=26230120300157002193550010000021101859401186","Baixar Xml")</f>
        <v>Baixar Xml</v>
      </c>
    </row>
    <row r="354" spans="1:17" x14ac:dyDescent="0.75">
      <c r="A354" s="5">
        <v>2112</v>
      </c>
      <c r="B354" s="55">
        <v>213.6</v>
      </c>
      <c r="C354" s="5" t="s">
        <v>4873</v>
      </c>
      <c r="D354" s="45" t="s">
        <v>1324</v>
      </c>
      <c r="E354" s="45" t="s">
        <v>1325</v>
      </c>
      <c r="F354" s="45" t="s">
        <v>1323</v>
      </c>
      <c r="G354" s="45" t="s">
        <v>1120</v>
      </c>
      <c r="H354" s="45" t="s">
        <v>1126</v>
      </c>
      <c r="I354" s="45" t="s">
        <v>1126</v>
      </c>
      <c r="J354" s="45" t="s">
        <v>4873</v>
      </c>
      <c r="K354" s="45" t="s">
        <v>5326</v>
      </c>
      <c r="L354" s="45" t="s">
        <v>1122</v>
      </c>
      <c r="M354" s="45"/>
      <c r="N354" s="45"/>
      <c r="O354" s="45" t="s">
        <v>1123</v>
      </c>
      <c r="P354" s="46" t="str">
        <f>HYPERLINK("https://cofre.sieg.com/ajax/danfe.aspx?nfe=26230120300157002193550010000021121927050767","Ver Danfe")</f>
        <v>Ver Danfe</v>
      </c>
      <c r="Q354" s="46" t="str">
        <f>HYPERLINK("https://cofre.sieg.com/ajax/xml.aspx?nfe=26230120300157002193550010000021121927050767","Baixar Xml")</f>
        <v>Baixar Xml</v>
      </c>
    </row>
    <row r="355" spans="1:17" x14ac:dyDescent="0.75">
      <c r="A355" s="5">
        <v>2113</v>
      </c>
      <c r="B355" s="55">
        <v>5.6</v>
      </c>
      <c r="C355" s="5" t="s">
        <v>4873</v>
      </c>
      <c r="D355" s="45" t="s">
        <v>1324</v>
      </c>
      <c r="E355" s="45" t="s">
        <v>1325</v>
      </c>
      <c r="F355" s="45" t="s">
        <v>1323</v>
      </c>
      <c r="G355" s="45" t="s">
        <v>1120</v>
      </c>
      <c r="H355" s="45" t="s">
        <v>1126</v>
      </c>
      <c r="I355" s="45" t="s">
        <v>1126</v>
      </c>
      <c r="J355" s="45" t="s">
        <v>4873</v>
      </c>
      <c r="K355" s="45" t="s">
        <v>5327</v>
      </c>
      <c r="L355" s="45" t="s">
        <v>1122</v>
      </c>
      <c r="M355" s="45"/>
      <c r="N355" s="45"/>
      <c r="O355" s="45" t="s">
        <v>1123</v>
      </c>
      <c r="P355" s="46" t="str">
        <f>HYPERLINK("https://cofre.sieg.com/ajax/danfe.aspx?nfe=26230120300157002193550010000021131365126054","Ver Danfe")</f>
        <v>Ver Danfe</v>
      </c>
      <c r="Q355" s="46" t="str">
        <f>HYPERLINK("https://cofre.sieg.com/ajax/xml.aspx?nfe=26230120300157002193550010000021131365126054","Baixar Xml")</f>
        <v>Baixar Xml</v>
      </c>
    </row>
    <row r="356" spans="1:17" x14ac:dyDescent="0.75">
      <c r="A356" s="5">
        <v>2152</v>
      </c>
      <c r="B356" s="55">
        <v>3.6</v>
      </c>
      <c r="C356" s="5" t="s">
        <v>4877</v>
      </c>
      <c r="D356" s="45" t="s">
        <v>1324</v>
      </c>
      <c r="E356" s="45" t="s">
        <v>1325</v>
      </c>
      <c r="F356" s="45" t="s">
        <v>1323</v>
      </c>
      <c r="G356" s="45" t="s">
        <v>1120</v>
      </c>
      <c r="H356" s="45" t="s">
        <v>1126</v>
      </c>
      <c r="I356" s="45" t="s">
        <v>1126</v>
      </c>
      <c r="J356" s="45" t="s">
        <v>4877</v>
      </c>
      <c r="K356" s="45" t="s">
        <v>5328</v>
      </c>
      <c r="L356" s="45" t="s">
        <v>1122</v>
      </c>
      <c r="M356" s="45" t="s">
        <v>1311</v>
      </c>
      <c r="N356" s="45" t="s">
        <v>1312</v>
      </c>
      <c r="O356" s="45" t="s">
        <v>1123</v>
      </c>
      <c r="P356" s="46" t="str">
        <f>HYPERLINK("https://cofre.sieg.com/ajax/danfe.aspx?nfe=26230120300157002193550010000021521964407407","Ver Danfe")</f>
        <v>Ver Danfe</v>
      </c>
      <c r="Q356" s="46" t="str">
        <f>HYPERLINK("https://cofre.sieg.com/ajax/xml.aspx?nfe=26230120300157002193550010000021521964407407","Baixar Xml")</f>
        <v>Baixar Xml</v>
      </c>
    </row>
    <row r="357" spans="1:17" x14ac:dyDescent="0.75">
      <c r="A357" s="5">
        <v>2153</v>
      </c>
      <c r="B357" s="55">
        <v>148.5</v>
      </c>
      <c r="C357" s="5" t="s">
        <v>4877</v>
      </c>
      <c r="D357" s="45" t="s">
        <v>1324</v>
      </c>
      <c r="E357" s="45" t="s">
        <v>1325</v>
      </c>
      <c r="F357" s="45" t="s">
        <v>1323</v>
      </c>
      <c r="G357" s="45" t="s">
        <v>1120</v>
      </c>
      <c r="H357" s="45" t="s">
        <v>1126</v>
      </c>
      <c r="I357" s="45" t="s">
        <v>1126</v>
      </c>
      <c r="J357" s="45" t="s">
        <v>4877</v>
      </c>
      <c r="K357" s="45" t="s">
        <v>5329</v>
      </c>
      <c r="L357" s="45" t="s">
        <v>1122</v>
      </c>
      <c r="M357" s="45" t="s">
        <v>1311</v>
      </c>
      <c r="N357" s="45" t="s">
        <v>1312</v>
      </c>
      <c r="O357" s="45" t="s">
        <v>1123</v>
      </c>
      <c r="P357" s="46" t="str">
        <f>HYPERLINK("https://cofre.sieg.com/ajax/danfe.aspx?nfe=26230120300157002193550010000021531159900578","Ver Danfe")</f>
        <v>Ver Danfe</v>
      </c>
      <c r="Q357" s="46" t="str">
        <f>HYPERLINK("https://cofre.sieg.com/ajax/xml.aspx?nfe=26230120300157002193550010000021531159900578","Baixar Xml")</f>
        <v>Baixar Xml</v>
      </c>
    </row>
    <row r="358" spans="1:17" x14ac:dyDescent="0.75">
      <c r="A358" s="5">
        <v>2164</v>
      </c>
      <c r="B358" s="55">
        <v>124.7</v>
      </c>
      <c r="C358" s="5" t="s">
        <v>4883</v>
      </c>
      <c r="D358" s="45" t="s">
        <v>1324</v>
      </c>
      <c r="E358" s="45" t="s">
        <v>1325</v>
      </c>
      <c r="F358" s="45" t="s">
        <v>1323</v>
      </c>
      <c r="G358" s="45" t="s">
        <v>1120</v>
      </c>
      <c r="H358" s="45" t="s">
        <v>1126</v>
      </c>
      <c r="I358" s="45" t="s">
        <v>1126</v>
      </c>
      <c r="J358" s="45" t="s">
        <v>4883</v>
      </c>
      <c r="K358" s="45" t="s">
        <v>5330</v>
      </c>
      <c r="L358" s="45" t="s">
        <v>1122</v>
      </c>
      <c r="M358" s="45" t="s">
        <v>1311</v>
      </c>
      <c r="N358" s="45" t="s">
        <v>1312</v>
      </c>
      <c r="O358" s="45" t="s">
        <v>1123</v>
      </c>
      <c r="P358" s="46" t="str">
        <f>HYPERLINK("https://cofre.sieg.com/ajax/danfe.aspx?nfe=26230120300157002193550010000021641958611449","Ver Danfe")</f>
        <v>Ver Danfe</v>
      </c>
      <c r="Q358" s="46" t="str">
        <f>HYPERLINK("https://cofre.sieg.com/ajax/xml.aspx?nfe=26230120300157002193550010000021641958611449","Baixar Xml")</f>
        <v>Baixar Xml</v>
      </c>
    </row>
    <row r="359" spans="1:17" x14ac:dyDescent="0.75">
      <c r="A359" s="5">
        <v>2168</v>
      </c>
      <c r="B359" s="55">
        <v>420</v>
      </c>
      <c r="C359" s="5" t="s">
        <v>4883</v>
      </c>
      <c r="D359" s="45" t="s">
        <v>1324</v>
      </c>
      <c r="E359" s="45" t="s">
        <v>1325</v>
      </c>
      <c r="F359" s="45" t="s">
        <v>1323</v>
      </c>
      <c r="G359" s="45" t="s">
        <v>1120</v>
      </c>
      <c r="H359" s="45" t="s">
        <v>1126</v>
      </c>
      <c r="I359" s="45" t="s">
        <v>1126</v>
      </c>
      <c r="J359" s="45" t="s">
        <v>4883</v>
      </c>
      <c r="K359" s="45" t="s">
        <v>5331</v>
      </c>
      <c r="L359" s="45" t="s">
        <v>1122</v>
      </c>
      <c r="M359" s="45"/>
      <c r="N359" s="45"/>
      <c r="O359" s="45" t="s">
        <v>1123</v>
      </c>
      <c r="P359" s="46" t="str">
        <f>HYPERLINK("https://cofre.sieg.com/ajax/danfe.aspx?nfe=26230120300157002193550010000021681412877144","Ver Danfe")</f>
        <v>Ver Danfe</v>
      </c>
      <c r="Q359" s="46" t="str">
        <f>HYPERLINK("https://cofre.sieg.com/ajax/xml.aspx?nfe=26230120300157002193550010000021681412877144","Baixar Xml")</f>
        <v>Baixar Xml</v>
      </c>
    </row>
    <row r="360" spans="1:17" x14ac:dyDescent="0.75">
      <c r="A360" s="5">
        <v>2219</v>
      </c>
      <c r="B360" s="55">
        <v>18.7</v>
      </c>
      <c r="C360" s="5" t="s">
        <v>4884</v>
      </c>
      <c r="D360" s="45" t="s">
        <v>1324</v>
      </c>
      <c r="E360" s="45" t="s">
        <v>1325</v>
      </c>
      <c r="F360" s="45" t="s">
        <v>1323</v>
      </c>
      <c r="G360" s="45" t="s">
        <v>1120</v>
      </c>
      <c r="H360" s="45" t="s">
        <v>1126</v>
      </c>
      <c r="I360" s="45" t="s">
        <v>1126</v>
      </c>
      <c r="J360" s="45" t="s">
        <v>4884</v>
      </c>
      <c r="K360" s="45" t="s">
        <v>5332</v>
      </c>
      <c r="L360" s="45" t="s">
        <v>1122</v>
      </c>
      <c r="M360" s="45" t="s">
        <v>1311</v>
      </c>
      <c r="N360" s="45" t="s">
        <v>1312</v>
      </c>
      <c r="O360" s="45" t="s">
        <v>1123</v>
      </c>
      <c r="P360" s="46" t="str">
        <f>HYPERLINK("https://cofre.sieg.com/ajax/danfe.aspx?nfe=26230120300157002193550010000022191648922730","Ver Danfe")</f>
        <v>Ver Danfe</v>
      </c>
      <c r="Q360" s="46" t="str">
        <f>HYPERLINK("https://cofre.sieg.com/ajax/xml.aspx?nfe=26230120300157002193550010000022191648922730","Baixar Xml")</f>
        <v>Baixar Xml</v>
      </c>
    </row>
    <row r="361" spans="1:17" x14ac:dyDescent="0.75">
      <c r="A361" s="5">
        <v>2220</v>
      </c>
      <c r="B361" s="55">
        <v>294.8</v>
      </c>
      <c r="C361" s="5" t="s">
        <v>4884</v>
      </c>
      <c r="D361" s="45" t="s">
        <v>1324</v>
      </c>
      <c r="E361" s="45" t="s">
        <v>1325</v>
      </c>
      <c r="F361" s="45" t="s">
        <v>1323</v>
      </c>
      <c r="G361" s="45" t="s">
        <v>1120</v>
      </c>
      <c r="H361" s="45" t="s">
        <v>1126</v>
      </c>
      <c r="I361" s="45" t="s">
        <v>1126</v>
      </c>
      <c r="J361" s="45" t="s">
        <v>4884</v>
      </c>
      <c r="K361" s="45" t="s">
        <v>5333</v>
      </c>
      <c r="L361" s="45" t="s">
        <v>1122</v>
      </c>
      <c r="M361" s="45" t="s">
        <v>1311</v>
      </c>
      <c r="N361" s="45" t="s">
        <v>1312</v>
      </c>
      <c r="O361" s="45" t="s">
        <v>1123</v>
      </c>
      <c r="P361" s="46" t="str">
        <f>HYPERLINK("https://cofre.sieg.com/ajax/danfe.aspx?nfe=26230120300157002193550010000022201430504348","Ver Danfe")</f>
        <v>Ver Danfe</v>
      </c>
      <c r="Q361" s="46" t="str">
        <f>HYPERLINK("https://cofre.sieg.com/ajax/xml.aspx?nfe=26230120300157002193550010000022201430504348","Baixar Xml")</f>
        <v>Baixar Xml</v>
      </c>
    </row>
    <row r="362" spans="1:17" x14ac:dyDescent="0.75">
      <c r="A362" s="5">
        <v>2233</v>
      </c>
      <c r="B362" s="55">
        <v>201.2</v>
      </c>
      <c r="C362" s="5" t="s">
        <v>4887</v>
      </c>
      <c r="D362" s="45" t="s">
        <v>1324</v>
      </c>
      <c r="E362" s="45" t="s">
        <v>1325</v>
      </c>
      <c r="F362" s="45" t="s">
        <v>1323</v>
      </c>
      <c r="G362" s="45" t="s">
        <v>1120</v>
      </c>
      <c r="H362" s="45" t="s">
        <v>1126</v>
      </c>
      <c r="I362" s="45" t="s">
        <v>1126</v>
      </c>
      <c r="J362" s="45" t="s">
        <v>4887</v>
      </c>
      <c r="K362" s="45" t="s">
        <v>5334</v>
      </c>
      <c r="L362" s="45" t="s">
        <v>1122</v>
      </c>
      <c r="M362" s="45" t="s">
        <v>1311</v>
      </c>
      <c r="N362" s="45" t="s">
        <v>1312</v>
      </c>
      <c r="O362" s="45" t="s">
        <v>1123</v>
      </c>
      <c r="P362" s="46" t="str">
        <f>HYPERLINK("https://cofre.sieg.com/ajax/danfe.aspx?nfe=26230120300157002193550010000022331763696720","Ver Danfe")</f>
        <v>Ver Danfe</v>
      </c>
      <c r="Q362" s="46" t="str">
        <f>HYPERLINK("https://cofre.sieg.com/ajax/xml.aspx?nfe=26230120300157002193550010000022331763696720","Baixar Xml")</f>
        <v>Baixar Xml</v>
      </c>
    </row>
    <row r="363" spans="1:17" x14ac:dyDescent="0.75">
      <c r="A363" s="5">
        <v>2234</v>
      </c>
      <c r="B363" s="55">
        <v>85</v>
      </c>
      <c r="C363" s="5" t="s">
        <v>4887</v>
      </c>
      <c r="D363" s="45" t="s">
        <v>1324</v>
      </c>
      <c r="E363" s="45" t="s">
        <v>1325</v>
      </c>
      <c r="F363" s="45" t="s">
        <v>1323</v>
      </c>
      <c r="G363" s="45" t="s">
        <v>1120</v>
      </c>
      <c r="H363" s="45" t="s">
        <v>1126</v>
      </c>
      <c r="I363" s="45" t="s">
        <v>1126</v>
      </c>
      <c r="J363" s="45" t="s">
        <v>4887</v>
      </c>
      <c r="K363" s="45" t="s">
        <v>5335</v>
      </c>
      <c r="L363" s="45" t="s">
        <v>1122</v>
      </c>
      <c r="M363" s="45"/>
      <c r="N363" s="45"/>
      <c r="O363" s="45" t="s">
        <v>1123</v>
      </c>
      <c r="P363" s="46" t="str">
        <f>HYPERLINK("https://cofre.sieg.com/ajax/danfe.aspx?nfe=26230120300157002193550010000022341902030242","Ver Danfe")</f>
        <v>Ver Danfe</v>
      </c>
      <c r="Q363" s="46" t="str">
        <f>HYPERLINK("https://cofre.sieg.com/ajax/xml.aspx?nfe=26230120300157002193550010000022341902030242","Baixar Xml")</f>
        <v>Baixar Xml</v>
      </c>
    </row>
    <row r="364" spans="1:17" x14ac:dyDescent="0.75">
      <c r="A364" s="5">
        <v>2282</v>
      </c>
      <c r="B364" s="55">
        <v>33.4</v>
      </c>
      <c r="C364" s="5" t="s">
        <v>4891</v>
      </c>
      <c r="D364" s="45" t="s">
        <v>1324</v>
      </c>
      <c r="E364" s="45" t="s">
        <v>1325</v>
      </c>
      <c r="F364" s="45" t="s">
        <v>1323</v>
      </c>
      <c r="G364" s="45" t="s">
        <v>1120</v>
      </c>
      <c r="H364" s="45" t="s">
        <v>1126</v>
      </c>
      <c r="I364" s="45" t="s">
        <v>1126</v>
      </c>
      <c r="J364" s="45" t="s">
        <v>4891</v>
      </c>
      <c r="K364" s="45" t="s">
        <v>5336</v>
      </c>
      <c r="L364" s="45" t="s">
        <v>1122</v>
      </c>
      <c r="M364" s="45" t="s">
        <v>1311</v>
      </c>
      <c r="N364" s="45" t="s">
        <v>1312</v>
      </c>
      <c r="O364" s="45" t="s">
        <v>1123</v>
      </c>
      <c r="P364" s="46" t="str">
        <f>HYPERLINK("https://cofre.sieg.com/ajax/danfe.aspx?nfe=26230120300157002193550010000022821268042294","Ver Danfe")</f>
        <v>Ver Danfe</v>
      </c>
      <c r="Q364" s="46" t="str">
        <f>HYPERLINK("https://cofre.sieg.com/ajax/xml.aspx?nfe=26230120300157002193550010000022821268042294","Baixar Xml")</f>
        <v>Baixar Xml</v>
      </c>
    </row>
    <row r="365" spans="1:17" x14ac:dyDescent="0.75">
      <c r="A365" s="5">
        <v>2283</v>
      </c>
      <c r="B365" s="55">
        <v>66.8</v>
      </c>
      <c r="C365" s="5" t="s">
        <v>4891</v>
      </c>
      <c r="D365" s="45" t="s">
        <v>1324</v>
      </c>
      <c r="E365" s="45" t="s">
        <v>1325</v>
      </c>
      <c r="F365" s="45" t="s">
        <v>1323</v>
      </c>
      <c r="G365" s="45" t="s">
        <v>1120</v>
      </c>
      <c r="H365" s="45" t="s">
        <v>1126</v>
      </c>
      <c r="I365" s="45" t="s">
        <v>1126</v>
      </c>
      <c r="J365" s="45" t="s">
        <v>4891</v>
      </c>
      <c r="K365" s="45" t="s">
        <v>5337</v>
      </c>
      <c r="L365" s="45" t="s">
        <v>1122</v>
      </c>
      <c r="M365" s="45" t="s">
        <v>1311</v>
      </c>
      <c r="N365" s="45" t="s">
        <v>1312</v>
      </c>
      <c r="O365" s="45" t="s">
        <v>1123</v>
      </c>
      <c r="P365" s="46" t="str">
        <f>HYPERLINK("https://cofre.sieg.com/ajax/danfe.aspx?nfe=26230120300157002193550010000022831498003247","Ver Danfe")</f>
        <v>Ver Danfe</v>
      </c>
      <c r="Q365" s="46" t="str">
        <f>HYPERLINK("https://cofre.sieg.com/ajax/xml.aspx?nfe=26230120300157002193550010000022831498003247","Baixar Xml")</f>
        <v>Baixar Xml</v>
      </c>
    </row>
    <row r="366" spans="1:17" x14ac:dyDescent="0.75">
      <c r="A366" s="5">
        <v>2294</v>
      </c>
      <c r="B366" s="55">
        <v>214.5</v>
      </c>
      <c r="C366" s="5" t="s">
        <v>4899</v>
      </c>
      <c r="D366" s="45" t="s">
        <v>1324</v>
      </c>
      <c r="E366" s="45" t="s">
        <v>1325</v>
      </c>
      <c r="F366" s="45" t="s">
        <v>1323</v>
      </c>
      <c r="G366" s="45" t="s">
        <v>1120</v>
      </c>
      <c r="H366" s="45" t="s">
        <v>1126</v>
      </c>
      <c r="I366" s="45" t="s">
        <v>1126</v>
      </c>
      <c r="J366" s="45" t="s">
        <v>4899</v>
      </c>
      <c r="K366" s="45" t="s">
        <v>5338</v>
      </c>
      <c r="L366" s="45" t="s">
        <v>1122</v>
      </c>
      <c r="M366" s="45" t="s">
        <v>1311</v>
      </c>
      <c r="N366" s="45" t="s">
        <v>1312</v>
      </c>
      <c r="O366" s="45" t="s">
        <v>1123</v>
      </c>
      <c r="P366" s="46" t="str">
        <f>HYPERLINK("https://cofre.sieg.com/ajax/danfe.aspx?nfe=26230120300157002193550010000022941552800433","Ver Danfe")</f>
        <v>Ver Danfe</v>
      </c>
      <c r="Q366" s="46" t="str">
        <f>HYPERLINK("https://cofre.sieg.com/ajax/xml.aspx?nfe=26230120300157002193550010000022941552800433","Baixar Xml")</f>
        <v>Baixar Xml</v>
      </c>
    </row>
    <row r="367" spans="1:17" x14ac:dyDescent="0.75">
      <c r="A367" s="5">
        <v>2343</v>
      </c>
      <c r="B367" s="55">
        <v>3.6</v>
      </c>
      <c r="C367" s="5" t="s">
        <v>4900</v>
      </c>
      <c r="D367" s="45" t="s">
        <v>1324</v>
      </c>
      <c r="E367" s="45" t="s">
        <v>1325</v>
      </c>
      <c r="F367" s="45" t="s">
        <v>1323</v>
      </c>
      <c r="G367" s="45" t="s">
        <v>1120</v>
      </c>
      <c r="H367" s="45" t="s">
        <v>1126</v>
      </c>
      <c r="I367" s="45" t="s">
        <v>1126</v>
      </c>
      <c r="J367" s="45" t="s">
        <v>4900</v>
      </c>
      <c r="K367" s="45" t="s">
        <v>5339</v>
      </c>
      <c r="L367" s="45" t="s">
        <v>1122</v>
      </c>
      <c r="M367" s="45"/>
      <c r="N367" s="45"/>
      <c r="O367" s="45" t="s">
        <v>1123</v>
      </c>
      <c r="P367" s="46" t="str">
        <f>HYPERLINK("https://cofre.sieg.com/ajax/danfe.aspx?nfe=26230120300157002193550010000023431141788304","Ver Danfe")</f>
        <v>Ver Danfe</v>
      </c>
      <c r="Q367" s="46" t="str">
        <f>HYPERLINK("https://cofre.sieg.com/ajax/xml.aspx?nfe=26230120300157002193550010000023431141788304","Baixar Xml")</f>
        <v>Baixar Xml</v>
      </c>
    </row>
    <row r="368" spans="1:17" x14ac:dyDescent="0.75">
      <c r="A368" s="5">
        <v>2344</v>
      </c>
      <c r="B368" s="55">
        <v>11.9</v>
      </c>
      <c r="C368" s="5" t="s">
        <v>4900</v>
      </c>
      <c r="D368" s="45" t="s">
        <v>1324</v>
      </c>
      <c r="E368" s="45" t="s">
        <v>1325</v>
      </c>
      <c r="F368" s="45" t="s">
        <v>1323</v>
      </c>
      <c r="G368" s="45" t="s">
        <v>1120</v>
      </c>
      <c r="H368" s="45" t="s">
        <v>1126</v>
      </c>
      <c r="I368" s="45" t="s">
        <v>1126</v>
      </c>
      <c r="J368" s="45" t="s">
        <v>4900</v>
      </c>
      <c r="K368" s="45" t="s">
        <v>5340</v>
      </c>
      <c r="L368" s="45" t="s">
        <v>1122</v>
      </c>
      <c r="M368" s="45"/>
      <c r="N368" s="45"/>
      <c r="O368" s="45" t="s">
        <v>1123</v>
      </c>
      <c r="P368" s="46" t="str">
        <f>HYPERLINK("https://cofre.sieg.com/ajax/danfe.aspx?nfe=26230120300157002193550010000023441838653150","Ver Danfe")</f>
        <v>Ver Danfe</v>
      </c>
      <c r="Q368" s="46" t="str">
        <f>HYPERLINK("https://cofre.sieg.com/ajax/xml.aspx?nfe=26230120300157002193550010000023441838653150","Baixar Xml")</f>
        <v>Baixar Xml</v>
      </c>
    </row>
    <row r="369" spans="1:17" x14ac:dyDescent="0.75">
      <c r="A369" s="5">
        <v>2345</v>
      </c>
      <c r="B369" s="55">
        <v>69.7</v>
      </c>
      <c r="C369" s="5" t="s">
        <v>4900</v>
      </c>
      <c r="D369" s="45" t="s">
        <v>1324</v>
      </c>
      <c r="E369" s="45" t="s">
        <v>1325</v>
      </c>
      <c r="F369" s="45" t="s">
        <v>1323</v>
      </c>
      <c r="G369" s="45" t="s">
        <v>1120</v>
      </c>
      <c r="H369" s="45" t="s">
        <v>1126</v>
      </c>
      <c r="I369" s="45" t="s">
        <v>1126</v>
      </c>
      <c r="J369" s="45" t="s">
        <v>4900</v>
      </c>
      <c r="K369" s="45" t="s">
        <v>5341</v>
      </c>
      <c r="L369" s="45" t="s">
        <v>1122</v>
      </c>
      <c r="M369" s="45"/>
      <c r="N369" s="45"/>
      <c r="O369" s="45" t="s">
        <v>1123</v>
      </c>
      <c r="P369" s="46" t="str">
        <f>HYPERLINK("https://cofre.sieg.com/ajax/danfe.aspx?nfe=26230120300157002193550010000023451929312841","Ver Danfe")</f>
        <v>Ver Danfe</v>
      </c>
      <c r="Q369" s="46" t="str">
        <f>HYPERLINK("https://cofre.sieg.com/ajax/xml.aspx?nfe=26230120300157002193550010000023451929312841","Baixar Xml")</f>
        <v>Baixar Xml</v>
      </c>
    </row>
    <row r="370" spans="1:17" x14ac:dyDescent="0.75">
      <c r="A370" s="5">
        <v>2346</v>
      </c>
      <c r="B370" s="55">
        <v>35.4</v>
      </c>
      <c r="C370" s="5" t="s">
        <v>4900</v>
      </c>
      <c r="D370" s="45" t="s">
        <v>1324</v>
      </c>
      <c r="E370" s="45" t="s">
        <v>1325</v>
      </c>
      <c r="F370" s="45" t="s">
        <v>1323</v>
      </c>
      <c r="G370" s="45" t="s">
        <v>1120</v>
      </c>
      <c r="H370" s="45" t="s">
        <v>1126</v>
      </c>
      <c r="I370" s="45" t="s">
        <v>1126</v>
      </c>
      <c r="J370" s="45" t="s">
        <v>4900</v>
      </c>
      <c r="K370" s="45" t="s">
        <v>5342</v>
      </c>
      <c r="L370" s="45" t="s">
        <v>1122</v>
      </c>
      <c r="M370" s="45"/>
      <c r="N370" s="45"/>
      <c r="O370" s="45" t="s">
        <v>1123</v>
      </c>
      <c r="P370" s="46" t="str">
        <f>HYPERLINK("https://cofre.sieg.com/ajax/danfe.aspx?nfe=26230120300157002193550010000023461585484261","Ver Danfe")</f>
        <v>Ver Danfe</v>
      </c>
      <c r="Q370" s="46" t="str">
        <f>HYPERLINK("https://cofre.sieg.com/ajax/xml.aspx?nfe=26230120300157002193550010000023461585484261","Baixar Xml")</f>
        <v>Baixar Xml</v>
      </c>
    </row>
    <row r="371" spans="1:17" x14ac:dyDescent="0.75">
      <c r="A371" s="5">
        <v>2347</v>
      </c>
      <c r="B371" s="55">
        <v>75.099999999999994</v>
      </c>
      <c r="C371" s="5" t="s">
        <v>4900</v>
      </c>
      <c r="D371" s="45" t="s">
        <v>1324</v>
      </c>
      <c r="E371" s="45" t="s">
        <v>1325</v>
      </c>
      <c r="F371" s="45" t="s">
        <v>1323</v>
      </c>
      <c r="G371" s="45" t="s">
        <v>1120</v>
      </c>
      <c r="H371" s="45" t="s">
        <v>1126</v>
      </c>
      <c r="I371" s="45" t="s">
        <v>1126</v>
      </c>
      <c r="J371" s="45" t="s">
        <v>4900</v>
      </c>
      <c r="K371" s="45" t="s">
        <v>5343</v>
      </c>
      <c r="L371" s="45" t="s">
        <v>1122</v>
      </c>
      <c r="M371" s="45" t="s">
        <v>1311</v>
      </c>
      <c r="N371" s="45" t="s">
        <v>1312</v>
      </c>
      <c r="O371" s="45" t="s">
        <v>1123</v>
      </c>
      <c r="P371" s="46" t="str">
        <f>HYPERLINK("https://cofre.sieg.com/ajax/danfe.aspx?nfe=26230120300157002193550010000023471732860278","Ver Danfe")</f>
        <v>Ver Danfe</v>
      </c>
      <c r="Q371" s="46" t="str">
        <f>HYPERLINK("https://cofre.sieg.com/ajax/xml.aspx?nfe=26230120300157002193550010000023471732860278","Baixar Xml")</f>
        <v>Baixar Xml</v>
      </c>
    </row>
    <row r="372" spans="1:17" x14ac:dyDescent="0.75">
      <c r="A372" s="5">
        <v>2362</v>
      </c>
      <c r="B372" s="55">
        <v>54.3</v>
      </c>
      <c r="C372" s="5" t="s">
        <v>4907</v>
      </c>
      <c r="D372" s="45" t="s">
        <v>1324</v>
      </c>
      <c r="E372" s="45" t="s">
        <v>1325</v>
      </c>
      <c r="F372" s="45" t="s">
        <v>1323</v>
      </c>
      <c r="G372" s="45" t="s">
        <v>1120</v>
      </c>
      <c r="H372" s="45" t="s">
        <v>1126</v>
      </c>
      <c r="I372" s="45" t="s">
        <v>1126</v>
      </c>
      <c r="J372" s="45" t="s">
        <v>4907</v>
      </c>
      <c r="K372" s="45" t="s">
        <v>5344</v>
      </c>
      <c r="L372" s="45" t="s">
        <v>1122</v>
      </c>
      <c r="M372" s="45"/>
      <c r="N372" s="45"/>
      <c r="O372" s="45" t="s">
        <v>1123</v>
      </c>
      <c r="P372" s="46" t="str">
        <f>HYPERLINK("https://cofre.sieg.com/ajax/danfe.aspx?nfe=26230120300157002193550010000023621131310610","Ver Danfe")</f>
        <v>Ver Danfe</v>
      </c>
      <c r="Q372" s="46" t="str">
        <f>HYPERLINK("https://cofre.sieg.com/ajax/xml.aspx?nfe=26230120300157002193550010000023621131310610","Baixar Xml")</f>
        <v>Baixar Xml</v>
      </c>
    </row>
    <row r="373" spans="1:17" x14ac:dyDescent="0.75">
      <c r="A373" s="5">
        <v>2395</v>
      </c>
      <c r="B373" s="55">
        <v>17.2</v>
      </c>
      <c r="C373" s="5" t="s">
        <v>4912</v>
      </c>
      <c r="D373" s="45" t="s">
        <v>1324</v>
      </c>
      <c r="E373" s="45" t="s">
        <v>1325</v>
      </c>
      <c r="F373" s="45" t="s">
        <v>1323</v>
      </c>
      <c r="G373" s="45" t="s">
        <v>1120</v>
      </c>
      <c r="H373" s="45" t="s">
        <v>1126</v>
      </c>
      <c r="I373" s="45" t="s">
        <v>1126</v>
      </c>
      <c r="J373" s="45" t="s">
        <v>4912</v>
      </c>
      <c r="K373" s="45" t="s">
        <v>5345</v>
      </c>
      <c r="L373" s="45" t="s">
        <v>1122</v>
      </c>
      <c r="M373" s="45"/>
      <c r="N373" s="45"/>
      <c r="O373" s="45" t="s">
        <v>1123</v>
      </c>
      <c r="P373" s="46" t="str">
        <f>HYPERLINK("https://cofre.sieg.com/ajax/danfe.aspx?nfe=26230120300157002193550010000023951358298119","Ver Danfe")</f>
        <v>Ver Danfe</v>
      </c>
      <c r="Q373" s="46" t="str">
        <f>HYPERLINK("https://cofre.sieg.com/ajax/xml.aspx?nfe=26230120300157002193550010000023951358298119","Baixar Xml")</f>
        <v>Baixar Xml</v>
      </c>
    </row>
    <row r="374" spans="1:17" x14ac:dyDescent="0.75">
      <c r="A374" s="5">
        <v>2396</v>
      </c>
      <c r="B374" s="55">
        <v>15</v>
      </c>
      <c r="C374" s="5" t="s">
        <v>4912</v>
      </c>
      <c r="D374" s="45" t="s">
        <v>1324</v>
      </c>
      <c r="E374" s="45" t="s">
        <v>1325</v>
      </c>
      <c r="F374" s="45" t="s">
        <v>1323</v>
      </c>
      <c r="G374" s="45" t="s">
        <v>1120</v>
      </c>
      <c r="H374" s="45" t="s">
        <v>1126</v>
      </c>
      <c r="I374" s="45" t="s">
        <v>1126</v>
      </c>
      <c r="J374" s="45" t="s">
        <v>4912</v>
      </c>
      <c r="K374" s="45" t="s">
        <v>5346</v>
      </c>
      <c r="L374" s="45" t="s">
        <v>1122</v>
      </c>
      <c r="M374" s="45"/>
      <c r="N374" s="45"/>
      <c r="O374" s="45" t="s">
        <v>1123</v>
      </c>
      <c r="P374" s="46" t="str">
        <f>HYPERLINK("https://cofre.sieg.com/ajax/danfe.aspx?nfe=26230120300157002193550010000023961959742142","Ver Danfe")</f>
        <v>Ver Danfe</v>
      </c>
      <c r="Q374" s="46" t="str">
        <f>HYPERLINK("https://cofre.sieg.com/ajax/xml.aspx?nfe=26230120300157002193550010000023961959742142","Baixar Xml")</f>
        <v>Baixar Xml</v>
      </c>
    </row>
    <row r="375" spans="1:17" x14ac:dyDescent="0.75">
      <c r="A375" s="5">
        <v>2397</v>
      </c>
      <c r="B375" s="55">
        <v>231</v>
      </c>
      <c r="C375" s="5" t="s">
        <v>4912</v>
      </c>
      <c r="D375" s="45" t="s">
        <v>1324</v>
      </c>
      <c r="E375" s="45" t="s">
        <v>1325</v>
      </c>
      <c r="F375" s="45" t="s">
        <v>1323</v>
      </c>
      <c r="G375" s="45" t="s">
        <v>1120</v>
      </c>
      <c r="H375" s="45" t="s">
        <v>1126</v>
      </c>
      <c r="I375" s="45" t="s">
        <v>1126</v>
      </c>
      <c r="J375" s="45" t="s">
        <v>4912</v>
      </c>
      <c r="K375" s="45" t="s">
        <v>5347</v>
      </c>
      <c r="L375" s="45" t="s">
        <v>1122</v>
      </c>
      <c r="M375" s="45"/>
      <c r="N375" s="45"/>
      <c r="O375" s="45" t="s">
        <v>1123</v>
      </c>
      <c r="P375" s="46" t="str">
        <f>HYPERLINK("https://cofre.sieg.com/ajax/danfe.aspx?nfe=26230120300157002193550010000023971772347263","Ver Danfe")</f>
        <v>Ver Danfe</v>
      </c>
      <c r="Q375" s="46" t="str">
        <f>HYPERLINK("https://cofre.sieg.com/ajax/xml.aspx?nfe=26230120300157002193550010000023971772347263","Baixar Xml")</f>
        <v>Baixar Xml</v>
      </c>
    </row>
    <row r="376" spans="1:17" x14ac:dyDescent="0.75">
      <c r="A376" s="5">
        <v>2401</v>
      </c>
      <c r="B376" s="55">
        <v>13.1</v>
      </c>
      <c r="C376" s="5" t="s">
        <v>4912</v>
      </c>
      <c r="D376" s="45" t="s">
        <v>1324</v>
      </c>
      <c r="E376" s="45" t="s">
        <v>1325</v>
      </c>
      <c r="F376" s="45" t="s">
        <v>1323</v>
      </c>
      <c r="G376" s="45" t="s">
        <v>1120</v>
      </c>
      <c r="H376" s="45" t="s">
        <v>1126</v>
      </c>
      <c r="I376" s="45" t="s">
        <v>1126</v>
      </c>
      <c r="J376" s="45" t="s">
        <v>4912</v>
      </c>
      <c r="K376" s="45" t="s">
        <v>5348</v>
      </c>
      <c r="L376" s="45" t="s">
        <v>1122</v>
      </c>
      <c r="M376" s="45"/>
      <c r="N376" s="45"/>
      <c r="O376" s="45" t="s">
        <v>1123</v>
      </c>
      <c r="P376" s="46" t="str">
        <f>HYPERLINK("https://cofre.sieg.com/ajax/danfe.aspx?nfe=26230120300157002193550010000024011900226697","Ver Danfe")</f>
        <v>Ver Danfe</v>
      </c>
      <c r="Q376" s="46" t="str">
        <f>HYPERLINK("https://cofre.sieg.com/ajax/xml.aspx?nfe=26230120300157002193550010000024011900226697","Baixar Xml")</f>
        <v>Baixar Xml</v>
      </c>
    </row>
    <row r="377" spans="1:17" x14ac:dyDescent="0.75">
      <c r="A377" s="5">
        <v>2427</v>
      </c>
      <c r="B377" s="55">
        <v>230.5</v>
      </c>
      <c r="C377" s="5" t="s">
        <v>4919</v>
      </c>
      <c r="D377" s="45" t="s">
        <v>1324</v>
      </c>
      <c r="E377" s="45" t="s">
        <v>1325</v>
      </c>
      <c r="F377" s="45" t="s">
        <v>1323</v>
      </c>
      <c r="G377" s="45" t="s">
        <v>1120</v>
      </c>
      <c r="H377" s="45" t="s">
        <v>1126</v>
      </c>
      <c r="I377" s="45" t="s">
        <v>1126</v>
      </c>
      <c r="J377" s="45" t="s">
        <v>4919</v>
      </c>
      <c r="K377" s="45" t="s">
        <v>5349</v>
      </c>
      <c r="L377" s="45" t="s">
        <v>1122</v>
      </c>
      <c r="M377" s="45" t="s">
        <v>1311</v>
      </c>
      <c r="N377" s="45" t="s">
        <v>1312</v>
      </c>
      <c r="O377" s="45" t="s">
        <v>1123</v>
      </c>
      <c r="P377" s="46" t="str">
        <f>HYPERLINK("https://cofre.sieg.com/ajax/danfe.aspx?nfe=26230120300157002193550010000024271114910341","Ver Danfe")</f>
        <v>Ver Danfe</v>
      </c>
      <c r="Q377" s="46" t="str">
        <f>HYPERLINK("https://cofre.sieg.com/ajax/xml.aspx?nfe=26230120300157002193550010000024271114910341","Baixar Xml")</f>
        <v>Baixar Xml</v>
      </c>
    </row>
    <row r="378" spans="1:17" x14ac:dyDescent="0.75">
      <c r="A378" s="5">
        <v>2428</v>
      </c>
      <c r="B378" s="55">
        <v>6.2</v>
      </c>
      <c r="C378" s="5" t="s">
        <v>4919</v>
      </c>
      <c r="D378" s="45" t="s">
        <v>1324</v>
      </c>
      <c r="E378" s="45" t="s">
        <v>1325</v>
      </c>
      <c r="F378" s="45" t="s">
        <v>1323</v>
      </c>
      <c r="G378" s="45" t="s">
        <v>1120</v>
      </c>
      <c r="H378" s="45" t="s">
        <v>1126</v>
      </c>
      <c r="I378" s="45" t="s">
        <v>1126</v>
      </c>
      <c r="J378" s="45" t="s">
        <v>4919</v>
      </c>
      <c r="K378" s="45" t="s">
        <v>5350</v>
      </c>
      <c r="L378" s="45" t="s">
        <v>1122</v>
      </c>
      <c r="M378" s="45" t="s">
        <v>1311</v>
      </c>
      <c r="N378" s="45" t="s">
        <v>1312</v>
      </c>
      <c r="O378" s="45" t="s">
        <v>1123</v>
      </c>
      <c r="P378" s="46" t="str">
        <f>HYPERLINK("https://cofre.sieg.com/ajax/danfe.aspx?nfe=26230120300157002193550010000024281543485704","Ver Danfe")</f>
        <v>Ver Danfe</v>
      </c>
      <c r="Q378" s="46" t="str">
        <f>HYPERLINK("https://cofre.sieg.com/ajax/xml.aspx?nfe=26230120300157002193550010000024281543485704","Baixar Xml")</f>
        <v>Baixar Xml</v>
      </c>
    </row>
    <row r="379" spans="1:17" x14ac:dyDescent="0.75">
      <c r="A379" s="5">
        <v>2429</v>
      </c>
      <c r="B379" s="55">
        <v>110.3</v>
      </c>
      <c r="C379" s="5" t="s">
        <v>4919</v>
      </c>
      <c r="D379" s="45" t="s">
        <v>1324</v>
      </c>
      <c r="E379" s="45" t="s">
        <v>1325</v>
      </c>
      <c r="F379" s="45" t="s">
        <v>1323</v>
      </c>
      <c r="G379" s="45" t="s">
        <v>1120</v>
      </c>
      <c r="H379" s="45" t="s">
        <v>1126</v>
      </c>
      <c r="I379" s="45" t="s">
        <v>1126</v>
      </c>
      <c r="J379" s="45" t="s">
        <v>4919</v>
      </c>
      <c r="K379" s="45" t="s">
        <v>5351</v>
      </c>
      <c r="L379" s="45" t="s">
        <v>1122</v>
      </c>
      <c r="M379" s="45" t="s">
        <v>1311</v>
      </c>
      <c r="N379" s="45" t="s">
        <v>1312</v>
      </c>
      <c r="O379" s="45" t="s">
        <v>1123</v>
      </c>
      <c r="P379" s="46" t="str">
        <f>HYPERLINK("https://cofre.sieg.com/ajax/danfe.aspx?nfe=26230120300157002193550010000024291079086255","Ver Danfe")</f>
        <v>Ver Danfe</v>
      </c>
      <c r="Q379" s="46" t="str">
        <f>HYPERLINK("https://cofre.sieg.com/ajax/xml.aspx?nfe=26230120300157002193550010000024291079086255","Baixar Xml")</f>
        <v>Baixar Xml</v>
      </c>
    </row>
    <row r="380" spans="1:17" x14ac:dyDescent="0.75">
      <c r="A380" s="5">
        <v>2456</v>
      </c>
      <c r="B380" s="55">
        <v>17.2</v>
      </c>
      <c r="C380" s="5" t="s">
        <v>4923</v>
      </c>
      <c r="D380" s="45" t="s">
        <v>1324</v>
      </c>
      <c r="E380" s="45" t="s">
        <v>1325</v>
      </c>
      <c r="F380" s="45" t="s">
        <v>1323</v>
      </c>
      <c r="G380" s="45" t="s">
        <v>1120</v>
      </c>
      <c r="H380" s="45" t="s">
        <v>1126</v>
      </c>
      <c r="I380" s="45" t="s">
        <v>1126</v>
      </c>
      <c r="J380" s="45" t="s">
        <v>4923</v>
      </c>
      <c r="K380" s="45" t="s">
        <v>5352</v>
      </c>
      <c r="L380" s="45" t="s">
        <v>1122</v>
      </c>
      <c r="M380" s="45" t="s">
        <v>1311</v>
      </c>
      <c r="N380" s="45" t="s">
        <v>1312</v>
      </c>
      <c r="O380" s="45" t="s">
        <v>1123</v>
      </c>
      <c r="P380" s="46" t="str">
        <f>HYPERLINK("https://cofre.sieg.com/ajax/danfe.aspx?nfe=26230120300157002193550010000024561858785857","Ver Danfe")</f>
        <v>Ver Danfe</v>
      </c>
      <c r="Q380" s="46" t="str">
        <f>HYPERLINK("https://cofre.sieg.com/ajax/xml.aspx?nfe=26230120300157002193550010000024561858785857","Baixar Xml")</f>
        <v>Baixar Xml</v>
      </c>
    </row>
    <row r="381" spans="1:17" x14ac:dyDescent="0.75">
      <c r="A381" s="5">
        <v>2457</v>
      </c>
      <c r="B381" s="55">
        <v>143.30000000000001</v>
      </c>
      <c r="C381" s="5" t="s">
        <v>4923</v>
      </c>
      <c r="D381" s="45" t="s">
        <v>1324</v>
      </c>
      <c r="E381" s="45" t="s">
        <v>1325</v>
      </c>
      <c r="F381" s="45" t="s">
        <v>1323</v>
      </c>
      <c r="G381" s="45" t="s">
        <v>1120</v>
      </c>
      <c r="H381" s="45" t="s">
        <v>1126</v>
      </c>
      <c r="I381" s="45" t="s">
        <v>1126</v>
      </c>
      <c r="J381" s="45" t="s">
        <v>4923</v>
      </c>
      <c r="K381" s="45" t="s">
        <v>5353</v>
      </c>
      <c r="L381" s="45" t="s">
        <v>1122</v>
      </c>
      <c r="M381" s="45" t="s">
        <v>1311</v>
      </c>
      <c r="N381" s="45" t="s">
        <v>1312</v>
      </c>
      <c r="O381" s="45" t="s">
        <v>1123</v>
      </c>
      <c r="P381" s="46" t="str">
        <f>HYPERLINK("https://cofre.sieg.com/ajax/danfe.aspx?nfe=26230120300157002193550010000024571505558122","Ver Danfe")</f>
        <v>Ver Danfe</v>
      </c>
      <c r="Q381" s="46" t="str">
        <f>HYPERLINK("https://cofre.sieg.com/ajax/xml.aspx?nfe=26230120300157002193550010000024571505558122","Baixar Xml")</f>
        <v>Baixar Xml</v>
      </c>
    </row>
    <row r="382" spans="1:17" x14ac:dyDescent="0.75">
      <c r="A382" s="5">
        <v>2494</v>
      </c>
      <c r="B382" s="55">
        <v>28</v>
      </c>
      <c r="C382" s="5" t="s">
        <v>4930</v>
      </c>
      <c r="D382" s="45" t="s">
        <v>1324</v>
      </c>
      <c r="E382" s="45" t="s">
        <v>1325</v>
      </c>
      <c r="F382" s="45" t="s">
        <v>1323</v>
      </c>
      <c r="G382" s="45" t="s">
        <v>1120</v>
      </c>
      <c r="H382" s="45" t="s">
        <v>1126</v>
      </c>
      <c r="I382" s="45" t="s">
        <v>1126</v>
      </c>
      <c r="J382" s="45" t="s">
        <v>4930</v>
      </c>
      <c r="K382" s="45" t="s">
        <v>5354</v>
      </c>
      <c r="L382" s="45" t="s">
        <v>1122</v>
      </c>
      <c r="M382" s="45"/>
      <c r="N382" s="45"/>
      <c r="O382" s="45" t="s">
        <v>1123</v>
      </c>
      <c r="P382" s="46" t="str">
        <f>HYPERLINK("https://cofre.sieg.com/ajax/danfe.aspx?nfe=26230120300157002193550010000024941909827307","Ver Danfe")</f>
        <v>Ver Danfe</v>
      </c>
      <c r="Q382" s="46" t="str">
        <f>HYPERLINK("https://cofre.sieg.com/ajax/xml.aspx?nfe=26230120300157002193550010000024941909827307","Baixar Xml")</f>
        <v>Baixar Xml</v>
      </c>
    </row>
    <row r="383" spans="1:17" x14ac:dyDescent="0.75">
      <c r="A383" s="5">
        <v>2495</v>
      </c>
      <c r="B383" s="55">
        <v>130.9</v>
      </c>
      <c r="C383" s="5" t="s">
        <v>4930</v>
      </c>
      <c r="D383" s="45" t="s">
        <v>1324</v>
      </c>
      <c r="E383" s="45" t="s">
        <v>1325</v>
      </c>
      <c r="F383" s="45" t="s">
        <v>1323</v>
      </c>
      <c r="G383" s="45" t="s">
        <v>1120</v>
      </c>
      <c r="H383" s="45" t="s">
        <v>1126</v>
      </c>
      <c r="I383" s="45" t="s">
        <v>1126</v>
      </c>
      <c r="J383" s="45" t="s">
        <v>4930</v>
      </c>
      <c r="K383" s="45" t="s">
        <v>5355</v>
      </c>
      <c r="L383" s="45" t="s">
        <v>1122</v>
      </c>
      <c r="M383" s="45"/>
      <c r="N383" s="45"/>
      <c r="O383" s="45" t="s">
        <v>1123</v>
      </c>
      <c r="P383" s="46" t="str">
        <f>HYPERLINK("https://cofre.sieg.com/ajax/danfe.aspx?nfe=26230120300157002193550010000024951575536137","Ver Danfe")</f>
        <v>Ver Danfe</v>
      </c>
      <c r="Q383" s="46" t="str">
        <f>HYPERLINK("https://cofre.sieg.com/ajax/xml.aspx?nfe=26230120300157002193550010000024951575536137","Baixar Xml")</f>
        <v>Baixar Xml</v>
      </c>
    </row>
    <row r="384" spans="1:17" x14ac:dyDescent="0.75">
      <c r="A384" s="5">
        <v>2514</v>
      </c>
      <c r="B384" s="55">
        <v>75.2</v>
      </c>
      <c r="C384" s="5" t="s">
        <v>4937</v>
      </c>
      <c r="D384" s="45" t="s">
        <v>1324</v>
      </c>
      <c r="E384" s="45" t="s">
        <v>1325</v>
      </c>
      <c r="F384" s="45" t="s">
        <v>1323</v>
      </c>
      <c r="G384" s="45" t="s">
        <v>1120</v>
      </c>
      <c r="H384" s="45" t="s">
        <v>1126</v>
      </c>
      <c r="I384" s="45" t="s">
        <v>1126</v>
      </c>
      <c r="J384" s="45" t="s">
        <v>4937</v>
      </c>
      <c r="K384" s="45" t="s">
        <v>5356</v>
      </c>
      <c r="L384" s="45" t="s">
        <v>1122</v>
      </c>
      <c r="M384" s="45" t="s">
        <v>1311</v>
      </c>
      <c r="N384" s="45" t="s">
        <v>1312</v>
      </c>
      <c r="O384" s="45" t="s">
        <v>1123</v>
      </c>
      <c r="P384" s="46" t="str">
        <f>HYPERLINK("https://cofre.sieg.com/ajax/danfe.aspx?nfe=26230120300157002193550010000025141178637252","Ver Danfe")</f>
        <v>Ver Danfe</v>
      </c>
      <c r="Q384" s="46" t="str">
        <f>HYPERLINK("https://cofre.sieg.com/ajax/xml.aspx?nfe=26230120300157002193550010000025141178637252","Baixar Xml")</f>
        <v>Baixar Xml</v>
      </c>
    </row>
    <row r="385" spans="1:17" x14ac:dyDescent="0.75">
      <c r="A385" s="5">
        <v>2515</v>
      </c>
      <c r="B385" s="55">
        <v>25.4</v>
      </c>
      <c r="C385" s="5" t="s">
        <v>4937</v>
      </c>
      <c r="D385" s="45" t="s">
        <v>1324</v>
      </c>
      <c r="E385" s="45" t="s">
        <v>1325</v>
      </c>
      <c r="F385" s="45" t="s">
        <v>1323</v>
      </c>
      <c r="G385" s="45" t="s">
        <v>1120</v>
      </c>
      <c r="H385" s="45" t="s">
        <v>1126</v>
      </c>
      <c r="I385" s="45" t="s">
        <v>1126</v>
      </c>
      <c r="J385" s="45" t="s">
        <v>4937</v>
      </c>
      <c r="K385" s="45" t="s">
        <v>5357</v>
      </c>
      <c r="L385" s="45" t="s">
        <v>1122</v>
      </c>
      <c r="M385" s="45" t="s">
        <v>1311</v>
      </c>
      <c r="N385" s="45" t="s">
        <v>1312</v>
      </c>
      <c r="O385" s="45" t="s">
        <v>1123</v>
      </c>
      <c r="P385" s="46" t="str">
        <f>HYPERLINK("https://cofre.sieg.com/ajax/danfe.aspx?nfe=26230120300157002193550010000025151311620294","Ver Danfe")</f>
        <v>Ver Danfe</v>
      </c>
      <c r="Q385" s="46" t="str">
        <f>HYPERLINK("https://cofre.sieg.com/ajax/xml.aspx?nfe=26230120300157002193550010000025151311620294","Baixar Xml")</f>
        <v>Baixar Xml</v>
      </c>
    </row>
    <row r="386" spans="1:17" x14ac:dyDescent="0.75">
      <c r="A386" s="5">
        <v>2516</v>
      </c>
      <c r="B386" s="55">
        <v>45.2</v>
      </c>
      <c r="C386" s="5" t="s">
        <v>4937</v>
      </c>
      <c r="D386" s="45" t="s">
        <v>1324</v>
      </c>
      <c r="E386" s="45" t="s">
        <v>1325</v>
      </c>
      <c r="F386" s="45" t="s">
        <v>1323</v>
      </c>
      <c r="G386" s="45" t="s">
        <v>1120</v>
      </c>
      <c r="H386" s="45" t="s">
        <v>1126</v>
      </c>
      <c r="I386" s="45" t="s">
        <v>1126</v>
      </c>
      <c r="J386" s="45" t="s">
        <v>4937</v>
      </c>
      <c r="K386" s="45" t="s">
        <v>5358</v>
      </c>
      <c r="L386" s="45" t="s">
        <v>1122</v>
      </c>
      <c r="M386" s="45" t="s">
        <v>1311</v>
      </c>
      <c r="N386" s="45" t="s">
        <v>1312</v>
      </c>
      <c r="O386" s="45" t="s">
        <v>1123</v>
      </c>
      <c r="P386" s="46" t="str">
        <f>HYPERLINK("https://cofre.sieg.com/ajax/danfe.aspx?nfe=26230120300157002193550010000025161324571871","Ver Danfe")</f>
        <v>Ver Danfe</v>
      </c>
      <c r="Q386" s="46" t="str">
        <f>HYPERLINK("https://cofre.sieg.com/ajax/xml.aspx?nfe=26230120300157002193550010000025161324571871","Baixar Xml")</f>
        <v>Baixar Xml</v>
      </c>
    </row>
    <row r="387" spans="1:17" x14ac:dyDescent="0.75">
      <c r="A387" s="5">
        <v>2544</v>
      </c>
      <c r="B387" s="55">
        <v>176.6</v>
      </c>
      <c r="C387" s="5" t="s">
        <v>4938</v>
      </c>
      <c r="D387" s="45" t="s">
        <v>1324</v>
      </c>
      <c r="E387" s="45" t="s">
        <v>1325</v>
      </c>
      <c r="F387" s="45" t="s">
        <v>1323</v>
      </c>
      <c r="G387" s="45" t="s">
        <v>1120</v>
      </c>
      <c r="H387" s="45" t="s">
        <v>1126</v>
      </c>
      <c r="I387" s="45" t="s">
        <v>1126</v>
      </c>
      <c r="J387" s="45" t="s">
        <v>4938</v>
      </c>
      <c r="K387" s="45" t="s">
        <v>5359</v>
      </c>
      <c r="L387" s="45" t="s">
        <v>1122</v>
      </c>
      <c r="M387" s="45"/>
      <c r="N387" s="45"/>
      <c r="O387" s="45" t="s">
        <v>1123</v>
      </c>
      <c r="P387" s="46" t="str">
        <f>HYPERLINK("https://cofre.sieg.com/ajax/danfe.aspx?nfe=26230120300157002193550010000025441185779031","Ver Danfe")</f>
        <v>Ver Danfe</v>
      </c>
      <c r="Q387" s="46" t="str">
        <f>HYPERLINK("https://cofre.sieg.com/ajax/xml.aspx?nfe=26230120300157002193550010000025441185779031","Baixar Xml")</f>
        <v>Baixar Xml</v>
      </c>
    </row>
    <row r="388" spans="1:17" x14ac:dyDescent="0.75">
      <c r="A388" s="5">
        <v>5781</v>
      </c>
      <c r="B388" s="55">
        <v>127.65</v>
      </c>
      <c r="C388" s="5" t="s">
        <v>4899</v>
      </c>
      <c r="D388" s="45" t="s">
        <v>5360</v>
      </c>
      <c r="E388" s="45" t="s">
        <v>1352</v>
      </c>
      <c r="F388" s="45" t="s">
        <v>1352</v>
      </c>
      <c r="G388" s="45" t="s">
        <v>1120</v>
      </c>
      <c r="H388" s="45" t="s">
        <v>1130</v>
      </c>
      <c r="I388" s="45" t="s">
        <v>1130</v>
      </c>
      <c r="J388" s="45" t="s">
        <v>4899</v>
      </c>
      <c r="K388" s="45" t="s">
        <v>5361</v>
      </c>
      <c r="L388" s="45" t="s">
        <v>1122</v>
      </c>
      <c r="M388" s="45" t="s">
        <v>1311</v>
      </c>
      <c r="N388" s="45" t="s">
        <v>1312</v>
      </c>
      <c r="O388" s="45" t="s">
        <v>1123</v>
      </c>
      <c r="P388" s="46" t="str">
        <f>HYPERLINK("https://cofre.sieg.com/ajax/danfe.aspx?nfe=26230122868769000169550010000057811979125075","Ver Danfe")</f>
        <v>Ver Danfe</v>
      </c>
      <c r="Q388" s="46" t="str">
        <f>HYPERLINK("https://cofre.sieg.com/ajax/xml.aspx?nfe=26230122868769000169550010000057811979125075","Baixar Xml")</f>
        <v>Baixar Xml</v>
      </c>
    </row>
    <row r="389" spans="1:17" x14ac:dyDescent="0.75">
      <c r="A389" s="5">
        <v>35776</v>
      </c>
      <c r="B389" s="55">
        <v>1558</v>
      </c>
      <c r="C389" s="5" t="s">
        <v>4825</v>
      </c>
      <c r="D389" s="45" t="s">
        <v>1174</v>
      </c>
      <c r="E389" s="45" t="s">
        <v>290</v>
      </c>
      <c r="F389" s="45" t="s">
        <v>290</v>
      </c>
      <c r="G389" s="45" t="s">
        <v>1120</v>
      </c>
      <c r="H389" s="45" t="s">
        <v>1121</v>
      </c>
      <c r="I389" s="45" t="s">
        <v>1121</v>
      </c>
      <c r="J389" s="45" t="s">
        <v>4825</v>
      </c>
      <c r="K389" s="45" t="s">
        <v>5362</v>
      </c>
      <c r="L389" s="45" t="s">
        <v>1122</v>
      </c>
      <c r="M389" s="45"/>
      <c r="N389" s="45"/>
      <c r="O389" s="45" t="s">
        <v>1123</v>
      </c>
      <c r="P389" s="46" t="str">
        <f>HYPERLINK("https://cofre.sieg.com/ajax/danfe.aspx?nfe=26230124153415000163550010000357761001403881","Ver Danfe")</f>
        <v>Ver Danfe</v>
      </c>
      <c r="Q389" s="46" t="str">
        <f>HYPERLINK("https://cofre.sieg.com/ajax/xml.aspx?nfe=26230124153415000163550010000357761001403881","Baixar Xml")</f>
        <v>Baixar Xml</v>
      </c>
    </row>
    <row r="390" spans="1:17" x14ac:dyDescent="0.75">
      <c r="A390" s="5">
        <v>35787</v>
      </c>
      <c r="B390" s="55">
        <v>970</v>
      </c>
      <c r="C390" s="5" t="s">
        <v>4826</v>
      </c>
      <c r="D390" s="45" t="s">
        <v>1174</v>
      </c>
      <c r="E390" s="45" t="s">
        <v>290</v>
      </c>
      <c r="F390" s="45" t="s">
        <v>290</v>
      </c>
      <c r="G390" s="45" t="s">
        <v>1120</v>
      </c>
      <c r="H390" s="45" t="s">
        <v>1121</v>
      </c>
      <c r="I390" s="45" t="s">
        <v>1121</v>
      </c>
      <c r="J390" s="45" t="s">
        <v>4826</v>
      </c>
      <c r="K390" s="45" t="s">
        <v>5363</v>
      </c>
      <c r="L390" s="45" t="s">
        <v>1122</v>
      </c>
      <c r="M390" s="45"/>
      <c r="N390" s="45"/>
      <c r="O390" s="45" t="s">
        <v>1123</v>
      </c>
      <c r="P390" s="46" t="str">
        <f>HYPERLINK("https://cofre.sieg.com/ajax/danfe.aspx?nfe=26230124153415000163550010000357871001405063","Ver Danfe")</f>
        <v>Ver Danfe</v>
      </c>
      <c r="Q390" s="46" t="str">
        <f>HYPERLINK("https://cofre.sieg.com/ajax/xml.aspx?nfe=26230124153415000163550010000357871001405063","Baixar Xml")</f>
        <v>Baixar Xml</v>
      </c>
    </row>
    <row r="391" spans="1:17" x14ac:dyDescent="0.75">
      <c r="A391" s="5">
        <v>35803</v>
      </c>
      <c r="B391" s="55">
        <v>1352</v>
      </c>
      <c r="C391" s="5" t="s">
        <v>4834</v>
      </c>
      <c r="D391" s="45" t="s">
        <v>1174</v>
      </c>
      <c r="E391" s="45" t="s">
        <v>290</v>
      </c>
      <c r="F391" s="45" t="s">
        <v>290</v>
      </c>
      <c r="G391" s="45" t="s">
        <v>1120</v>
      </c>
      <c r="H391" s="45" t="s">
        <v>1121</v>
      </c>
      <c r="I391" s="45" t="s">
        <v>1121</v>
      </c>
      <c r="J391" s="45" t="s">
        <v>4834</v>
      </c>
      <c r="K391" s="45" t="s">
        <v>5364</v>
      </c>
      <c r="L391" s="45" t="s">
        <v>1122</v>
      </c>
      <c r="M391" s="45"/>
      <c r="N391" s="45"/>
      <c r="O391" s="45" t="s">
        <v>1123</v>
      </c>
      <c r="P391" s="46" t="str">
        <f>HYPERLINK("https://cofre.sieg.com/ajax/danfe.aspx?nfe=26230124153415000163550010000358031001406464","Ver Danfe")</f>
        <v>Ver Danfe</v>
      </c>
      <c r="Q391" s="46" t="str">
        <f>HYPERLINK("https://cofre.sieg.com/ajax/xml.aspx?nfe=26230124153415000163550010000358031001406464","Baixar Xml")</f>
        <v>Baixar Xml</v>
      </c>
    </row>
    <row r="392" spans="1:17" x14ac:dyDescent="0.75">
      <c r="A392" s="5">
        <v>35810</v>
      </c>
      <c r="B392" s="55">
        <v>982.5</v>
      </c>
      <c r="C392" s="5" t="s">
        <v>4839</v>
      </c>
      <c r="D392" s="45" t="s">
        <v>1174</v>
      </c>
      <c r="E392" s="45" t="s">
        <v>290</v>
      </c>
      <c r="F392" s="45" t="s">
        <v>290</v>
      </c>
      <c r="G392" s="45" t="s">
        <v>1120</v>
      </c>
      <c r="H392" s="45" t="s">
        <v>1121</v>
      </c>
      <c r="I392" s="45" t="s">
        <v>1121</v>
      </c>
      <c r="J392" s="45" t="s">
        <v>4839</v>
      </c>
      <c r="K392" s="45" t="s">
        <v>5365</v>
      </c>
      <c r="L392" s="45" t="s">
        <v>1122</v>
      </c>
      <c r="M392" s="45" t="s">
        <v>1311</v>
      </c>
      <c r="N392" s="45" t="s">
        <v>1312</v>
      </c>
      <c r="O392" s="45" t="s">
        <v>1123</v>
      </c>
      <c r="P392" s="46" t="str">
        <f>HYPERLINK("https://cofre.sieg.com/ajax/danfe.aspx?nfe=26230124153415000163550010000358101001407279","Ver Danfe")</f>
        <v>Ver Danfe</v>
      </c>
      <c r="Q392" s="46" t="str">
        <f>HYPERLINK("https://cofre.sieg.com/ajax/xml.aspx?nfe=26230124153415000163550010000358101001407279","Baixar Xml")</f>
        <v>Baixar Xml</v>
      </c>
    </row>
    <row r="393" spans="1:17" x14ac:dyDescent="0.75">
      <c r="A393" s="5">
        <v>35822</v>
      </c>
      <c r="B393" s="55">
        <v>950</v>
      </c>
      <c r="C393" s="5" t="s">
        <v>4844</v>
      </c>
      <c r="D393" s="45" t="s">
        <v>1174</v>
      </c>
      <c r="E393" s="45" t="s">
        <v>290</v>
      </c>
      <c r="F393" s="45" t="s">
        <v>290</v>
      </c>
      <c r="G393" s="45" t="s">
        <v>1120</v>
      </c>
      <c r="H393" s="45" t="s">
        <v>1121</v>
      </c>
      <c r="I393" s="45" t="s">
        <v>1121</v>
      </c>
      <c r="J393" s="45" t="s">
        <v>4844</v>
      </c>
      <c r="K393" s="45" t="s">
        <v>5366</v>
      </c>
      <c r="L393" s="45" t="s">
        <v>1122</v>
      </c>
      <c r="M393" s="45" t="s">
        <v>1148</v>
      </c>
      <c r="N393" s="45" t="s">
        <v>1149</v>
      </c>
      <c r="O393" s="45" t="s">
        <v>1150</v>
      </c>
      <c r="P393" s="46" t="str">
        <f>HYPERLINK("https://cofre.sieg.com/ajax/danfe.aspx?nfe=26230124153415000163550010000358221001408420","Ver Danfe")</f>
        <v>Ver Danfe</v>
      </c>
      <c r="Q393" s="46" t="str">
        <f>HYPERLINK("https://cofre.sieg.com/ajax/xml.aspx?nfe=26230124153415000163550010000358221001408420","Baixar Xml")</f>
        <v>Baixar Xml</v>
      </c>
    </row>
    <row r="394" spans="1:17" x14ac:dyDescent="0.75">
      <c r="A394" s="5">
        <v>35824</v>
      </c>
      <c r="B394" s="55">
        <v>1592</v>
      </c>
      <c r="C394" s="5" t="s">
        <v>4844</v>
      </c>
      <c r="D394" s="45" t="s">
        <v>1174</v>
      </c>
      <c r="E394" s="45" t="s">
        <v>290</v>
      </c>
      <c r="F394" s="45" t="s">
        <v>290</v>
      </c>
      <c r="G394" s="45" t="s">
        <v>1120</v>
      </c>
      <c r="H394" s="45" t="s">
        <v>1121</v>
      </c>
      <c r="I394" s="45" t="s">
        <v>1121</v>
      </c>
      <c r="J394" s="45" t="s">
        <v>4844</v>
      </c>
      <c r="K394" s="45" t="s">
        <v>5367</v>
      </c>
      <c r="L394" s="45" t="s">
        <v>1122</v>
      </c>
      <c r="M394" s="45"/>
      <c r="N394" s="45"/>
      <c r="O394" s="45" t="s">
        <v>1123</v>
      </c>
      <c r="P394" s="46" t="str">
        <f>HYPERLINK("https://cofre.sieg.com/ajax/danfe.aspx?nfe=26230124153415000163550010000358241001408440","Ver Danfe")</f>
        <v>Ver Danfe</v>
      </c>
      <c r="Q394" s="46" t="str">
        <f>HYPERLINK("https://cofre.sieg.com/ajax/xml.aspx?nfe=26230124153415000163550010000358241001408440","Baixar Xml")</f>
        <v>Baixar Xml</v>
      </c>
    </row>
    <row r="395" spans="1:17" x14ac:dyDescent="0.75">
      <c r="A395" s="5">
        <v>35857</v>
      </c>
      <c r="B395" s="55">
        <v>850</v>
      </c>
      <c r="C395" s="5" t="s">
        <v>4846</v>
      </c>
      <c r="D395" s="45" t="s">
        <v>1174</v>
      </c>
      <c r="E395" s="45" t="s">
        <v>290</v>
      </c>
      <c r="F395" s="45" t="s">
        <v>290</v>
      </c>
      <c r="G395" s="45" t="s">
        <v>1120</v>
      </c>
      <c r="H395" s="45" t="s">
        <v>1121</v>
      </c>
      <c r="I395" s="45" t="s">
        <v>1121</v>
      </c>
      <c r="J395" s="45" t="s">
        <v>4846</v>
      </c>
      <c r="K395" s="45" t="s">
        <v>5368</v>
      </c>
      <c r="L395" s="45" t="s">
        <v>1122</v>
      </c>
      <c r="M395" s="45" t="s">
        <v>1311</v>
      </c>
      <c r="N395" s="45" t="s">
        <v>1312</v>
      </c>
      <c r="O395" s="45" t="s">
        <v>1123</v>
      </c>
      <c r="P395" s="46" t="str">
        <f>HYPERLINK("https://cofre.sieg.com/ajax/danfe.aspx?nfe=26230124153415000163550010000358571001409138","Ver Danfe")</f>
        <v>Ver Danfe</v>
      </c>
      <c r="Q395" s="46" t="str">
        <f>HYPERLINK("https://cofre.sieg.com/ajax/xml.aspx?nfe=26230124153415000163550010000358571001409138","Baixar Xml")</f>
        <v>Baixar Xml</v>
      </c>
    </row>
    <row r="396" spans="1:17" x14ac:dyDescent="0.75">
      <c r="A396" s="5">
        <v>35867</v>
      </c>
      <c r="B396" s="55">
        <v>1598</v>
      </c>
      <c r="C396" s="5" t="s">
        <v>4857</v>
      </c>
      <c r="D396" s="45" t="s">
        <v>1174</v>
      </c>
      <c r="E396" s="45" t="s">
        <v>290</v>
      </c>
      <c r="F396" s="45" t="s">
        <v>290</v>
      </c>
      <c r="G396" s="45" t="s">
        <v>1120</v>
      </c>
      <c r="H396" s="45" t="s">
        <v>1121</v>
      </c>
      <c r="I396" s="45" t="s">
        <v>1121</v>
      </c>
      <c r="J396" s="45" t="s">
        <v>4857</v>
      </c>
      <c r="K396" s="45" t="s">
        <v>5369</v>
      </c>
      <c r="L396" s="45" t="s">
        <v>1122</v>
      </c>
      <c r="M396" s="45" t="s">
        <v>1311</v>
      </c>
      <c r="N396" s="45" t="s">
        <v>1312</v>
      </c>
      <c r="O396" s="45" t="s">
        <v>1123</v>
      </c>
      <c r="P396" s="46" t="str">
        <f>HYPERLINK("https://cofre.sieg.com/ajax/danfe.aspx?nfe=26230124153415000163550010000358671001409282","Ver Danfe")</f>
        <v>Ver Danfe</v>
      </c>
      <c r="Q396" s="46" t="str">
        <f>HYPERLINK("https://cofre.sieg.com/ajax/xml.aspx?nfe=26230124153415000163550010000358671001409282","Baixar Xml")</f>
        <v>Baixar Xml</v>
      </c>
    </row>
    <row r="397" spans="1:17" x14ac:dyDescent="0.75">
      <c r="A397" s="5">
        <v>35892</v>
      </c>
      <c r="B397" s="55">
        <v>850</v>
      </c>
      <c r="C397" s="5" t="s">
        <v>4861</v>
      </c>
      <c r="D397" s="45" t="s">
        <v>1174</v>
      </c>
      <c r="E397" s="45" t="s">
        <v>290</v>
      </c>
      <c r="F397" s="45" t="s">
        <v>290</v>
      </c>
      <c r="G397" s="45" t="s">
        <v>1120</v>
      </c>
      <c r="H397" s="45" t="s">
        <v>1121</v>
      </c>
      <c r="I397" s="45" t="s">
        <v>1121</v>
      </c>
      <c r="J397" s="45" t="s">
        <v>4861</v>
      </c>
      <c r="K397" s="45" t="s">
        <v>5370</v>
      </c>
      <c r="L397" s="45" t="s">
        <v>1122</v>
      </c>
      <c r="M397" s="45"/>
      <c r="N397" s="45"/>
      <c r="O397" s="45" t="s">
        <v>1123</v>
      </c>
      <c r="P397" s="46" t="str">
        <f>HYPERLINK("https://cofre.sieg.com/ajax/danfe.aspx?nfe=26230124153415000163550010000358921001410828","Ver Danfe")</f>
        <v>Ver Danfe</v>
      </c>
      <c r="Q397" s="46" t="str">
        <f>HYPERLINK("https://cofre.sieg.com/ajax/xml.aspx?nfe=26230124153415000163550010000358921001410828","Baixar Xml")</f>
        <v>Baixar Xml</v>
      </c>
    </row>
    <row r="398" spans="1:17" x14ac:dyDescent="0.75">
      <c r="A398" s="5">
        <v>35914</v>
      </c>
      <c r="B398" s="55">
        <v>1400</v>
      </c>
      <c r="C398" s="5" t="s">
        <v>4862</v>
      </c>
      <c r="D398" s="45" t="s">
        <v>1174</v>
      </c>
      <c r="E398" s="45" t="s">
        <v>290</v>
      </c>
      <c r="F398" s="45" t="s">
        <v>290</v>
      </c>
      <c r="G398" s="45" t="s">
        <v>1120</v>
      </c>
      <c r="H398" s="45" t="s">
        <v>1121</v>
      </c>
      <c r="I398" s="45" t="s">
        <v>1121</v>
      </c>
      <c r="J398" s="45" t="s">
        <v>4862</v>
      </c>
      <c r="K398" s="45" t="s">
        <v>5371</v>
      </c>
      <c r="L398" s="45" t="s">
        <v>1122</v>
      </c>
      <c r="M398" s="45" t="s">
        <v>1311</v>
      </c>
      <c r="N398" s="45" t="s">
        <v>1312</v>
      </c>
      <c r="O398" s="45" t="s">
        <v>1123</v>
      </c>
      <c r="P398" s="46" t="str">
        <f>HYPERLINK("https://cofre.sieg.com/ajax/danfe.aspx?nfe=26230124153415000163550010000359141001411807","Ver Danfe")</f>
        <v>Ver Danfe</v>
      </c>
      <c r="Q398" s="46" t="str">
        <f>HYPERLINK("https://cofre.sieg.com/ajax/xml.aspx?nfe=26230124153415000163550010000359141001411807","Baixar Xml")</f>
        <v>Baixar Xml</v>
      </c>
    </row>
    <row r="399" spans="1:17" x14ac:dyDescent="0.75">
      <c r="A399" s="5">
        <v>35938</v>
      </c>
      <c r="B399" s="55">
        <v>830</v>
      </c>
      <c r="C399" s="5" t="s">
        <v>4866</v>
      </c>
      <c r="D399" s="45" t="s">
        <v>1174</v>
      </c>
      <c r="E399" s="45" t="s">
        <v>290</v>
      </c>
      <c r="F399" s="45" t="s">
        <v>290</v>
      </c>
      <c r="G399" s="45" t="s">
        <v>1120</v>
      </c>
      <c r="H399" s="45" t="s">
        <v>1121</v>
      </c>
      <c r="I399" s="45" t="s">
        <v>1121</v>
      </c>
      <c r="J399" s="45" t="s">
        <v>4866</v>
      </c>
      <c r="K399" s="45" t="s">
        <v>5372</v>
      </c>
      <c r="L399" s="45" t="s">
        <v>1122</v>
      </c>
      <c r="M399" s="45"/>
      <c r="N399" s="45"/>
      <c r="O399" s="45" t="s">
        <v>1123</v>
      </c>
      <c r="P399" s="46" t="str">
        <f>HYPERLINK("https://cofre.sieg.com/ajax/danfe.aspx?nfe=26230124153415000163550010000359381001413119","Ver Danfe")</f>
        <v>Ver Danfe</v>
      </c>
      <c r="Q399" s="46" t="str">
        <f>HYPERLINK("https://cofre.sieg.com/ajax/xml.aspx?nfe=26230124153415000163550010000359381001413119","Baixar Xml")</f>
        <v>Baixar Xml</v>
      </c>
    </row>
    <row r="400" spans="1:17" x14ac:dyDescent="0.75">
      <c r="A400" s="5">
        <v>35958</v>
      </c>
      <c r="B400" s="55">
        <v>1850</v>
      </c>
      <c r="C400" s="5" t="s">
        <v>4873</v>
      </c>
      <c r="D400" s="45" t="s">
        <v>1174</v>
      </c>
      <c r="E400" s="45" t="s">
        <v>290</v>
      </c>
      <c r="F400" s="45" t="s">
        <v>290</v>
      </c>
      <c r="G400" s="45" t="s">
        <v>1120</v>
      </c>
      <c r="H400" s="45" t="s">
        <v>1121</v>
      </c>
      <c r="I400" s="45" t="s">
        <v>1121</v>
      </c>
      <c r="J400" s="45" t="s">
        <v>4873</v>
      </c>
      <c r="K400" s="45" t="s">
        <v>5373</v>
      </c>
      <c r="L400" s="45" t="s">
        <v>1122</v>
      </c>
      <c r="M400" s="45"/>
      <c r="N400" s="45"/>
      <c r="O400" s="45" t="s">
        <v>1123</v>
      </c>
      <c r="P400" s="46" t="str">
        <f>HYPERLINK("https://cofre.sieg.com/ajax/danfe.aspx?nfe=26230124153415000163550010000359581001413545","Ver Danfe")</f>
        <v>Ver Danfe</v>
      </c>
      <c r="Q400" s="46" t="str">
        <f>HYPERLINK("https://cofre.sieg.com/ajax/xml.aspx?nfe=26230124153415000163550010000359581001413545","Baixar Xml")</f>
        <v>Baixar Xml</v>
      </c>
    </row>
    <row r="401" spans="1:17" x14ac:dyDescent="0.75">
      <c r="A401" s="5">
        <v>35987</v>
      </c>
      <c r="B401" s="55">
        <v>1830</v>
      </c>
      <c r="C401" s="5" t="s">
        <v>4883</v>
      </c>
      <c r="D401" s="45" t="s">
        <v>1174</v>
      </c>
      <c r="E401" s="45" t="s">
        <v>290</v>
      </c>
      <c r="F401" s="45" t="s">
        <v>290</v>
      </c>
      <c r="G401" s="45" t="s">
        <v>1120</v>
      </c>
      <c r="H401" s="45" t="s">
        <v>1121</v>
      </c>
      <c r="I401" s="45" t="s">
        <v>1121</v>
      </c>
      <c r="J401" s="45" t="s">
        <v>4883</v>
      </c>
      <c r="K401" s="45" t="s">
        <v>5374</v>
      </c>
      <c r="L401" s="45" t="s">
        <v>1122</v>
      </c>
      <c r="M401" s="45"/>
      <c r="N401" s="45"/>
      <c r="O401" s="45" t="s">
        <v>1123</v>
      </c>
      <c r="P401" s="46" t="str">
        <f>HYPERLINK("https://cofre.sieg.com/ajax/danfe.aspx?nfe=26230124153415000163550010000359871001414144","Ver Danfe")</f>
        <v>Ver Danfe</v>
      </c>
      <c r="Q401" s="46" t="str">
        <f>HYPERLINK("https://cofre.sieg.com/ajax/xml.aspx?nfe=26230124153415000163550010000359871001414144","Baixar Xml")</f>
        <v>Baixar Xml</v>
      </c>
    </row>
    <row r="402" spans="1:17" x14ac:dyDescent="0.75">
      <c r="A402" s="5">
        <v>36017</v>
      </c>
      <c r="B402" s="55">
        <v>980</v>
      </c>
      <c r="C402" s="5" t="s">
        <v>4884</v>
      </c>
      <c r="D402" s="45" t="s">
        <v>1174</v>
      </c>
      <c r="E402" s="45" t="s">
        <v>290</v>
      </c>
      <c r="F402" s="45" t="s">
        <v>290</v>
      </c>
      <c r="G402" s="45" t="s">
        <v>1120</v>
      </c>
      <c r="H402" s="45" t="s">
        <v>1121</v>
      </c>
      <c r="I402" s="45" t="s">
        <v>1121</v>
      </c>
      <c r="J402" s="45" t="s">
        <v>4884</v>
      </c>
      <c r="K402" s="45" t="s">
        <v>5375</v>
      </c>
      <c r="L402" s="45" t="s">
        <v>1122</v>
      </c>
      <c r="M402" s="45"/>
      <c r="N402" s="45"/>
      <c r="O402" s="45" t="s">
        <v>1123</v>
      </c>
      <c r="P402" s="46" t="str">
        <f>HYPERLINK("https://cofre.sieg.com/ajax/danfe.aspx?nfe=26230124153415000163550010000360171001414846","Ver Danfe")</f>
        <v>Ver Danfe</v>
      </c>
      <c r="Q402" s="46" t="str">
        <f>HYPERLINK("https://cofre.sieg.com/ajax/xml.aspx?nfe=26230124153415000163550010000360171001414846","Baixar Xml")</f>
        <v>Baixar Xml</v>
      </c>
    </row>
    <row r="403" spans="1:17" x14ac:dyDescent="0.75">
      <c r="A403" s="5">
        <v>1495</v>
      </c>
      <c r="B403" s="55">
        <v>185</v>
      </c>
      <c r="C403" s="5" t="s">
        <v>4862</v>
      </c>
      <c r="D403" s="45" t="s">
        <v>1175</v>
      </c>
      <c r="E403" s="45" t="s">
        <v>1176</v>
      </c>
      <c r="F403" s="45" t="s">
        <v>351</v>
      </c>
      <c r="G403" s="45" t="s">
        <v>1120</v>
      </c>
      <c r="H403" s="45" t="s">
        <v>1121</v>
      </c>
      <c r="I403" s="45" t="s">
        <v>1121</v>
      </c>
      <c r="J403" s="45" t="s">
        <v>4866</v>
      </c>
      <c r="K403" s="45" t="s">
        <v>5376</v>
      </c>
      <c r="L403" s="45" t="s">
        <v>1122</v>
      </c>
      <c r="M403" s="45"/>
      <c r="N403" s="45"/>
      <c r="O403" s="45" t="s">
        <v>1123</v>
      </c>
      <c r="P403" s="46" t="str">
        <f>HYPERLINK("https://cofre.sieg.com/ajax/danfe.aspx?nfe=26230126091714000146550010000014951382116369","Ver Danfe")</f>
        <v>Ver Danfe</v>
      </c>
      <c r="Q403" s="46" t="str">
        <f>HYPERLINK("https://cofre.sieg.com/ajax/xml.aspx?nfe=26230126091714000146550010000014951382116369","Baixar Xml")</f>
        <v>Baixar Xml</v>
      </c>
    </row>
    <row r="404" spans="1:17" x14ac:dyDescent="0.75">
      <c r="A404" s="5">
        <v>11323</v>
      </c>
      <c r="B404" s="55">
        <v>5200</v>
      </c>
      <c r="C404" s="5" t="s">
        <v>4826</v>
      </c>
      <c r="D404" s="45" t="s">
        <v>1177</v>
      </c>
      <c r="E404" s="45" t="s">
        <v>1178</v>
      </c>
      <c r="F404" s="45" t="s">
        <v>287</v>
      </c>
      <c r="G404" s="45" t="s">
        <v>1120</v>
      </c>
      <c r="H404" s="45" t="s">
        <v>1121</v>
      </c>
      <c r="I404" s="45" t="s">
        <v>1121</v>
      </c>
      <c r="J404" s="45" t="s">
        <v>4826</v>
      </c>
      <c r="K404" s="45" t="s">
        <v>5377</v>
      </c>
      <c r="L404" s="45" t="s">
        <v>1122</v>
      </c>
      <c r="M404" s="45" t="s">
        <v>1311</v>
      </c>
      <c r="N404" s="45" t="s">
        <v>1312</v>
      </c>
      <c r="O404" s="45" t="s">
        <v>1123</v>
      </c>
      <c r="P404" s="46" t="str">
        <f>HYPERLINK("https://cofre.sieg.com/ajax/danfe.aspx?nfe=26230126787097000118550010000113231657656797","Ver Danfe")</f>
        <v>Ver Danfe</v>
      </c>
      <c r="Q404" s="46" t="str">
        <f>HYPERLINK("https://cofre.sieg.com/ajax/xml.aspx?nfe=26230126787097000118550010000113231657656797","Baixar Xml")</f>
        <v>Baixar Xml</v>
      </c>
    </row>
    <row r="405" spans="1:17" x14ac:dyDescent="0.75">
      <c r="A405" s="5">
        <v>11398</v>
      </c>
      <c r="B405" s="55">
        <v>1560</v>
      </c>
      <c r="C405" s="5" t="s">
        <v>4884</v>
      </c>
      <c r="D405" s="45" t="s">
        <v>1177</v>
      </c>
      <c r="E405" s="45" t="s">
        <v>1178</v>
      </c>
      <c r="F405" s="45" t="s">
        <v>287</v>
      </c>
      <c r="G405" s="45" t="s">
        <v>1120</v>
      </c>
      <c r="H405" s="45" t="s">
        <v>1121</v>
      </c>
      <c r="I405" s="45" t="s">
        <v>1121</v>
      </c>
      <c r="J405" s="45" t="s">
        <v>4887</v>
      </c>
      <c r="K405" s="45" t="s">
        <v>5378</v>
      </c>
      <c r="L405" s="45" t="s">
        <v>1122</v>
      </c>
      <c r="M405" s="45" t="s">
        <v>1311</v>
      </c>
      <c r="N405" s="45" t="s">
        <v>1312</v>
      </c>
      <c r="O405" s="45" t="s">
        <v>1123</v>
      </c>
      <c r="P405" s="46" t="str">
        <f>HYPERLINK("https://cofre.sieg.com/ajax/danfe.aspx?nfe=26230126787097000118550010000113981141564890","Ver Danfe")</f>
        <v>Ver Danfe</v>
      </c>
      <c r="Q405" s="46" t="str">
        <f>HYPERLINK("https://cofre.sieg.com/ajax/xml.aspx?nfe=26230126787097000118550010000113981141564890","Baixar Xml")</f>
        <v>Baixar Xml</v>
      </c>
    </row>
    <row r="406" spans="1:17" x14ac:dyDescent="0.75">
      <c r="A406" s="5">
        <v>11445</v>
      </c>
      <c r="B406" s="55">
        <v>2600</v>
      </c>
      <c r="C406" s="5" t="s">
        <v>4908</v>
      </c>
      <c r="D406" s="45" t="s">
        <v>1177</v>
      </c>
      <c r="E406" s="45" t="s">
        <v>1178</v>
      </c>
      <c r="F406" s="45" t="s">
        <v>287</v>
      </c>
      <c r="G406" s="45" t="s">
        <v>1120</v>
      </c>
      <c r="H406" s="45" t="s">
        <v>1121</v>
      </c>
      <c r="I406" s="45" t="s">
        <v>1121</v>
      </c>
      <c r="J406" s="45" t="s">
        <v>4908</v>
      </c>
      <c r="K406" s="45" t="s">
        <v>5379</v>
      </c>
      <c r="L406" s="45" t="s">
        <v>1122</v>
      </c>
      <c r="M406" s="45" t="s">
        <v>1311</v>
      </c>
      <c r="N406" s="45" t="s">
        <v>1312</v>
      </c>
      <c r="O406" s="45" t="s">
        <v>1123</v>
      </c>
      <c r="P406" s="46" t="str">
        <f>HYPERLINK("https://cofre.sieg.com/ajax/danfe.aspx?nfe=26230126787097000118550010000114451850159859","Ver Danfe")</f>
        <v>Ver Danfe</v>
      </c>
      <c r="Q406" s="46" t="str">
        <f>HYPERLINK("https://cofre.sieg.com/ajax/xml.aspx?nfe=26230126787097000118550010000114451850159859","Baixar Xml")</f>
        <v>Baixar Xml</v>
      </c>
    </row>
    <row r="407" spans="1:17" x14ac:dyDescent="0.75">
      <c r="A407" s="5">
        <v>1853</v>
      </c>
      <c r="B407" s="55">
        <v>1046.8499999999999</v>
      </c>
      <c r="C407" s="5" t="s">
        <v>4825</v>
      </c>
      <c r="D407" s="45" t="s">
        <v>1179</v>
      </c>
      <c r="E407" s="45" t="s">
        <v>1180</v>
      </c>
      <c r="F407" s="45" t="s">
        <v>280</v>
      </c>
      <c r="G407" s="45" t="s">
        <v>1120</v>
      </c>
      <c r="H407" s="45" t="s">
        <v>1181</v>
      </c>
      <c r="I407" s="45" t="s">
        <v>1181</v>
      </c>
      <c r="J407" s="45" t="s">
        <v>4825</v>
      </c>
      <c r="K407" s="45" t="s">
        <v>5380</v>
      </c>
      <c r="L407" s="45" t="s">
        <v>1122</v>
      </c>
      <c r="M407" s="45" t="s">
        <v>1311</v>
      </c>
      <c r="N407" s="45" t="s">
        <v>1312</v>
      </c>
      <c r="O407" s="45" t="s">
        <v>1123</v>
      </c>
      <c r="P407" s="46" t="str">
        <f>HYPERLINK("https://cofre.sieg.com/ajax/danfe.aspx?nfe=26230127892333000129550010000018531297360021","Ver Danfe")</f>
        <v>Ver Danfe</v>
      </c>
      <c r="Q407" s="46" t="str">
        <f>HYPERLINK("https://cofre.sieg.com/ajax/xml.aspx?nfe=26230127892333000129550010000018531297360021","Baixar Xml")</f>
        <v>Baixar Xml</v>
      </c>
    </row>
    <row r="408" spans="1:17" x14ac:dyDescent="0.75">
      <c r="A408" s="5">
        <v>1854</v>
      </c>
      <c r="B408" s="55">
        <v>845.15</v>
      </c>
      <c r="C408" s="5" t="s">
        <v>4825</v>
      </c>
      <c r="D408" s="45" t="s">
        <v>1179</v>
      </c>
      <c r="E408" s="45" t="s">
        <v>1180</v>
      </c>
      <c r="F408" s="45" t="s">
        <v>280</v>
      </c>
      <c r="G408" s="45" t="s">
        <v>1120</v>
      </c>
      <c r="H408" s="45" t="s">
        <v>1181</v>
      </c>
      <c r="I408" s="45" t="s">
        <v>1181</v>
      </c>
      <c r="J408" s="45" t="s">
        <v>4825</v>
      </c>
      <c r="K408" s="45" t="s">
        <v>5381</v>
      </c>
      <c r="L408" s="45" t="s">
        <v>1122</v>
      </c>
      <c r="M408" s="45" t="s">
        <v>1311</v>
      </c>
      <c r="N408" s="45" t="s">
        <v>1312</v>
      </c>
      <c r="O408" s="45" t="s">
        <v>1123</v>
      </c>
      <c r="P408" s="46" t="str">
        <f>HYPERLINK("https://cofre.sieg.com/ajax/danfe.aspx?nfe=26230127892333000129550010000018541303060940","Ver Danfe")</f>
        <v>Ver Danfe</v>
      </c>
      <c r="Q408" s="46" t="str">
        <f>HYPERLINK("https://cofre.sieg.com/ajax/xml.aspx?nfe=26230127892333000129550010000018541303060940","Baixar Xml")</f>
        <v>Baixar Xml</v>
      </c>
    </row>
    <row r="409" spans="1:17" x14ac:dyDescent="0.75">
      <c r="A409" s="5">
        <v>1856</v>
      </c>
      <c r="B409" s="55">
        <v>1089.0999999999999</v>
      </c>
      <c r="C409" s="5" t="s">
        <v>4834</v>
      </c>
      <c r="D409" s="45" t="s">
        <v>1179</v>
      </c>
      <c r="E409" s="45" t="s">
        <v>1180</v>
      </c>
      <c r="F409" s="45" t="s">
        <v>280</v>
      </c>
      <c r="G409" s="45" t="s">
        <v>1120</v>
      </c>
      <c r="H409" s="45" t="s">
        <v>1181</v>
      </c>
      <c r="I409" s="45" t="s">
        <v>1181</v>
      </c>
      <c r="J409" s="45" t="s">
        <v>4834</v>
      </c>
      <c r="K409" s="45" t="s">
        <v>5382</v>
      </c>
      <c r="L409" s="45" t="s">
        <v>1122</v>
      </c>
      <c r="M409" s="45" t="s">
        <v>1311</v>
      </c>
      <c r="N409" s="45" t="s">
        <v>1312</v>
      </c>
      <c r="O409" s="45" t="s">
        <v>1123</v>
      </c>
      <c r="P409" s="46" t="str">
        <f>HYPERLINK("https://cofre.sieg.com/ajax/danfe.aspx?nfe=26230127892333000129550010000018561312577237","Ver Danfe")</f>
        <v>Ver Danfe</v>
      </c>
      <c r="Q409" s="46" t="str">
        <f>HYPERLINK("https://cofre.sieg.com/ajax/xml.aspx?nfe=26230127892333000129550010000018561312577237","Baixar Xml")</f>
        <v>Baixar Xml</v>
      </c>
    </row>
    <row r="410" spans="1:17" x14ac:dyDescent="0.75">
      <c r="A410" s="5">
        <v>1857</v>
      </c>
      <c r="B410" s="55">
        <v>847.65</v>
      </c>
      <c r="C410" s="5" t="s">
        <v>4834</v>
      </c>
      <c r="D410" s="45" t="s">
        <v>1179</v>
      </c>
      <c r="E410" s="45" t="s">
        <v>1180</v>
      </c>
      <c r="F410" s="45" t="s">
        <v>280</v>
      </c>
      <c r="G410" s="45" t="s">
        <v>1120</v>
      </c>
      <c r="H410" s="45" t="s">
        <v>1181</v>
      </c>
      <c r="I410" s="45" t="s">
        <v>1181</v>
      </c>
      <c r="J410" s="45" t="s">
        <v>4834</v>
      </c>
      <c r="K410" s="45" t="s">
        <v>5383</v>
      </c>
      <c r="L410" s="45" t="s">
        <v>1122</v>
      </c>
      <c r="M410" s="45" t="s">
        <v>1311</v>
      </c>
      <c r="N410" s="45" t="s">
        <v>1312</v>
      </c>
      <c r="O410" s="45" t="s">
        <v>1123</v>
      </c>
      <c r="P410" s="46" t="str">
        <f>HYPERLINK("https://cofre.sieg.com/ajax/danfe.aspx?nfe=26230127892333000129550010000018571779466890","Ver Danfe")</f>
        <v>Ver Danfe</v>
      </c>
      <c r="Q410" s="46" t="str">
        <f>HYPERLINK("https://cofre.sieg.com/ajax/xml.aspx?nfe=26230127892333000129550010000018571779466890","Baixar Xml")</f>
        <v>Baixar Xml</v>
      </c>
    </row>
    <row r="411" spans="1:17" x14ac:dyDescent="0.75">
      <c r="A411" s="5">
        <v>1861</v>
      </c>
      <c r="B411" s="55">
        <v>1251.9000000000001</v>
      </c>
      <c r="C411" s="5" t="s">
        <v>4844</v>
      </c>
      <c r="D411" s="45" t="s">
        <v>1179</v>
      </c>
      <c r="E411" s="45" t="s">
        <v>1180</v>
      </c>
      <c r="F411" s="45" t="s">
        <v>280</v>
      </c>
      <c r="G411" s="45" t="s">
        <v>1120</v>
      </c>
      <c r="H411" s="45" t="s">
        <v>1181</v>
      </c>
      <c r="I411" s="45" t="s">
        <v>1181</v>
      </c>
      <c r="J411" s="45" t="s">
        <v>4844</v>
      </c>
      <c r="K411" s="45" t="s">
        <v>5384</v>
      </c>
      <c r="L411" s="45" t="s">
        <v>1122</v>
      </c>
      <c r="M411" s="45" t="s">
        <v>1311</v>
      </c>
      <c r="N411" s="45" t="s">
        <v>1312</v>
      </c>
      <c r="O411" s="45" t="s">
        <v>1123</v>
      </c>
      <c r="P411" s="46" t="str">
        <f>HYPERLINK("https://cofre.sieg.com/ajax/danfe.aspx?nfe=26230127892333000129550010000018611570483430","Ver Danfe")</f>
        <v>Ver Danfe</v>
      </c>
      <c r="Q411" s="46" t="str">
        <f>HYPERLINK("https://cofre.sieg.com/ajax/xml.aspx?nfe=26230127892333000129550010000018611570483430","Baixar Xml")</f>
        <v>Baixar Xml</v>
      </c>
    </row>
    <row r="412" spans="1:17" x14ac:dyDescent="0.75">
      <c r="A412" s="5">
        <v>1862</v>
      </c>
      <c r="B412" s="55">
        <v>1031.5</v>
      </c>
      <c r="C412" s="5" t="s">
        <v>4844</v>
      </c>
      <c r="D412" s="45" t="s">
        <v>1179</v>
      </c>
      <c r="E412" s="45" t="s">
        <v>1180</v>
      </c>
      <c r="F412" s="45" t="s">
        <v>280</v>
      </c>
      <c r="G412" s="45" t="s">
        <v>1120</v>
      </c>
      <c r="H412" s="45" t="s">
        <v>1181</v>
      </c>
      <c r="I412" s="45" t="s">
        <v>1181</v>
      </c>
      <c r="J412" s="45" t="s">
        <v>4844</v>
      </c>
      <c r="K412" s="45" t="s">
        <v>5385</v>
      </c>
      <c r="L412" s="45" t="s">
        <v>1122</v>
      </c>
      <c r="M412" s="45" t="s">
        <v>1311</v>
      </c>
      <c r="N412" s="45" t="s">
        <v>1312</v>
      </c>
      <c r="O412" s="45" t="s">
        <v>1123</v>
      </c>
      <c r="P412" s="46" t="str">
        <f>HYPERLINK("https://cofre.sieg.com/ajax/danfe.aspx?nfe=26230127892333000129550010000018621495047620","Ver Danfe")</f>
        <v>Ver Danfe</v>
      </c>
      <c r="Q412" s="46" t="str">
        <f>HYPERLINK("https://cofre.sieg.com/ajax/xml.aspx?nfe=26230127892333000129550010000018621495047620","Baixar Xml")</f>
        <v>Baixar Xml</v>
      </c>
    </row>
    <row r="413" spans="1:17" x14ac:dyDescent="0.75">
      <c r="A413" s="5">
        <v>1863</v>
      </c>
      <c r="B413" s="55">
        <v>60</v>
      </c>
      <c r="C413" s="5" t="s">
        <v>4846</v>
      </c>
      <c r="D413" s="45" t="s">
        <v>1179</v>
      </c>
      <c r="E413" s="45" t="s">
        <v>1180</v>
      </c>
      <c r="F413" s="45" t="s">
        <v>280</v>
      </c>
      <c r="G413" s="45" t="s">
        <v>1120</v>
      </c>
      <c r="H413" s="45" t="s">
        <v>1181</v>
      </c>
      <c r="I413" s="45" t="s">
        <v>1181</v>
      </c>
      <c r="J413" s="45" t="s">
        <v>4846</v>
      </c>
      <c r="K413" s="45" t="s">
        <v>5386</v>
      </c>
      <c r="L413" s="45" t="s">
        <v>1122</v>
      </c>
      <c r="M413" s="45"/>
      <c r="N413" s="45"/>
      <c r="O413" s="45" t="s">
        <v>1123</v>
      </c>
      <c r="P413" s="46" t="str">
        <f>HYPERLINK("https://cofre.sieg.com/ajax/danfe.aspx?nfe=26230127892333000129550010000018631134240759","Ver Danfe")</f>
        <v>Ver Danfe</v>
      </c>
      <c r="Q413" s="46" t="str">
        <f>HYPERLINK("https://cofre.sieg.com/ajax/xml.aspx?nfe=26230127892333000129550010000018631134240759","Baixar Xml")</f>
        <v>Baixar Xml</v>
      </c>
    </row>
    <row r="414" spans="1:17" x14ac:dyDescent="0.75">
      <c r="A414" s="5">
        <v>1865</v>
      </c>
      <c r="B414" s="55">
        <v>856.75</v>
      </c>
      <c r="C414" s="5" t="s">
        <v>4857</v>
      </c>
      <c r="D414" s="45" t="s">
        <v>1179</v>
      </c>
      <c r="E414" s="45" t="s">
        <v>1180</v>
      </c>
      <c r="F414" s="45" t="s">
        <v>280</v>
      </c>
      <c r="G414" s="45" t="s">
        <v>1120</v>
      </c>
      <c r="H414" s="45" t="s">
        <v>1181</v>
      </c>
      <c r="I414" s="45" t="s">
        <v>1181</v>
      </c>
      <c r="J414" s="45" t="s">
        <v>4857</v>
      </c>
      <c r="K414" s="45" t="s">
        <v>5387</v>
      </c>
      <c r="L414" s="45" t="s">
        <v>1122</v>
      </c>
      <c r="M414" s="45" t="s">
        <v>1311</v>
      </c>
      <c r="N414" s="45" t="s">
        <v>1312</v>
      </c>
      <c r="O414" s="45" t="s">
        <v>1123</v>
      </c>
      <c r="P414" s="46" t="str">
        <f>HYPERLINK("https://cofre.sieg.com/ajax/danfe.aspx?nfe=26230127892333000129550010000018651286165266","Ver Danfe")</f>
        <v>Ver Danfe</v>
      </c>
      <c r="Q414" s="46" t="str">
        <f>HYPERLINK("https://cofre.sieg.com/ajax/xml.aspx?nfe=26230127892333000129550010000018651286165266","Baixar Xml")</f>
        <v>Baixar Xml</v>
      </c>
    </row>
    <row r="415" spans="1:17" x14ac:dyDescent="0.75">
      <c r="A415" s="5">
        <v>1866</v>
      </c>
      <c r="B415" s="55">
        <v>845.25</v>
      </c>
      <c r="C415" s="5" t="s">
        <v>4857</v>
      </c>
      <c r="D415" s="45" t="s">
        <v>1179</v>
      </c>
      <c r="E415" s="45" t="s">
        <v>1180</v>
      </c>
      <c r="F415" s="45" t="s">
        <v>280</v>
      </c>
      <c r="G415" s="45" t="s">
        <v>1120</v>
      </c>
      <c r="H415" s="45" t="s">
        <v>1181</v>
      </c>
      <c r="I415" s="45" t="s">
        <v>1181</v>
      </c>
      <c r="J415" s="45" t="s">
        <v>4861</v>
      </c>
      <c r="K415" s="45" t="s">
        <v>5388</v>
      </c>
      <c r="L415" s="45" t="s">
        <v>1122</v>
      </c>
      <c r="M415" s="45" t="s">
        <v>1311</v>
      </c>
      <c r="N415" s="45" t="s">
        <v>1312</v>
      </c>
      <c r="O415" s="45" t="s">
        <v>1123</v>
      </c>
      <c r="P415" s="46" t="str">
        <f>HYPERLINK("https://cofre.sieg.com/ajax/danfe.aspx?nfe=26230127892333000129550010000018661454018749","Ver Danfe")</f>
        <v>Ver Danfe</v>
      </c>
      <c r="Q415" s="46" t="str">
        <f>HYPERLINK("https://cofre.sieg.com/ajax/xml.aspx?nfe=26230127892333000129550010000018661454018749","Baixar Xml")</f>
        <v>Baixar Xml</v>
      </c>
    </row>
    <row r="416" spans="1:17" x14ac:dyDescent="0.75">
      <c r="A416" s="5">
        <v>1868</v>
      </c>
      <c r="B416" s="55">
        <v>973.15</v>
      </c>
      <c r="C416" s="5" t="s">
        <v>4862</v>
      </c>
      <c r="D416" s="45" t="s">
        <v>1179</v>
      </c>
      <c r="E416" s="45" t="s">
        <v>1180</v>
      </c>
      <c r="F416" s="45" t="s">
        <v>280</v>
      </c>
      <c r="G416" s="45" t="s">
        <v>1120</v>
      </c>
      <c r="H416" s="45" t="s">
        <v>1181</v>
      </c>
      <c r="I416" s="45" t="s">
        <v>1181</v>
      </c>
      <c r="J416" s="45" t="s">
        <v>4866</v>
      </c>
      <c r="K416" s="45" t="s">
        <v>5389</v>
      </c>
      <c r="L416" s="45" t="s">
        <v>1122</v>
      </c>
      <c r="M416" s="45"/>
      <c r="N416" s="45"/>
      <c r="O416" s="45" t="s">
        <v>1123</v>
      </c>
      <c r="P416" s="46" t="str">
        <f>HYPERLINK("https://cofre.sieg.com/ajax/danfe.aspx?nfe=26230127892333000129550010000018681904249279","Ver Danfe")</f>
        <v>Ver Danfe</v>
      </c>
      <c r="Q416" s="46" t="str">
        <f>HYPERLINK("https://cofre.sieg.com/ajax/xml.aspx?nfe=26230127892333000129550010000018681904249279","Baixar Xml")</f>
        <v>Baixar Xml</v>
      </c>
    </row>
    <row r="417" spans="1:17" x14ac:dyDescent="0.75">
      <c r="A417" s="5">
        <v>1869</v>
      </c>
      <c r="B417" s="55">
        <v>633.20000000000005</v>
      </c>
      <c r="C417" s="5" t="s">
        <v>4862</v>
      </c>
      <c r="D417" s="45" t="s">
        <v>1179</v>
      </c>
      <c r="E417" s="45" t="s">
        <v>1180</v>
      </c>
      <c r="F417" s="45" t="s">
        <v>280</v>
      </c>
      <c r="G417" s="45" t="s">
        <v>1120</v>
      </c>
      <c r="H417" s="45" t="s">
        <v>1181</v>
      </c>
      <c r="I417" s="45" t="s">
        <v>1181</v>
      </c>
      <c r="J417" s="45" t="s">
        <v>4866</v>
      </c>
      <c r="K417" s="45" t="s">
        <v>5390</v>
      </c>
      <c r="L417" s="45" t="s">
        <v>1122</v>
      </c>
      <c r="M417" s="45"/>
      <c r="N417" s="45"/>
      <c r="O417" s="45" t="s">
        <v>1123</v>
      </c>
      <c r="P417" s="46" t="str">
        <f>HYPERLINK("https://cofre.sieg.com/ajax/danfe.aspx?nfe=26230127892333000129550010000018691608306600","Ver Danfe")</f>
        <v>Ver Danfe</v>
      </c>
      <c r="Q417" s="46" t="str">
        <f>HYPERLINK("https://cofre.sieg.com/ajax/xml.aspx?nfe=26230127892333000129550010000018691608306600","Baixar Xml")</f>
        <v>Baixar Xml</v>
      </c>
    </row>
    <row r="418" spans="1:17" x14ac:dyDescent="0.75">
      <c r="A418" s="5">
        <v>1871</v>
      </c>
      <c r="B418" s="55">
        <v>966.5</v>
      </c>
      <c r="C418" s="5" t="s">
        <v>4873</v>
      </c>
      <c r="D418" s="45" t="s">
        <v>1179</v>
      </c>
      <c r="E418" s="45" t="s">
        <v>1180</v>
      </c>
      <c r="F418" s="45" t="s">
        <v>280</v>
      </c>
      <c r="G418" s="45" t="s">
        <v>1120</v>
      </c>
      <c r="H418" s="45" t="s">
        <v>1181</v>
      </c>
      <c r="I418" s="45" t="s">
        <v>1181</v>
      </c>
      <c r="J418" s="45" t="s">
        <v>4877</v>
      </c>
      <c r="K418" s="45" t="s">
        <v>5391</v>
      </c>
      <c r="L418" s="45" t="s">
        <v>1122</v>
      </c>
      <c r="M418" s="45" t="s">
        <v>1311</v>
      </c>
      <c r="N418" s="45" t="s">
        <v>1312</v>
      </c>
      <c r="O418" s="45" t="s">
        <v>1123</v>
      </c>
      <c r="P418" s="46" t="str">
        <f>HYPERLINK("https://cofre.sieg.com/ajax/danfe.aspx?nfe=26230127892333000129550010000018711592478877","Ver Danfe")</f>
        <v>Ver Danfe</v>
      </c>
      <c r="Q418" s="46" t="str">
        <f>HYPERLINK("https://cofre.sieg.com/ajax/xml.aspx?nfe=26230127892333000129550010000018711592478877","Baixar Xml")</f>
        <v>Baixar Xml</v>
      </c>
    </row>
    <row r="419" spans="1:17" x14ac:dyDescent="0.75">
      <c r="A419" s="5">
        <v>1872</v>
      </c>
      <c r="B419" s="55">
        <v>899.45</v>
      </c>
      <c r="C419" s="5" t="s">
        <v>4873</v>
      </c>
      <c r="D419" s="45" t="s">
        <v>1179</v>
      </c>
      <c r="E419" s="45" t="s">
        <v>1180</v>
      </c>
      <c r="F419" s="45" t="s">
        <v>280</v>
      </c>
      <c r="G419" s="45" t="s">
        <v>1120</v>
      </c>
      <c r="H419" s="45" t="s">
        <v>1181</v>
      </c>
      <c r="I419" s="45" t="s">
        <v>1181</v>
      </c>
      <c r="J419" s="45" t="s">
        <v>4877</v>
      </c>
      <c r="K419" s="45" t="s">
        <v>5392</v>
      </c>
      <c r="L419" s="45" t="s">
        <v>1122</v>
      </c>
      <c r="M419" s="45" t="s">
        <v>1311</v>
      </c>
      <c r="N419" s="45" t="s">
        <v>1312</v>
      </c>
      <c r="O419" s="45" t="s">
        <v>1123</v>
      </c>
      <c r="P419" s="46" t="str">
        <f>HYPERLINK("https://cofre.sieg.com/ajax/danfe.aspx?nfe=26230127892333000129550010000018721876629761","Ver Danfe")</f>
        <v>Ver Danfe</v>
      </c>
      <c r="Q419" s="46" t="str">
        <f>HYPERLINK("https://cofre.sieg.com/ajax/xml.aspx?nfe=26230127892333000129550010000018721876629761","Baixar Xml")</f>
        <v>Baixar Xml</v>
      </c>
    </row>
    <row r="420" spans="1:17" x14ac:dyDescent="0.75">
      <c r="A420" s="5">
        <v>1874</v>
      </c>
      <c r="B420" s="55">
        <v>909</v>
      </c>
      <c r="C420" s="5" t="s">
        <v>4883</v>
      </c>
      <c r="D420" s="45" t="s">
        <v>1179</v>
      </c>
      <c r="E420" s="45" t="s">
        <v>1180</v>
      </c>
      <c r="F420" s="45" t="s">
        <v>280</v>
      </c>
      <c r="G420" s="45" t="s">
        <v>1120</v>
      </c>
      <c r="H420" s="45" t="s">
        <v>1181</v>
      </c>
      <c r="I420" s="45" t="s">
        <v>1181</v>
      </c>
      <c r="J420" s="45" t="s">
        <v>4883</v>
      </c>
      <c r="K420" s="45" t="s">
        <v>5393</v>
      </c>
      <c r="L420" s="45" t="s">
        <v>1122</v>
      </c>
      <c r="M420" s="45" t="s">
        <v>1311</v>
      </c>
      <c r="N420" s="45" t="s">
        <v>1312</v>
      </c>
      <c r="O420" s="45" t="s">
        <v>1123</v>
      </c>
      <c r="P420" s="46" t="str">
        <f>HYPERLINK("https://cofre.sieg.com/ajax/danfe.aspx?nfe=26230127892333000129550010000018741859253958","Ver Danfe")</f>
        <v>Ver Danfe</v>
      </c>
      <c r="Q420" s="46" t="str">
        <f>HYPERLINK("https://cofre.sieg.com/ajax/xml.aspx?nfe=26230127892333000129550010000018741859253958","Baixar Xml")</f>
        <v>Baixar Xml</v>
      </c>
    </row>
    <row r="421" spans="1:17" x14ac:dyDescent="0.75">
      <c r="A421" s="5">
        <v>1875</v>
      </c>
      <c r="B421" s="55">
        <v>872.6</v>
      </c>
      <c r="C421" s="5" t="s">
        <v>4883</v>
      </c>
      <c r="D421" s="45" t="s">
        <v>1179</v>
      </c>
      <c r="E421" s="45" t="s">
        <v>1180</v>
      </c>
      <c r="F421" s="45" t="s">
        <v>280</v>
      </c>
      <c r="G421" s="45" t="s">
        <v>1120</v>
      </c>
      <c r="H421" s="45" t="s">
        <v>1181</v>
      </c>
      <c r="I421" s="45" t="s">
        <v>1181</v>
      </c>
      <c r="J421" s="45" t="s">
        <v>4883</v>
      </c>
      <c r="K421" s="45" t="s">
        <v>5394</v>
      </c>
      <c r="L421" s="45" t="s">
        <v>1122</v>
      </c>
      <c r="M421" s="45" t="s">
        <v>1311</v>
      </c>
      <c r="N421" s="45" t="s">
        <v>1312</v>
      </c>
      <c r="O421" s="45" t="s">
        <v>1123</v>
      </c>
      <c r="P421" s="46" t="str">
        <f>HYPERLINK("https://cofre.sieg.com/ajax/danfe.aspx?nfe=26230127892333000129550010000018751887043676","Ver Danfe")</f>
        <v>Ver Danfe</v>
      </c>
      <c r="Q421" s="46" t="str">
        <f>HYPERLINK("https://cofre.sieg.com/ajax/xml.aspx?nfe=26230127892333000129550010000018751887043676","Baixar Xml")</f>
        <v>Baixar Xml</v>
      </c>
    </row>
    <row r="422" spans="1:17" x14ac:dyDescent="0.75">
      <c r="A422" s="5">
        <v>1877</v>
      </c>
      <c r="B422" s="55">
        <v>971.85</v>
      </c>
      <c r="C422" s="5" t="s">
        <v>4887</v>
      </c>
      <c r="D422" s="45" t="s">
        <v>1179</v>
      </c>
      <c r="E422" s="45" t="s">
        <v>1180</v>
      </c>
      <c r="F422" s="45" t="s">
        <v>280</v>
      </c>
      <c r="G422" s="45" t="s">
        <v>1120</v>
      </c>
      <c r="H422" s="45" t="s">
        <v>1181</v>
      </c>
      <c r="I422" s="45" t="s">
        <v>1181</v>
      </c>
      <c r="J422" s="45" t="s">
        <v>4887</v>
      </c>
      <c r="K422" s="45" t="s">
        <v>5395</v>
      </c>
      <c r="L422" s="45" t="s">
        <v>1122</v>
      </c>
      <c r="M422" s="45"/>
      <c r="N422" s="45"/>
      <c r="O422" s="45" t="s">
        <v>1123</v>
      </c>
      <c r="P422" s="46" t="str">
        <f>HYPERLINK("https://cofre.sieg.com/ajax/danfe.aspx?nfe=26230127892333000129550010000018771845213144","Ver Danfe")</f>
        <v>Ver Danfe</v>
      </c>
      <c r="Q422" s="46" t="str">
        <f>HYPERLINK("https://cofre.sieg.com/ajax/xml.aspx?nfe=26230127892333000129550010000018771845213144","Baixar Xml")</f>
        <v>Baixar Xml</v>
      </c>
    </row>
    <row r="423" spans="1:17" x14ac:dyDescent="0.75">
      <c r="A423" s="5">
        <v>1878</v>
      </c>
      <c r="B423" s="55">
        <v>579.75</v>
      </c>
      <c r="C423" s="5" t="s">
        <v>4887</v>
      </c>
      <c r="D423" s="45" t="s">
        <v>1179</v>
      </c>
      <c r="E423" s="45" t="s">
        <v>1180</v>
      </c>
      <c r="F423" s="45" t="s">
        <v>280</v>
      </c>
      <c r="G423" s="45" t="s">
        <v>1120</v>
      </c>
      <c r="H423" s="45" t="s">
        <v>1181</v>
      </c>
      <c r="I423" s="45" t="s">
        <v>1181</v>
      </c>
      <c r="J423" s="45" t="s">
        <v>4887</v>
      </c>
      <c r="K423" s="45" t="s">
        <v>5396</v>
      </c>
      <c r="L423" s="45" t="s">
        <v>1122</v>
      </c>
      <c r="M423" s="45"/>
      <c r="N423" s="45"/>
      <c r="O423" s="45" t="s">
        <v>1123</v>
      </c>
      <c r="P423" s="46" t="str">
        <f>HYPERLINK("https://cofre.sieg.com/ajax/danfe.aspx?nfe=26230127892333000129550010000018781548974563","Ver Danfe")</f>
        <v>Ver Danfe</v>
      </c>
      <c r="Q423" s="46" t="str">
        <f>HYPERLINK("https://cofre.sieg.com/ajax/xml.aspx?nfe=26230127892333000129550010000018781548974563","Baixar Xml")</f>
        <v>Baixar Xml</v>
      </c>
    </row>
    <row r="424" spans="1:17" x14ac:dyDescent="0.75">
      <c r="A424" s="5">
        <v>1880</v>
      </c>
      <c r="B424" s="55">
        <v>252</v>
      </c>
      <c r="C424" s="5" t="s">
        <v>4887</v>
      </c>
      <c r="D424" s="45" t="s">
        <v>1179</v>
      </c>
      <c r="E424" s="45" t="s">
        <v>1180</v>
      </c>
      <c r="F424" s="45" t="s">
        <v>280</v>
      </c>
      <c r="G424" s="45" t="s">
        <v>1120</v>
      </c>
      <c r="H424" s="45" t="s">
        <v>1181</v>
      </c>
      <c r="I424" s="45" t="s">
        <v>1181</v>
      </c>
      <c r="J424" s="45" t="s">
        <v>4887</v>
      </c>
      <c r="K424" s="45" t="s">
        <v>5397</v>
      </c>
      <c r="L424" s="45" t="s">
        <v>1122</v>
      </c>
      <c r="M424" s="45" t="s">
        <v>1311</v>
      </c>
      <c r="N424" s="45" t="s">
        <v>1312</v>
      </c>
      <c r="O424" s="45" t="s">
        <v>1123</v>
      </c>
      <c r="P424" s="46" t="str">
        <f>HYPERLINK("https://cofre.sieg.com/ajax/danfe.aspx?nfe=26230127892333000129550010000018801992900265","Ver Danfe")</f>
        <v>Ver Danfe</v>
      </c>
      <c r="Q424" s="46" t="str">
        <f>HYPERLINK("https://cofre.sieg.com/ajax/xml.aspx?nfe=26230127892333000129550010000018801992900265","Baixar Xml")</f>
        <v>Baixar Xml</v>
      </c>
    </row>
    <row r="425" spans="1:17" x14ac:dyDescent="0.75">
      <c r="A425" s="5">
        <v>1882</v>
      </c>
      <c r="B425" s="55">
        <v>1151.3</v>
      </c>
      <c r="C425" s="5" t="s">
        <v>4899</v>
      </c>
      <c r="D425" s="45" t="s">
        <v>1179</v>
      </c>
      <c r="E425" s="45" t="s">
        <v>1180</v>
      </c>
      <c r="F425" s="45" t="s">
        <v>280</v>
      </c>
      <c r="G425" s="45" t="s">
        <v>1120</v>
      </c>
      <c r="H425" s="45" t="s">
        <v>1181</v>
      </c>
      <c r="I425" s="45" t="s">
        <v>1181</v>
      </c>
      <c r="J425" s="45" t="s">
        <v>4899</v>
      </c>
      <c r="K425" s="45" t="s">
        <v>5398</v>
      </c>
      <c r="L425" s="45" t="s">
        <v>1122</v>
      </c>
      <c r="M425" s="45"/>
      <c r="N425" s="45"/>
      <c r="O425" s="45" t="s">
        <v>1123</v>
      </c>
      <c r="P425" s="46" t="str">
        <f>HYPERLINK("https://cofre.sieg.com/ajax/danfe.aspx?nfe=26230127892333000129550010000018821190982671","Ver Danfe")</f>
        <v>Ver Danfe</v>
      </c>
      <c r="Q425" s="46" t="str">
        <f>HYPERLINK("https://cofre.sieg.com/ajax/xml.aspx?nfe=26230127892333000129550010000018821190982671","Baixar Xml")</f>
        <v>Baixar Xml</v>
      </c>
    </row>
    <row r="426" spans="1:17" x14ac:dyDescent="0.75">
      <c r="A426" s="5">
        <v>1883</v>
      </c>
      <c r="B426" s="55">
        <v>891.45</v>
      </c>
      <c r="C426" s="5" t="s">
        <v>4899</v>
      </c>
      <c r="D426" s="45" t="s">
        <v>1179</v>
      </c>
      <c r="E426" s="45" t="s">
        <v>1180</v>
      </c>
      <c r="F426" s="45" t="s">
        <v>280</v>
      </c>
      <c r="G426" s="45" t="s">
        <v>1120</v>
      </c>
      <c r="H426" s="45" t="s">
        <v>1181</v>
      </c>
      <c r="I426" s="45" t="s">
        <v>1181</v>
      </c>
      <c r="J426" s="45" t="s">
        <v>4900</v>
      </c>
      <c r="K426" s="45" t="s">
        <v>5399</v>
      </c>
      <c r="L426" s="45" t="s">
        <v>1122</v>
      </c>
      <c r="M426" s="45"/>
      <c r="N426" s="45"/>
      <c r="O426" s="45" t="s">
        <v>1123</v>
      </c>
      <c r="P426" s="46" t="str">
        <f>HYPERLINK("https://cofre.sieg.com/ajax/danfe.aspx?nfe=26230127892333000129550010000018831177749281","Ver Danfe")</f>
        <v>Ver Danfe</v>
      </c>
      <c r="Q426" s="46" t="str">
        <f>HYPERLINK("https://cofre.sieg.com/ajax/xml.aspx?nfe=26230127892333000129550010000018831177749281","Baixar Xml")</f>
        <v>Baixar Xml</v>
      </c>
    </row>
    <row r="427" spans="1:17" x14ac:dyDescent="0.75">
      <c r="A427" s="5">
        <v>1884</v>
      </c>
      <c r="B427" s="55">
        <v>1002.7</v>
      </c>
      <c r="C427" s="5" t="s">
        <v>4907</v>
      </c>
      <c r="D427" s="45" t="s">
        <v>1179</v>
      </c>
      <c r="E427" s="45" t="s">
        <v>1180</v>
      </c>
      <c r="F427" s="45" t="s">
        <v>280</v>
      </c>
      <c r="G427" s="45" t="s">
        <v>1120</v>
      </c>
      <c r="H427" s="45" t="s">
        <v>1181</v>
      </c>
      <c r="I427" s="45" t="s">
        <v>1181</v>
      </c>
      <c r="J427" s="45" t="s">
        <v>4907</v>
      </c>
      <c r="K427" s="45" t="s">
        <v>5400</v>
      </c>
      <c r="L427" s="45" t="s">
        <v>1122</v>
      </c>
      <c r="M427" s="45"/>
      <c r="N427" s="45"/>
      <c r="O427" s="45" t="s">
        <v>1123</v>
      </c>
      <c r="P427" s="46" t="str">
        <f>HYPERLINK("https://cofre.sieg.com/ajax/danfe.aspx?nfe=26230127892333000129550010000018841835313736","Ver Danfe")</f>
        <v>Ver Danfe</v>
      </c>
      <c r="Q427" s="46" t="str">
        <f>HYPERLINK("https://cofre.sieg.com/ajax/xml.aspx?nfe=26230127892333000129550010000018841835313736","Baixar Xml")</f>
        <v>Baixar Xml</v>
      </c>
    </row>
    <row r="428" spans="1:17" x14ac:dyDescent="0.75">
      <c r="A428" s="5">
        <v>1885</v>
      </c>
      <c r="B428" s="55">
        <v>1054.1500000000001</v>
      </c>
      <c r="C428" s="5" t="s">
        <v>4907</v>
      </c>
      <c r="D428" s="45" t="s">
        <v>1179</v>
      </c>
      <c r="E428" s="45" t="s">
        <v>1180</v>
      </c>
      <c r="F428" s="45" t="s">
        <v>280</v>
      </c>
      <c r="G428" s="45" t="s">
        <v>1120</v>
      </c>
      <c r="H428" s="45" t="s">
        <v>1181</v>
      </c>
      <c r="I428" s="45" t="s">
        <v>1181</v>
      </c>
      <c r="J428" s="45" t="s">
        <v>4907</v>
      </c>
      <c r="K428" s="45" t="s">
        <v>5401</v>
      </c>
      <c r="L428" s="45" t="s">
        <v>1122</v>
      </c>
      <c r="M428" s="45"/>
      <c r="N428" s="45"/>
      <c r="O428" s="45" t="s">
        <v>1123</v>
      </c>
      <c r="P428" s="46" t="str">
        <f>HYPERLINK("https://cofre.sieg.com/ajax/danfe.aspx?nfe=26230127892333000129550010000018851317304214","Ver Danfe")</f>
        <v>Ver Danfe</v>
      </c>
      <c r="Q428" s="46" t="str">
        <f>HYPERLINK("https://cofre.sieg.com/ajax/xml.aspx?nfe=26230127892333000129550010000018851317304214","Baixar Xml")</f>
        <v>Baixar Xml</v>
      </c>
    </row>
    <row r="429" spans="1:17" x14ac:dyDescent="0.75">
      <c r="A429" s="5">
        <v>1886</v>
      </c>
      <c r="B429" s="55">
        <v>320.60000000000002</v>
      </c>
      <c r="C429" s="5" t="s">
        <v>4907</v>
      </c>
      <c r="D429" s="45" t="s">
        <v>1179</v>
      </c>
      <c r="E429" s="45" t="s">
        <v>1180</v>
      </c>
      <c r="F429" s="45" t="s">
        <v>280</v>
      </c>
      <c r="G429" s="45" t="s">
        <v>1120</v>
      </c>
      <c r="H429" s="45" t="s">
        <v>1181</v>
      </c>
      <c r="I429" s="45" t="s">
        <v>1181</v>
      </c>
      <c r="J429" s="45" t="s">
        <v>4907</v>
      </c>
      <c r="K429" s="45" t="s">
        <v>5402</v>
      </c>
      <c r="L429" s="45" t="s">
        <v>1122</v>
      </c>
      <c r="M429" s="45" t="s">
        <v>1311</v>
      </c>
      <c r="N429" s="45" t="s">
        <v>1312</v>
      </c>
      <c r="O429" s="45" t="s">
        <v>1123</v>
      </c>
      <c r="P429" s="46" t="str">
        <f>HYPERLINK("https://cofre.sieg.com/ajax/danfe.aspx?nfe=26230127892333000129550010000018861376277039","Ver Danfe")</f>
        <v>Ver Danfe</v>
      </c>
      <c r="Q429" s="46" t="str">
        <f>HYPERLINK("https://cofre.sieg.com/ajax/xml.aspx?nfe=26230127892333000129550010000018861376277039","Baixar Xml")</f>
        <v>Baixar Xml</v>
      </c>
    </row>
    <row r="430" spans="1:17" x14ac:dyDescent="0.75">
      <c r="A430" s="5">
        <v>1888</v>
      </c>
      <c r="B430" s="55">
        <v>1148.55</v>
      </c>
      <c r="C430" s="5" t="s">
        <v>4912</v>
      </c>
      <c r="D430" s="45" t="s">
        <v>1179</v>
      </c>
      <c r="E430" s="45" t="s">
        <v>1180</v>
      </c>
      <c r="F430" s="45" t="s">
        <v>280</v>
      </c>
      <c r="G430" s="45" t="s">
        <v>1120</v>
      </c>
      <c r="H430" s="45" t="s">
        <v>1181</v>
      </c>
      <c r="I430" s="45" t="s">
        <v>1181</v>
      </c>
      <c r="J430" s="45" t="s">
        <v>4919</v>
      </c>
      <c r="K430" s="45" t="s">
        <v>5403</v>
      </c>
      <c r="L430" s="45" t="s">
        <v>1122</v>
      </c>
      <c r="M430" s="45"/>
      <c r="N430" s="45"/>
      <c r="O430" s="45" t="s">
        <v>1123</v>
      </c>
      <c r="P430" s="46" t="str">
        <f>HYPERLINK("https://cofre.sieg.com/ajax/danfe.aspx?nfe=26230127892333000129550010000018881691266255","Ver Danfe")</f>
        <v>Ver Danfe</v>
      </c>
      <c r="Q430" s="46" t="str">
        <f>HYPERLINK("https://cofre.sieg.com/ajax/xml.aspx?nfe=26230127892333000129550010000018881691266255","Baixar Xml")</f>
        <v>Baixar Xml</v>
      </c>
    </row>
    <row r="431" spans="1:17" x14ac:dyDescent="0.75">
      <c r="A431" s="5">
        <v>1889</v>
      </c>
      <c r="B431" s="55">
        <v>1164.95</v>
      </c>
      <c r="C431" s="5" t="s">
        <v>4912</v>
      </c>
      <c r="D431" s="45" t="s">
        <v>1179</v>
      </c>
      <c r="E431" s="45" t="s">
        <v>1180</v>
      </c>
      <c r="F431" s="45" t="s">
        <v>280</v>
      </c>
      <c r="G431" s="45" t="s">
        <v>1120</v>
      </c>
      <c r="H431" s="45" t="s">
        <v>1181</v>
      </c>
      <c r="I431" s="45" t="s">
        <v>1181</v>
      </c>
      <c r="J431" s="45" t="s">
        <v>4919</v>
      </c>
      <c r="K431" s="45" t="s">
        <v>5404</v>
      </c>
      <c r="L431" s="45" t="s">
        <v>1122</v>
      </c>
      <c r="M431" s="45"/>
      <c r="N431" s="45"/>
      <c r="O431" s="45" t="s">
        <v>1123</v>
      </c>
      <c r="P431" s="46" t="str">
        <f>HYPERLINK("https://cofre.sieg.com/ajax/danfe.aspx?nfe=26230127892333000129550010000018891815547240","Ver Danfe")</f>
        <v>Ver Danfe</v>
      </c>
      <c r="Q431" s="46" t="str">
        <f>HYPERLINK("https://cofre.sieg.com/ajax/xml.aspx?nfe=26230127892333000129550010000018891815547240","Baixar Xml")</f>
        <v>Baixar Xml</v>
      </c>
    </row>
    <row r="432" spans="1:17" x14ac:dyDescent="0.75">
      <c r="A432" s="5">
        <v>1892</v>
      </c>
      <c r="B432" s="55">
        <v>1088.8</v>
      </c>
      <c r="C432" s="5" t="s">
        <v>4923</v>
      </c>
      <c r="D432" s="45" t="s">
        <v>1179</v>
      </c>
      <c r="E432" s="45" t="s">
        <v>1180</v>
      </c>
      <c r="F432" s="45" t="s">
        <v>280</v>
      </c>
      <c r="G432" s="45" t="s">
        <v>1120</v>
      </c>
      <c r="H432" s="45" t="s">
        <v>1181</v>
      </c>
      <c r="I432" s="45" t="s">
        <v>1181</v>
      </c>
      <c r="J432" s="45" t="s">
        <v>4923</v>
      </c>
      <c r="K432" s="45" t="s">
        <v>5405</v>
      </c>
      <c r="L432" s="45" t="s">
        <v>1122</v>
      </c>
      <c r="M432" s="45"/>
      <c r="N432" s="45"/>
      <c r="O432" s="45" t="s">
        <v>1123</v>
      </c>
      <c r="P432" s="46" t="str">
        <f>HYPERLINK("https://cofre.sieg.com/ajax/danfe.aspx?nfe=26230127892333000129550010000018921774662118","Ver Danfe")</f>
        <v>Ver Danfe</v>
      </c>
      <c r="Q432" s="46" t="str">
        <f>HYPERLINK("https://cofre.sieg.com/ajax/xml.aspx?nfe=26230127892333000129550010000018921774662118","Baixar Xml")</f>
        <v>Baixar Xml</v>
      </c>
    </row>
    <row r="433" spans="1:17" x14ac:dyDescent="0.75">
      <c r="A433" s="5">
        <v>1893</v>
      </c>
      <c r="B433" s="55">
        <v>1057.05</v>
      </c>
      <c r="C433" s="5" t="s">
        <v>4923</v>
      </c>
      <c r="D433" s="45" t="s">
        <v>1179</v>
      </c>
      <c r="E433" s="45" t="s">
        <v>1180</v>
      </c>
      <c r="F433" s="45" t="s">
        <v>280</v>
      </c>
      <c r="G433" s="45" t="s">
        <v>1120</v>
      </c>
      <c r="H433" s="45" t="s">
        <v>1181</v>
      </c>
      <c r="I433" s="45" t="s">
        <v>1181</v>
      </c>
      <c r="J433" s="45" t="s">
        <v>4923</v>
      </c>
      <c r="K433" s="45" t="s">
        <v>5406</v>
      </c>
      <c r="L433" s="45" t="s">
        <v>1122</v>
      </c>
      <c r="M433" s="45"/>
      <c r="N433" s="45"/>
      <c r="O433" s="45" t="s">
        <v>1123</v>
      </c>
      <c r="P433" s="46" t="str">
        <f>HYPERLINK("https://cofre.sieg.com/ajax/danfe.aspx?nfe=26230127892333000129550010000018931488727260","Ver Danfe")</f>
        <v>Ver Danfe</v>
      </c>
      <c r="Q433" s="46" t="str">
        <f>HYPERLINK("https://cofre.sieg.com/ajax/xml.aspx?nfe=26230127892333000129550010000018931488727260","Baixar Xml")</f>
        <v>Baixar Xml</v>
      </c>
    </row>
    <row r="434" spans="1:17" x14ac:dyDescent="0.75">
      <c r="A434" s="5">
        <v>1895</v>
      </c>
      <c r="B434" s="55">
        <v>1013.75</v>
      </c>
      <c r="C434" s="5" t="s">
        <v>4937</v>
      </c>
      <c r="D434" s="45" t="s">
        <v>1179</v>
      </c>
      <c r="E434" s="45" t="s">
        <v>1180</v>
      </c>
      <c r="F434" s="45" t="s">
        <v>280</v>
      </c>
      <c r="G434" s="45" t="s">
        <v>1120</v>
      </c>
      <c r="H434" s="45" t="s">
        <v>1181</v>
      </c>
      <c r="I434" s="45" t="s">
        <v>1181</v>
      </c>
      <c r="J434" s="45" t="s">
        <v>4937</v>
      </c>
      <c r="K434" s="45" t="s">
        <v>5407</v>
      </c>
      <c r="L434" s="45" t="s">
        <v>1122</v>
      </c>
      <c r="M434" s="45" t="s">
        <v>1311</v>
      </c>
      <c r="N434" s="45" t="s">
        <v>1312</v>
      </c>
      <c r="O434" s="45" t="s">
        <v>1123</v>
      </c>
      <c r="P434" s="46" t="str">
        <f>HYPERLINK("https://cofre.sieg.com/ajax/danfe.aspx?nfe=26230127892333000129550010000018951559432040","Ver Danfe")</f>
        <v>Ver Danfe</v>
      </c>
      <c r="Q434" s="46" t="str">
        <f>HYPERLINK("https://cofre.sieg.com/ajax/xml.aspx?nfe=26230127892333000129550010000018951559432040","Baixar Xml")</f>
        <v>Baixar Xml</v>
      </c>
    </row>
    <row r="435" spans="1:17" x14ac:dyDescent="0.75">
      <c r="A435" s="5">
        <v>1896</v>
      </c>
      <c r="B435" s="55">
        <v>936.95</v>
      </c>
      <c r="C435" s="5" t="s">
        <v>4937</v>
      </c>
      <c r="D435" s="45" t="s">
        <v>1179</v>
      </c>
      <c r="E435" s="45" t="s">
        <v>1180</v>
      </c>
      <c r="F435" s="45" t="s">
        <v>280</v>
      </c>
      <c r="G435" s="45" t="s">
        <v>1120</v>
      </c>
      <c r="H435" s="45" t="s">
        <v>1181</v>
      </c>
      <c r="I435" s="45" t="s">
        <v>1181</v>
      </c>
      <c r="J435" s="45" t="s">
        <v>4937</v>
      </c>
      <c r="K435" s="45" t="s">
        <v>5408</v>
      </c>
      <c r="L435" s="45" t="s">
        <v>1122</v>
      </c>
      <c r="M435" s="45" t="s">
        <v>1311</v>
      </c>
      <c r="N435" s="45" t="s">
        <v>1312</v>
      </c>
      <c r="O435" s="45" t="s">
        <v>1123</v>
      </c>
      <c r="P435" s="46" t="str">
        <f>HYPERLINK("https://cofre.sieg.com/ajax/danfe.aspx?nfe=26230127892333000129550010000018961615495100","Ver Danfe")</f>
        <v>Ver Danfe</v>
      </c>
      <c r="Q435" s="46" t="str">
        <f>HYPERLINK("https://cofre.sieg.com/ajax/xml.aspx?nfe=26230127892333000129550010000018961615495100","Baixar Xml")</f>
        <v>Baixar Xml</v>
      </c>
    </row>
    <row r="436" spans="1:17" x14ac:dyDescent="0.75">
      <c r="A436" s="5">
        <v>18176</v>
      </c>
      <c r="B436" s="55">
        <v>1362.32</v>
      </c>
      <c r="C436" s="5" t="s">
        <v>4839</v>
      </c>
      <c r="D436" s="45" t="s">
        <v>1182</v>
      </c>
      <c r="E436" s="45" t="s">
        <v>1183</v>
      </c>
      <c r="F436" s="45" t="s">
        <v>397</v>
      </c>
      <c r="G436" s="45" t="s">
        <v>1120</v>
      </c>
      <c r="H436" s="45" t="s">
        <v>1121</v>
      </c>
      <c r="I436" s="45" t="s">
        <v>1121</v>
      </c>
      <c r="J436" s="45" t="s">
        <v>4839</v>
      </c>
      <c r="K436" s="45" t="s">
        <v>5409</v>
      </c>
      <c r="L436" s="45" t="s">
        <v>1122</v>
      </c>
      <c r="M436" s="45" t="s">
        <v>1311</v>
      </c>
      <c r="N436" s="45" t="s">
        <v>1312</v>
      </c>
      <c r="O436" s="45" t="s">
        <v>1123</v>
      </c>
      <c r="P436" s="46" t="str">
        <f>HYPERLINK("https://cofre.sieg.com/ajax/danfe.aspx?nfe=26230127938468000188550010000181761000351346","Ver Danfe")</f>
        <v>Ver Danfe</v>
      </c>
      <c r="Q436" s="46" t="str">
        <f>HYPERLINK("https://cofre.sieg.com/ajax/xml.aspx?nfe=26230127938468000188550010000181761000351346","Baixar Xml")</f>
        <v>Baixar Xml</v>
      </c>
    </row>
    <row r="437" spans="1:17" x14ac:dyDescent="0.75">
      <c r="A437" s="5">
        <v>18370</v>
      </c>
      <c r="B437" s="55">
        <v>2397.7199999999998</v>
      </c>
      <c r="C437" s="5" t="s">
        <v>4891</v>
      </c>
      <c r="D437" s="45" t="s">
        <v>1182</v>
      </c>
      <c r="E437" s="45" t="s">
        <v>1183</v>
      </c>
      <c r="F437" s="45" t="s">
        <v>397</v>
      </c>
      <c r="G437" s="45" t="s">
        <v>1120</v>
      </c>
      <c r="H437" s="45" t="s">
        <v>1121</v>
      </c>
      <c r="I437" s="45" t="s">
        <v>1121</v>
      </c>
      <c r="J437" s="45" t="s">
        <v>4891</v>
      </c>
      <c r="K437" s="45" t="s">
        <v>5410</v>
      </c>
      <c r="L437" s="45" t="s">
        <v>1122</v>
      </c>
      <c r="M437" s="45"/>
      <c r="N437" s="45"/>
      <c r="O437" s="45" t="s">
        <v>1123</v>
      </c>
      <c r="P437" s="46" t="str">
        <f>HYPERLINK("https://cofre.sieg.com/ajax/danfe.aspx?nfe=26230127938468000188550010000183701000353834","Ver Danfe")</f>
        <v>Ver Danfe</v>
      </c>
      <c r="Q437" s="46" t="str">
        <f>HYPERLINK("https://cofre.sieg.com/ajax/xml.aspx?nfe=26230127938468000188550010000183701000353834","Baixar Xml")</f>
        <v>Baixar Xml</v>
      </c>
    </row>
    <row r="438" spans="1:17" x14ac:dyDescent="0.75">
      <c r="A438" s="5">
        <v>1326</v>
      </c>
      <c r="B438" s="55">
        <v>60</v>
      </c>
      <c r="C438" s="5" t="s">
        <v>4839</v>
      </c>
      <c r="D438" s="45" t="s">
        <v>1215</v>
      </c>
      <c r="E438" s="45" t="s">
        <v>1216</v>
      </c>
      <c r="F438" s="45" t="s">
        <v>439</v>
      </c>
      <c r="G438" s="45" t="s">
        <v>1120</v>
      </c>
      <c r="H438" s="45" t="s">
        <v>1121</v>
      </c>
      <c r="I438" s="45" t="s">
        <v>1121</v>
      </c>
      <c r="J438" s="45" t="s">
        <v>4839</v>
      </c>
      <c r="K438" s="45" t="s">
        <v>5411</v>
      </c>
      <c r="L438" s="45" t="s">
        <v>1122</v>
      </c>
      <c r="M438" s="45" t="s">
        <v>1311</v>
      </c>
      <c r="N438" s="45" t="s">
        <v>1312</v>
      </c>
      <c r="O438" s="45" t="s">
        <v>1123</v>
      </c>
      <c r="P438" s="46" t="str">
        <f>HYPERLINK("https://cofre.sieg.com/ajax/danfe.aspx?nfe=26230130709251000100550010000013261683662134","Ver Danfe")</f>
        <v>Ver Danfe</v>
      </c>
      <c r="Q438" s="46" t="str">
        <f>HYPERLINK("https://cofre.sieg.com/ajax/xml.aspx?nfe=26230130709251000100550010000013261683662134","Baixar Xml")</f>
        <v>Baixar Xml</v>
      </c>
    </row>
    <row r="439" spans="1:17" x14ac:dyDescent="0.75">
      <c r="A439" s="5">
        <v>1339</v>
      </c>
      <c r="B439" s="55">
        <v>60</v>
      </c>
      <c r="C439" s="5" t="s">
        <v>4866</v>
      </c>
      <c r="D439" s="45" t="s">
        <v>1215</v>
      </c>
      <c r="E439" s="45" t="s">
        <v>1216</v>
      </c>
      <c r="F439" s="45" t="s">
        <v>439</v>
      </c>
      <c r="G439" s="45" t="s">
        <v>1120</v>
      </c>
      <c r="H439" s="45" t="s">
        <v>1121</v>
      </c>
      <c r="I439" s="45" t="s">
        <v>1121</v>
      </c>
      <c r="J439" s="45" t="s">
        <v>4866</v>
      </c>
      <c r="K439" s="45" t="s">
        <v>5412</v>
      </c>
      <c r="L439" s="45" t="s">
        <v>1122</v>
      </c>
      <c r="M439" s="45" t="s">
        <v>1311</v>
      </c>
      <c r="N439" s="45" t="s">
        <v>1312</v>
      </c>
      <c r="O439" s="45" t="s">
        <v>1123</v>
      </c>
      <c r="P439" s="46" t="str">
        <f>HYPERLINK("https://cofre.sieg.com/ajax/danfe.aspx?nfe=26230130709251000100550010000013391264809657","Ver Danfe")</f>
        <v>Ver Danfe</v>
      </c>
      <c r="Q439" s="46" t="str">
        <f>HYPERLINK("https://cofre.sieg.com/ajax/xml.aspx?nfe=26230130709251000100550010000013391264809657","Baixar Xml")</f>
        <v>Baixar Xml</v>
      </c>
    </row>
    <row r="440" spans="1:17" x14ac:dyDescent="0.75">
      <c r="A440" s="5">
        <v>18</v>
      </c>
      <c r="B440" s="55">
        <v>6.2</v>
      </c>
      <c r="C440" s="5" t="s">
        <v>4866</v>
      </c>
      <c r="D440" s="45" t="s">
        <v>4827</v>
      </c>
      <c r="E440" s="45" t="s">
        <v>1326</v>
      </c>
      <c r="F440" s="45" t="s">
        <v>1327</v>
      </c>
      <c r="G440" s="45" t="s">
        <v>1120</v>
      </c>
      <c r="H440" s="45" t="s">
        <v>1133</v>
      </c>
      <c r="I440" s="45" t="s">
        <v>1133</v>
      </c>
      <c r="J440" s="45" t="s">
        <v>4866</v>
      </c>
      <c r="K440" s="45" t="s">
        <v>5413</v>
      </c>
      <c r="L440" s="45" t="s">
        <v>1122</v>
      </c>
      <c r="M440" s="45" t="s">
        <v>1311</v>
      </c>
      <c r="N440" s="45" t="s">
        <v>1312</v>
      </c>
      <c r="O440" s="45" t="s">
        <v>1123</v>
      </c>
      <c r="P440" s="46" t="str">
        <f>HYPERLINK("https://cofre.sieg.com/ajax/danfe.aspx?nfe=26230130998254001183550020000000181146394655","Ver Danfe")</f>
        <v>Ver Danfe</v>
      </c>
      <c r="Q440" s="46" t="str">
        <f>HYPERLINK("https://cofre.sieg.com/ajax/xml.aspx?nfe=26230130998254001183550020000000181146394655","Baixar Xml")</f>
        <v>Baixar Xml</v>
      </c>
    </row>
    <row r="441" spans="1:17" x14ac:dyDescent="0.75">
      <c r="A441" s="5">
        <v>19</v>
      </c>
      <c r="B441" s="55">
        <v>8.35</v>
      </c>
      <c r="C441" s="5" t="s">
        <v>4884</v>
      </c>
      <c r="D441" s="45" t="s">
        <v>4827</v>
      </c>
      <c r="E441" s="45" t="s">
        <v>1326</v>
      </c>
      <c r="F441" s="45" t="s">
        <v>1327</v>
      </c>
      <c r="G441" s="45" t="s">
        <v>1120</v>
      </c>
      <c r="H441" s="45" t="s">
        <v>1133</v>
      </c>
      <c r="I441" s="45" t="s">
        <v>1133</v>
      </c>
      <c r="J441" s="45" t="s">
        <v>4884</v>
      </c>
      <c r="K441" s="45" t="s">
        <v>5414</v>
      </c>
      <c r="L441" s="45" t="s">
        <v>1122</v>
      </c>
      <c r="M441" s="45"/>
      <c r="N441" s="45"/>
      <c r="O441" s="45" t="s">
        <v>1123</v>
      </c>
      <c r="P441" s="46" t="str">
        <f>HYPERLINK("https://cofre.sieg.com/ajax/danfe.aspx?nfe=26230130998254001183550020000000191331589219","Ver Danfe")</f>
        <v>Ver Danfe</v>
      </c>
      <c r="Q441" s="46" t="str">
        <f>HYPERLINK("https://cofre.sieg.com/ajax/xml.aspx?nfe=26230130998254001183550020000000191331589219","Baixar Xml")</f>
        <v>Baixar Xml</v>
      </c>
    </row>
    <row r="442" spans="1:17" x14ac:dyDescent="0.75">
      <c r="A442" s="5">
        <v>21</v>
      </c>
      <c r="B442" s="55">
        <v>17.149999999999999</v>
      </c>
      <c r="C442" s="5" t="s">
        <v>4908</v>
      </c>
      <c r="D442" s="45" t="s">
        <v>4827</v>
      </c>
      <c r="E442" s="45" t="s">
        <v>1326</v>
      </c>
      <c r="F442" s="45" t="s">
        <v>1327</v>
      </c>
      <c r="G442" s="45" t="s">
        <v>1120</v>
      </c>
      <c r="H442" s="45" t="s">
        <v>1133</v>
      </c>
      <c r="I442" s="45" t="s">
        <v>1133</v>
      </c>
      <c r="J442" s="45" t="s">
        <v>4908</v>
      </c>
      <c r="K442" s="45" t="s">
        <v>5415</v>
      </c>
      <c r="L442" s="45" t="s">
        <v>1122</v>
      </c>
      <c r="M442" s="45" t="s">
        <v>1311</v>
      </c>
      <c r="N442" s="45" t="s">
        <v>1312</v>
      </c>
      <c r="O442" s="45" t="s">
        <v>1123</v>
      </c>
      <c r="P442" s="46" t="str">
        <f>HYPERLINK("https://cofre.sieg.com/ajax/danfe.aspx?nfe=26230130998254001183550020000000211988607606","Ver Danfe")</f>
        <v>Ver Danfe</v>
      </c>
      <c r="Q442" s="46" t="str">
        <f>HYPERLINK("https://cofre.sieg.com/ajax/xml.aspx?nfe=26230130998254001183550020000000211988607606","Baixar Xml")</f>
        <v>Baixar Xml</v>
      </c>
    </row>
    <row r="443" spans="1:17" x14ac:dyDescent="0.75">
      <c r="A443" s="5">
        <v>22</v>
      </c>
      <c r="B443" s="55">
        <v>9.0500000000000007</v>
      </c>
      <c r="C443" s="5" t="s">
        <v>4908</v>
      </c>
      <c r="D443" s="45" t="s">
        <v>4827</v>
      </c>
      <c r="E443" s="45" t="s">
        <v>1326</v>
      </c>
      <c r="F443" s="45" t="s">
        <v>1327</v>
      </c>
      <c r="G443" s="45" t="s">
        <v>1120</v>
      </c>
      <c r="H443" s="45" t="s">
        <v>1133</v>
      </c>
      <c r="I443" s="45" t="s">
        <v>1133</v>
      </c>
      <c r="J443" s="45" t="s">
        <v>4908</v>
      </c>
      <c r="K443" s="45" t="s">
        <v>5416</v>
      </c>
      <c r="L443" s="45" t="s">
        <v>1122</v>
      </c>
      <c r="M443" s="45" t="s">
        <v>1311</v>
      </c>
      <c r="N443" s="45" t="s">
        <v>1312</v>
      </c>
      <c r="O443" s="45" t="s">
        <v>1123</v>
      </c>
      <c r="P443" s="46" t="str">
        <f>HYPERLINK("https://cofre.sieg.com/ajax/danfe.aspx?nfe=26230130998254001183550020000000221603081860","Ver Danfe")</f>
        <v>Ver Danfe</v>
      </c>
      <c r="Q443" s="46" t="str">
        <f>HYPERLINK("https://cofre.sieg.com/ajax/xml.aspx?nfe=26230130998254001183550020000000221603081860","Baixar Xml")</f>
        <v>Baixar Xml</v>
      </c>
    </row>
    <row r="444" spans="1:17" x14ac:dyDescent="0.75">
      <c r="A444" s="5">
        <v>23</v>
      </c>
      <c r="B444" s="55">
        <v>35.9</v>
      </c>
      <c r="C444" s="5" t="s">
        <v>4908</v>
      </c>
      <c r="D444" s="45" t="s">
        <v>4827</v>
      </c>
      <c r="E444" s="45" t="s">
        <v>1326</v>
      </c>
      <c r="F444" s="45" t="s">
        <v>1327</v>
      </c>
      <c r="G444" s="45" t="s">
        <v>1120</v>
      </c>
      <c r="H444" s="45" t="s">
        <v>1133</v>
      </c>
      <c r="I444" s="45" t="s">
        <v>1133</v>
      </c>
      <c r="J444" s="45" t="s">
        <v>4908</v>
      </c>
      <c r="K444" s="45" t="s">
        <v>5417</v>
      </c>
      <c r="L444" s="45" t="s">
        <v>1122</v>
      </c>
      <c r="M444" s="45" t="s">
        <v>1311</v>
      </c>
      <c r="N444" s="45" t="s">
        <v>1312</v>
      </c>
      <c r="O444" s="45" t="s">
        <v>1123</v>
      </c>
      <c r="P444" s="46" t="str">
        <f>HYPERLINK("https://cofre.sieg.com/ajax/danfe.aspx?nfe=26230130998254001183550020000000231160824564","Ver Danfe")</f>
        <v>Ver Danfe</v>
      </c>
      <c r="Q444" s="46" t="str">
        <f>HYPERLINK("https://cofre.sieg.com/ajax/xml.aspx?nfe=26230130998254001183550020000000231160824564","Baixar Xml")</f>
        <v>Baixar Xml</v>
      </c>
    </row>
    <row r="445" spans="1:17" x14ac:dyDescent="0.75">
      <c r="A445" s="5">
        <v>24</v>
      </c>
      <c r="B445" s="55">
        <v>8.9</v>
      </c>
      <c r="C445" s="5" t="s">
        <v>4923</v>
      </c>
      <c r="D445" s="45" t="s">
        <v>4827</v>
      </c>
      <c r="E445" s="45" t="s">
        <v>1326</v>
      </c>
      <c r="F445" s="45" t="s">
        <v>1327</v>
      </c>
      <c r="G445" s="45" t="s">
        <v>1120</v>
      </c>
      <c r="H445" s="45" t="s">
        <v>1133</v>
      </c>
      <c r="I445" s="45" t="s">
        <v>1133</v>
      </c>
      <c r="J445" s="45" t="s">
        <v>4923</v>
      </c>
      <c r="K445" s="45" t="s">
        <v>5418</v>
      </c>
      <c r="L445" s="45" t="s">
        <v>1122</v>
      </c>
      <c r="M445" s="45"/>
      <c r="N445" s="45"/>
      <c r="O445" s="45" t="s">
        <v>1123</v>
      </c>
      <c r="P445" s="46" t="str">
        <f>HYPERLINK("https://cofre.sieg.com/ajax/danfe.aspx?nfe=26230130998254001183550020000000241403216260","Ver Danfe")</f>
        <v>Ver Danfe</v>
      </c>
      <c r="Q445" s="46" t="str">
        <f>HYPERLINK("https://cofre.sieg.com/ajax/xml.aspx?nfe=26230130998254001183550020000000241403216260","Baixar Xml")</f>
        <v>Baixar Xml</v>
      </c>
    </row>
    <row r="446" spans="1:17" x14ac:dyDescent="0.75">
      <c r="A446" s="5">
        <v>49</v>
      </c>
      <c r="B446" s="55">
        <v>26.35</v>
      </c>
      <c r="C446" s="5" t="s">
        <v>4866</v>
      </c>
      <c r="D446" s="45" t="s">
        <v>1328</v>
      </c>
      <c r="E446" s="45" t="s">
        <v>1326</v>
      </c>
      <c r="F446" s="45" t="s">
        <v>1327</v>
      </c>
      <c r="G446" s="45" t="s">
        <v>1120</v>
      </c>
      <c r="H446" s="45" t="s">
        <v>1133</v>
      </c>
      <c r="I446" s="45" t="s">
        <v>1133</v>
      </c>
      <c r="J446" s="45" t="s">
        <v>4873</v>
      </c>
      <c r="K446" s="45" t="s">
        <v>5419</v>
      </c>
      <c r="L446" s="45" t="s">
        <v>1122</v>
      </c>
      <c r="M446" s="45" t="s">
        <v>1311</v>
      </c>
      <c r="N446" s="45" t="s">
        <v>1312</v>
      </c>
      <c r="O446" s="45" t="s">
        <v>1123</v>
      </c>
      <c r="P446" s="46" t="str">
        <f>HYPERLINK("https://cofre.sieg.com/ajax/danfe.aspx?nfe=26230130998254005766550020000000491065144203","Ver Danfe")</f>
        <v>Ver Danfe</v>
      </c>
      <c r="Q446" s="46" t="str">
        <f>HYPERLINK("https://cofre.sieg.com/ajax/xml.aspx?nfe=26230130998254005766550020000000491065144203","Baixar Xml")</f>
        <v>Baixar Xml</v>
      </c>
    </row>
    <row r="447" spans="1:17" x14ac:dyDescent="0.75">
      <c r="A447" s="5">
        <v>51</v>
      </c>
      <c r="B447" s="55">
        <v>15.5</v>
      </c>
      <c r="C447" s="5" t="s">
        <v>4899</v>
      </c>
      <c r="D447" s="45" t="s">
        <v>1328</v>
      </c>
      <c r="E447" s="45" t="s">
        <v>1326</v>
      </c>
      <c r="F447" s="45" t="s">
        <v>1327</v>
      </c>
      <c r="G447" s="45" t="s">
        <v>1120</v>
      </c>
      <c r="H447" s="45" t="s">
        <v>1133</v>
      </c>
      <c r="I447" s="45" t="s">
        <v>1133</v>
      </c>
      <c r="J447" s="45" t="s">
        <v>4899</v>
      </c>
      <c r="K447" s="45" t="s">
        <v>5420</v>
      </c>
      <c r="L447" s="45" t="s">
        <v>1122</v>
      </c>
      <c r="M447" s="45" t="s">
        <v>1311</v>
      </c>
      <c r="N447" s="45" t="s">
        <v>1312</v>
      </c>
      <c r="O447" s="45" t="s">
        <v>1123</v>
      </c>
      <c r="P447" s="46" t="str">
        <f>HYPERLINK("https://cofre.sieg.com/ajax/danfe.aspx?nfe=26230130998254005766550020000000511850262941","Ver Danfe")</f>
        <v>Ver Danfe</v>
      </c>
      <c r="Q447" s="46" t="str">
        <f>HYPERLINK("https://cofre.sieg.com/ajax/xml.aspx?nfe=26230130998254005766550020000000511850262941","Baixar Xml")</f>
        <v>Baixar Xml</v>
      </c>
    </row>
    <row r="448" spans="1:17" x14ac:dyDescent="0.75">
      <c r="A448" s="5">
        <v>52</v>
      </c>
      <c r="B448" s="55">
        <v>28</v>
      </c>
      <c r="C448" s="5" t="s">
        <v>4908</v>
      </c>
      <c r="D448" s="45" t="s">
        <v>1328</v>
      </c>
      <c r="E448" s="45" t="s">
        <v>1326</v>
      </c>
      <c r="F448" s="45" t="s">
        <v>1327</v>
      </c>
      <c r="G448" s="45" t="s">
        <v>1120</v>
      </c>
      <c r="H448" s="45" t="s">
        <v>1133</v>
      </c>
      <c r="I448" s="45" t="s">
        <v>1133</v>
      </c>
      <c r="J448" s="45" t="s">
        <v>4908</v>
      </c>
      <c r="K448" s="45" t="s">
        <v>5421</v>
      </c>
      <c r="L448" s="45" t="s">
        <v>1122</v>
      </c>
      <c r="M448" s="45"/>
      <c r="N448" s="45"/>
      <c r="O448" s="45" t="s">
        <v>1123</v>
      </c>
      <c r="P448" s="46" t="str">
        <f>HYPERLINK("https://cofre.sieg.com/ajax/danfe.aspx?nfe=26230130998254005766550020000000521253512031","Ver Danfe")</f>
        <v>Ver Danfe</v>
      </c>
      <c r="Q448" s="46" t="str">
        <f>HYPERLINK("https://cofre.sieg.com/ajax/xml.aspx?nfe=26230130998254005766550020000000521253512031","Baixar Xml")</f>
        <v>Baixar Xml</v>
      </c>
    </row>
    <row r="449" spans="1:17" x14ac:dyDescent="0.75">
      <c r="A449" s="5">
        <v>53</v>
      </c>
      <c r="B449" s="55">
        <v>16.95</v>
      </c>
      <c r="C449" s="5" t="s">
        <v>4908</v>
      </c>
      <c r="D449" s="45" t="s">
        <v>1328</v>
      </c>
      <c r="E449" s="45" t="s">
        <v>1326</v>
      </c>
      <c r="F449" s="45" t="s">
        <v>1327</v>
      </c>
      <c r="G449" s="45" t="s">
        <v>1120</v>
      </c>
      <c r="H449" s="45" t="s">
        <v>1133</v>
      </c>
      <c r="I449" s="45" t="s">
        <v>1133</v>
      </c>
      <c r="J449" s="45" t="s">
        <v>4908</v>
      </c>
      <c r="K449" s="45" t="s">
        <v>5422</v>
      </c>
      <c r="L449" s="45" t="s">
        <v>1122</v>
      </c>
      <c r="M449" s="45"/>
      <c r="N449" s="45"/>
      <c r="O449" s="45" t="s">
        <v>1123</v>
      </c>
      <c r="P449" s="46" t="str">
        <f>HYPERLINK("https://cofre.sieg.com/ajax/danfe.aspx?nfe=26230130998254005766550020000000531940273700","Ver Danfe")</f>
        <v>Ver Danfe</v>
      </c>
      <c r="Q449" s="46" t="str">
        <f>HYPERLINK("https://cofre.sieg.com/ajax/xml.aspx?nfe=26230130998254005766550020000000531940273700","Baixar Xml")</f>
        <v>Baixar Xml</v>
      </c>
    </row>
    <row r="450" spans="1:17" x14ac:dyDescent="0.75">
      <c r="A450" s="5">
        <v>55</v>
      </c>
      <c r="B450" s="55">
        <v>24.55</v>
      </c>
      <c r="C450" s="5" t="s">
        <v>4919</v>
      </c>
      <c r="D450" s="45" t="s">
        <v>1328</v>
      </c>
      <c r="E450" s="45" t="s">
        <v>1326</v>
      </c>
      <c r="F450" s="45" t="s">
        <v>1327</v>
      </c>
      <c r="G450" s="45" t="s">
        <v>1120</v>
      </c>
      <c r="H450" s="45" t="s">
        <v>1133</v>
      </c>
      <c r="I450" s="45" t="s">
        <v>1133</v>
      </c>
      <c r="J450" s="45" t="s">
        <v>4919</v>
      </c>
      <c r="K450" s="45" t="s">
        <v>5423</v>
      </c>
      <c r="L450" s="45" t="s">
        <v>1122</v>
      </c>
      <c r="M450" s="45" t="s">
        <v>1311</v>
      </c>
      <c r="N450" s="45" t="s">
        <v>1312</v>
      </c>
      <c r="O450" s="45" t="s">
        <v>1123</v>
      </c>
      <c r="P450" s="46" t="str">
        <f>HYPERLINK("https://cofre.sieg.com/ajax/danfe.aspx?nfe=26230130998254005766550020000000551508376113","Ver Danfe")</f>
        <v>Ver Danfe</v>
      </c>
      <c r="Q450" s="46" t="str">
        <f>HYPERLINK("https://cofre.sieg.com/ajax/xml.aspx?nfe=26230130998254005766550020000000551508376113","Baixar Xml")</f>
        <v>Baixar Xml</v>
      </c>
    </row>
    <row r="451" spans="1:17" x14ac:dyDescent="0.75">
      <c r="A451" s="5">
        <v>56</v>
      </c>
      <c r="B451" s="55">
        <v>35</v>
      </c>
      <c r="C451" s="5" t="s">
        <v>4938</v>
      </c>
      <c r="D451" s="45" t="s">
        <v>1328</v>
      </c>
      <c r="E451" s="45" t="s">
        <v>1326</v>
      </c>
      <c r="F451" s="45" t="s">
        <v>1327</v>
      </c>
      <c r="G451" s="45" t="s">
        <v>1120</v>
      </c>
      <c r="H451" s="45" t="s">
        <v>1133</v>
      </c>
      <c r="I451" s="45" t="s">
        <v>1133</v>
      </c>
      <c r="J451" s="45" t="s">
        <v>4938</v>
      </c>
      <c r="K451" s="45" t="s">
        <v>5424</v>
      </c>
      <c r="L451" s="45" t="s">
        <v>1122</v>
      </c>
      <c r="M451" s="45" t="s">
        <v>1311</v>
      </c>
      <c r="N451" s="45" t="s">
        <v>1312</v>
      </c>
      <c r="O451" s="45" t="s">
        <v>1123</v>
      </c>
      <c r="P451" s="46" t="str">
        <f>HYPERLINK("https://cofre.sieg.com/ajax/danfe.aspx?nfe=26230130998254005766550020000000561592961431","Ver Danfe")</f>
        <v>Ver Danfe</v>
      </c>
      <c r="Q451" s="46" t="str">
        <f>HYPERLINK("https://cofre.sieg.com/ajax/xml.aspx?nfe=26230130998254005766550020000000561592961431","Baixar Xml")</f>
        <v>Baixar Xml</v>
      </c>
    </row>
    <row r="452" spans="1:17" x14ac:dyDescent="0.75">
      <c r="A452" s="5">
        <v>28</v>
      </c>
      <c r="B452" s="55">
        <v>38.75</v>
      </c>
      <c r="C452" s="5" t="s">
        <v>4861</v>
      </c>
      <c r="D452" s="45" t="s">
        <v>1329</v>
      </c>
      <c r="E452" s="45" t="s">
        <v>1326</v>
      </c>
      <c r="F452" s="45" t="s">
        <v>1327</v>
      </c>
      <c r="G452" s="45" t="s">
        <v>1120</v>
      </c>
      <c r="H452" s="45" t="s">
        <v>1133</v>
      </c>
      <c r="I452" s="45" t="s">
        <v>1133</v>
      </c>
      <c r="J452" s="45" t="s">
        <v>4861</v>
      </c>
      <c r="K452" s="45" t="s">
        <v>5425</v>
      </c>
      <c r="L452" s="45" t="s">
        <v>1122</v>
      </c>
      <c r="M452" s="45"/>
      <c r="N452" s="45"/>
      <c r="O452" s="45" t="s">
        <v>1123</v>
      </c>
      <c r="P452" s="46" t="str">
        <f>HYPERLINK("https://cofre.sieg.com/ajax/danfe.aspx?nfe=26230130998254007114550020000000281713194509","Ver Danfe")</f>
        <v>Ver Danfe</v>
      </c>
      <c r="Q452" s="46" t="str">
        <f>HYPERLINK("https://cofre.sieg.com/ajax/xml.aspx?nfe=26230130998254007114550020000000281713194509","Baixar Xml")</f>
        <v>Baixar Xml</v>
      </c>
    </row>
    <row r="453" spans="1:17" x14ac:dyDescent="0.75">
      <c r="A453" s="5">
        <v>29</v>
      </c>
      <c r="B453" s="55">
        <v>7.9</v>
      </c>
      <c r="C453" s="5" t="s">
        <v>4861</v>
      </c>
      <c r="D453" s="45" t="s">
        <v>1329</v>
      </c>
      <c r="E453" s="45" t="s">
        <v>1326</v>
      </c>
      <c r="F453" s="45" t="s">
        <v>1327</v>
      </c>
      <c r="G453" s="45" t="s">
        <v>1120</v>
      </c>
      <c r="H453" s="45" t="s">
        <v>1133</v>
      </c>
      <c r="I453" s="45" t="s">
        <v>1133</v>
      </c>
      <c r="J453" s="45" t="s">
        <v>4861</v>
      </c>
      <c r="K453" s="45" t="s">
        <v>5426</v>
      </c>
      <c r="L453" s="45" t="s">
        <v>1122</v>
      </c>
      <c r="M453" s="45"/>
      <c r="N453" s="45"/>
      <c r="O453" s="45" t="s">
        <v>1123</v>
      </c>
      <c r="P453" s="46" t="str">
        <f>HYPERLINK("https://cofre.sieg.com/ajax/danfe.aspx?nfe=26230130998254007114550020000000291882308819","Ver Danfe")</f>
        <v>Ver Danfe</v>
      </c>
      <c r="Q453" s="46" t="str">
        <f>HYPERLINK("https://cofre.sieg.com/ajax/xml.aspx?nfe=26230130998254007114550020000000291882308819","Baixar Xml")</f>
        <v>Baixar Xml</v>
      </c>
    </row>
    <row r="454" spans="1:17" x14ac:dyDescent="0.75">
      <c r="A454" s="5">
        <v>30</v>
      </c>
      <c r="B454" s="55">
        <v>15.5</v>
      </c>
      <c r="C454" s="5" t="s">
        <v>4883</v>
      </c>
      <c r="D454" s="45" t="s">
        <v>1329</v>
      </c>
      <c r="E454" s="45" t="s">
        <v>1326</v>
      </c>
      <c r="F454" s="45" t="s">
        <v>1327</v>
      </c>
      <c r="G454" s="45" t="s">
        <v>1120</v>
      </c>
      <c r="H454" s="45" t="s">
        <v>1133</v>
      </c>
      <c r="I454" s="45" t="s">
        <v>1133</v>
      </c>
      <c r="J454" s="45" t="s">
        <v>4883</v>
      </c>
      <c r="K454" s="45" t="s">
        <v>5427</v>
      </c>
      <c r="L454" s="45" t="s">
        <v>1122</v>
      </c>
      <c r="M454" s="45"/>
      <c r="N454" s="45"/>
      <c r="O454" s="45" t="s">
        <v>1123</v>
      </c>
      <c r="P454" s="46" t="str">
        <f>HYPERLINK("https://cofre.sieg.com/ajax/danfe.aspx?nfe=26230130998254007114550020000000301195486832","Ver Danfe")</f>
        <v>Ver Danfe</v>
      </c>
      <c r="Q454" s="46" t="str">
        <f>HYPERLINK("https://cofre.sieg.com/ajax/xml.aspx?nfe=26230130998254007114550020000000301195486832","Baixar Xml")</f>
        <v>Baixar Xml</v>
      </c>
    </row>
    <row r="455" spans="1:17" x14ac:dyDescent="0.75">
      <c r="A455" s="5">
        <v>31</v>
      </c>
      <c r="B455" s="55">
        <v>7.75</v>
      </c>
      <c r="C455" s="5" t="s">
        <v>4826</v>
      </c>
      <c r="D455" s="45" t="s">
        <v>1330</v>
      </c>
      <c r="E455" s="45" t="s">
        <v>1326</v>
      </c>
      <c r="F455" s="45" t="s">
        <v>1327</v>
      </c>
      <c r="G455" s="45" t="s">
        <v>1120</v>
      </c>
      <c r="H455" s="45" t="s">
        <v>1133</v>
      </c>
      <c r="I455" s="45" t="s">
        <v>1133</v>
      </c>
      <c r="J455" s="45" t="s">
        <v>4826</v>
      </c>
      <c r="K455" s="45" t="s">
        <v>5428</v>
      </c>
      <c r="L455" s="45" t="s">
        <v>1122</v>
      </c>
      <c r="M455" s="45" t="s">
        <v>1311</v>
      </c>
      <c r="N455" s="45" t="s">
        <v>1312</v>
      </c>
      <c r="O455" s="45" t="s">
        <v>1123</v>
      </c>
      <c r="P455" s="46" t="str">
        <f>HYPERLINK("https://cofre.sieg.com/ajax/danfe.aspx?nfe=26230130998254007971550020000000311884843649","Ver Danfe")</f>
        <v>Ver Danfe</v>
      </c>
      <c r="Q455" s="46" t="str">
        <f>HYPERLINK("https://cofre.sieg.com/ajax/xml.aspx?nfe=26230130998254007971550020000000311884843649","Baixar Xml")</f>
        <v>Baixar Xml</v>
      </c>
    </row>
    <row r="456" spans="1:17" x14ac:dyDescent="0.75">
      <c r="A456" s="5">
        <v>41</v>
      </c>
      <c r="B456" s="55">
        <v>20.9</v>
      </c>
      <c r="C456" s="5" t="s">
        <v>4907</v>
      </c>
      <c r="D456" s="45" t="s">
        <v>1330</v>
      </c>
      <c r="E456" s="45" t="s">
        <v>1326</v>
      </c>
      <c r="F456" s="45" t="s">
        <v>1327</v>
      </c>
      <c r="G456" s="45" t="s">
        <v>1120</v>
      </c>
      <c r="H456" s="45" t="s">
        <v>1133</v>
      </c>
      <c r="I456" s="45" t="s">
        <v>1133</v>
      </c>
      <c r="J456" s="45" t="s">
        <v>4907</v>
      </c>
      <c r="K456" s="45" t="s">
        <v>5429</v>
      </c>
      <c r="L456" s="45" t="s">
        <v>1122</v>
      </c>
      <c r="M456" s="45"/>
      <c r="N456" s="45"/>
      <c r="O456" s="45" t="s">
        <v>1123</v>
      </c>
      <c r="P456" s="46" t="str">
        <f>HYPERLINK("https://cofre.sieg.com/ajax/danfe.aspx?nfe=26230130998254007971550020000000411119709929","Ver Danfe")</f>
        <v>Ver Danfe</v>
      </c>
      <c r="Q456" s="46" t="str">
        <f>HYPERLINK("https://cofre.sieg.com/ajax/xml.aspx?nfe=26230130998254007971550020000000411119709929","Baixar Xml")</f>
        <v>Baixar Xml</v>
      </c>
    </row>
    <row r="457" spans="1:17" x14ac:dyDescent="0.75">
      <c r="A457" s="5">
        <v>42</v>
      </c>
      <c r="B457" s="55">
        <v>10.1</v>
      </c>
      <c r="C457" s="5" t="s">
        <v>4908</v>
      </c>
      <c r="D457" s="45" t="s">
        <v>1330</v>
      </c>
      <c r="E457" s="45" t="s">
        <v>1326</v>
      </c>
      <c r="F457" s="45" t="s">
        <v>1327</v>
      </c>
      <c r="G457" s="45" t="s">
        <v>1120</v>
      </c>
      <c r="H457" s="45" t="s">
        <v>1133</v>
      </c>
      <c r="I457" s="45" t="s">
        <v>1133</v>
      </c>
      <c r="J457" s="45" t="s">
        <v>4908</v>
      </c>
      <c r="K457" s="45" t="s">
        <v>5430</v>
      </c>
      <c r="L457" s="45" t="s">
        <v>1122</v>
      </c>
      <c r="M457" s="45"/>
      <c r="N457" s="45"/>
      <c r="O457" s="45" t="s">
        <v>1123</v>
      </c>
      <c r="P457" s="46" t="str">
        <f>HYPERLINK("https://cofre.sieg.com/ajax/danfe.aspx?nfe=26230130998254007971550020000000421833793842","Ver Danfe")</f>
        <v>Ver Danfe</v>
      </c>
      <c r="Q457" s="46" t="str">
        <f>HYPERLINK("https://cofre.sieg.com/ajax/xml.aspx?nfe=26230130998254007971550020000000421833793842","Baixar Xml")</f>
        <v>Baixar Xml</v>
      </c>
    </row>
    <row r="458" spans="1:17" x14ac:dyDescent="0.75">
      <c r="A458" s="5">
        <v>44</v>
      </c>
      <c r="B458" s="55">
        <v>16.95</v>
      </c>
      <c r="C458" s="5" t="s">
        <v>4919</v>
      </c>
      <c r="D458" s="45" t="s">
        <v>1330</v>
      </c>
      <c r="E458" s="45" t="s">
        <v>1326</v>
      </c>
      <c r="F458" s="45" t="s">
        <v>1327</v>
      </c>
      <c r="G458" s="45" t="s">
        <v>1120</v>
      </c>
      <c r="H458" s="45" t="s">
        <v>1133</v>
      </c>
      <c r="I458" s="45" t="s">
        <v>1133</v>
      </c>
      <c r="J458" s="45" t="s">
        <v>4919</v>
      </c>
      <c r="K458" s="45" t="s">
        <v>5431</v>
      </c>
      <c r="L458" s="45" t="s">
        <v>1122</v>
      </c>
      <c r="M458" s="45" t="s">
        <v>1311</v>
      </c>
      <c r="N458" s="45" t="s">
        <v>1312</v>
      </c>
      <c r="O458" s="45" t="s">
        <v>1123</v>
      </c>
      <c r="P458" s="46" t="str">
        <f>HYPERLINK("https://cofre.sieg.com/ajax/danfe.aspx?nfe=26230130998254007971550020000000441079189808","Ver Danfe")</f>
        <v>Ver Danfe</v>
      </c>
      <c r="Q458" s="46" t="str">
        <f>HYPERLINK("https://cofre.sieg.com/ajax/xml.aspx?nfe=26230130998254007971550020000000441079189808","Baixar Xml")</f>
        <v>Baixar Xml</v>
      </c>
    </row>
    <row r="459" spans="1:17" x14ac:dyDescent="0.75">
      <c r="A459" s="5">
        <v>45</v>
      </c>
      <c r="B459" s="55">
        <v>10.4</v>
      </c>
      <c r="C459" s="5" t="s">
        <v>4919</v>
      </c>
      <c r="D459" s="45" t="s">
        <v>1330</v>
      </c>
      <c r="E459" s="45" t="s">
        <v>1326</v>
      </c>
      <c r="F459" s="45" t="s">
        <v>1327</v>
      </c>
      <c r="G459" s="45" t="s">
        <v>1120</v>
      </c>
      <c r="H459" s="45" t="s">
        <v>1133</v>
      </c>
      <c r="I459" s="45" t="s">
        <v>1133</v>
      </c>
      <c r="J459" s="45" t="s">
        <v>4919</v>
      </c>
      <c r="K459" s="45" t="s">
        <v>5432</v>
      </c>
      <c r="L459" s="45" t="s">
        <v>1122</v>
      </c>
      <c r="M459" s="45" t="s">
        <v>1311</v>
      </c>
      <c r="N459" s="45" t="s">
        <v>1312</v>
      </c>
      <c r="O459" s="45" t="s">
        <v>1123</v>
      </c>
      <c r="P459" s="46" t="str">
        <f>HYPERLINK("https://cofre.sieg.com/ajax/danfe.aspx?nfe=26230130998254007971550020000000451018889211","Ver Danfe")</f>
        <v>Ver Danfe</v>
      </c>
      <c r="Q459" s="46" t="str">
        <f>HYPERLINK("https://cofre.sieg.com/ajax/xml.aspx?nfe=26230130998254007971550020000000451018889211","Baixar Xml")</f>
        <v>Baixar Xml</v>
      </c>
    </row>
    <row r="460" spans="1:17" x14ac:dyDescent="0.75">
      <c r="A460" s="5">
        <v>47</v>
      </c>
      <c r="B460" s="55">
        <v>2.2000000000000002</v>
      </c>
      <c r="C460" s="5" t="s">
        <v>4938</v>
      </c>
      <c r="D460" s="45" t="s">
        <v>1330</v>
      </c>
      <c r="E460" s="45" t="s">
        <v>1326</v>
      </c>
      <c r="F460" s="45" t="s">
        <v>1327</v>
      </c>
      <c r="G460" s="45" t="s">
        <v>1120</v>
      </c>
      <c r="H460" s="45" t="s">
        <v>1133</v>
      </c>
      <c r="I460" s="45" t="s">
        <v>1133</v>
      </c>
      <c r="J460" s="45" t="s">
        <v>4938</v>
      </c>
      <c r="K460" s="45" t="s">
        <v>5433</v>
      </c>
      <c r="L460" s="45" t="s">
        <v>1122</v>
      </c>
      <c r="M460" s="45"/>
      <c r="N460" s="45"/>
      <c r="O460" s="45" t="s">
        <v>1123</v>
      </c>
      <c r="P460" s="46" t="str">
        <f>HYPERLINK("https://cofre.sieg.com/ajax/danfe.aspx?nfe=26230130998254007971550020000000471712791870","Ver Danfe")</f>
        <v>Ver Danfe</v>
      </c>
      <c r="Q460" s="46" t="str">
        <f>HYPERLINK("https://cofre.sieg.com/ajax/xml.aspx?nfe=26230130998254007971550020000000471712791870","Baixar Xml")</f>
        <v>Baixar Xml</v>
      </c>
    </row>
    <row r="461" spans="1:17" x14ac:dyDescent="0.75">
      <c r="A461" s="5">
        <v>48</v>
      </c>
      <c r="B461" s="55">
        <v>16.95</v>
      </c>
      <c r="C461" s="5" t="s">
        <v>4938</v>
      </c>
      <c r="D461" s="45" t="s">
        <v>1330</v>
      </c>
      <c r="E461" s="45" t="s">
        <v>1326</v>
      </c>
      <c r="F461" s="45" t="s">
        <v>1327</v>
      </c>
      <c r="G461" s="45" t="s">
        <v>1120</v>
      </c>
      <c r="H461" s="45" t="s">
        <v>1133</v>
      </c>
      <c r="I461" s="45" t="s">
        <v>1133</v>
      </c>
      <c r="J461" s="45" t="s">
        <v>4938</v>
      </c>
      <c r="K461" s="45" t="s">
        <v>5434</v>
      </c>
      <c r="L461" s="45" t="s">
        <v>1122</v>
      </c>
      <c r="M461" s="45"/>
      <c r="N461" s="45"/>
      <c r="O461" s="45" t="s">
        <v>1123</v>
      </c>
      <c r="P461" s="46" t="str">
        <f>HYPERLINK("https://cofre.sieg.com/ajax/danfe.aspx?nfe=26230130998254007971550020000000481148681701","Ver Danfe")</f>
        <v>Ver Danfe</v>
      </c>
      <c r="Q461" s="46" t="str">
        <f>HYPERLINK("https://cofre.sieg.com/ajax/xml.aspx?nfe=26230130998254007971550020000000481148681701","Baixar Xml")</f>
        <v>Baixar Xml</v>
      </c>
    </row>
    <row r="462" spans="1:17" x14ac:dyDescent="0.75">
      <c r="A462" s="5">
        <v>357</v>
      </c>
      <c r="B462" s="55">
        <v>146.80000000000001</v>
      </c>
      <c r="C462" s="5" t="s">
        <v>4825</v>
      </c>
      <c r="D462" s="45" t="s">
        <v>1331</v>
      </c>
      <c r="E462" s="45" t="s">
        <v>1326</v>
      </c>
      <c r="F462" s="45" t="s">
        <v>1327</v>
      </c>
      <c r="G462" s="45" t="s">
        <v>1120</v>
      </c>
      <c r="H462" s="45" t="s">
        <v>1133</v>
      </c>
      <c r="I462" s="45" t="s">
        <v>1133</v>
      </c>
      <c r="J462" s="45" t="s">
        <v>4825</v>
      </c>
      <c r="K462" s="45" t="s">
        <v>5435</v>
      </c>
      <c r="L462" s="45" t="s">
        <v>1122</v>
      </c>
      <c r="M462" s="45"/>
      <c r="N462" s="45"/>
      <c r="O462" s="45" t="s">
        <v>1123</v>
      </c>
      <c r="P462" s="46" t="str">
        <f>HYPERLINK("https://cofre.sieg.com/ajax/danfe.aspx?nfe=26230130998254010255550020000003571779350070","Ver Danfe")</f>
        <v>Ver Danfe</v>
      </c>
      <c r="Q462" s="46" t="str">
        <f>HYPERLINK("https://cofre.sieg.com/ajax/xml.aspx?nfe=26230130998254010255550020000003571779350070","Baixar Xml")</f>
        <v>Baixar Xml</v>
      </c>
    </row>
    <row r="463" spans="1:17" x14ac:dyDescent="0.75">
      <c r="A463" s="5">
        <v>360</v>
      </c>
      <c r="B463" s="55">
        <v>173.7</v>
      </c>
      <c r="C463" s="5" t="s">
        <v>4826</v>
      </c>
      <c r="D463" s="45" t="s">
        <v>1331</v>
      </c>
      <c r="E463" s="45" t="s">
        <v>1326</v>
      </c>
      <c r="F463" s="45" t="s">
        <v>1327</v>
      </c>
      <c r="G463" s="45" t="s">
        <v>1120</v>
      </c>
      <c r="H463" s="45" t="s">
        <v>1133</v>
      </c>
      <c r="I463" s="45" t="s">
        <v>1133</v>
      </c>
      <c r="J463" s="45" t="s">
        <v>4826</v>
      </c>
      <c r="K463" s="45" t="s">
        <v>5436</v>
      </c>
      <c r="L463" s="45" t="s">
        <v>1122</v>
      </c>
      <c r="M463" s="45" t="s">
        <v>1311</v>
      </c>
      <c r="N463" s="45" t="s">
        <v>1312</v>
      </c>
      <c r="O463" s="45" t="s">
        <v>1123</v>
      </c>
      <c r="P463" s="46" t="str">
        <f>HYPERLINK("https://cofre.sieg.com/ajax/danfe.aspx?nfe=26230130998254010255550020000003601040585967","Ver Danfe")</f>
        <v>Ver Danfe</v>
      </c>
      <c r="Q463" s="46" t="str">
        <f>HYPERLINK("https://cofre.sieg.com/ajax/xml.aspx?nfe=26230130998254010255550020000003601040585967","Baixar Xml")</f>
        <v>Baixar Xml</v>
      </c>
    </row>
    <row r="464" spans="1:17" x14ac:dyDescent="0.75">
      <c r="A464" s="5">
        <v>371</v>
      </c>
      <c r="B464" s="55">
        <v>12.9</v>
      </c>
      <c r="C464" s="5" t="s">
        <v>4839</v>
      </c>
      <c r="D464" s="45" t="s">
        <v>1331</v>
      </c>
      <c r="E464" s="45" t="s">
        <v>1326</v>
      </c>
      <c r="F464" s="45" t="s">
        <v>1327</v>
      </c>
      <c r="G464" s="45" t="s">
        <v>1120</v>
      </c>
      <c r="H464" s="45" t="s">
        <v>1133</v>
      </c>
      <c r="I464" s="45" t="s">
        <v>1133</v>
      </c>
      <c r="J464" s="45" t="s">
        <v>4839</v>
      </c>
      <c r="K464" s="45" t="s">
        <v>5437</v>
      </c>
      <c r="L464" s="45" t="s">
        <v>1122</v>
      </c>
      <c r="M464" s="45"/>
      <c r="N464" s="45"/>
      <c r="O464" s="45" t="s">
        <v>1123</v>
      </c>
      <c r="P464" s="46" t="str">
        <f>HYPERLINK("https://cofre.sieg.com/ajax/danfe.aspx?nfe=26230130998254010255550020000003711859213923","Ver Danfe")</f>
        <v>Ver Danfe</v>
      </c>
      <c r="Q464" s="46" t="str">
        <f>HYPERLINK("https://cofre.sieg.com/ajax/xml.aspx?nfe=26230130998254010255550020000003711859213923","Baixar Xml")</f>
        <v>Baixar Xml</v>
      </c>
    </row>
    <row r="465" spans="1:17" x14ac:dyDescent="0.75">
      <c r="A465" s="5">
        <v>376</v>
      </c>
      <c r="B465" s="55">
        <v>52.2</v>
      </c>
      <c r="C465" s="5" t="s">
        <v>4839</v>
      </c>
      <c r="D465" s="45" t="s">
        <v>1331</v>
      </c>
      <c r="E465" s="45" t="s">
        <v>1326</v>
      </c>
      <c r="F465" s="45" t="s">
        <v>1327</v>
      </c>
      <c r="G465" s="45" t="s">
        <v>1120</v>
      </c>
      <c r="H465" s="45" t="s">
        <v>1133</v>
      </c>
      <c r="I465" s="45" t="s">
        <v>1133</v>
      </c>
      <c r="J465" s="45" t="s">
        <v>4839</v>
      </c>
      <c r="K465" s="45" t="s">
        <v>5438</v>
      </c>
      <c r="L465" s="45" t="s">
        <v>1122</v>
      </c>
      <c r="M465" s="45"/>
      <c r="N465" s="45"/>
      <c r="O465" s="45" t="s">
        <v>1123</v>
      </c>
      <c r="P465" s="46" t="str">
        <f>HYPERLINK("https://cofre.sieg.com/ajax/danfe.aspx?nfe=26230130998254010255550020000003761692739320","Ver Danfe")</f>
        <v>Ver Danfe</v>
      </c>
      <c r="Q465" s="46" t="str">
        <f>HYPERLINK("https://cofre.sieg.com/ajax/xml.aspx?nfe=26230130998254010255550020000003761692739320","Baixar Xml")</f>
        <v>Baixar Xml</v>
      </c>
    </row>
    <row r="466" spans="1:17" x14ac:dyDescent="0.75">
      <c r="A466" s="5">
        <v>388</v>
      </c>
      <c r="B466" s="55">
        <v>8.0500000000000007</v>
      </c>
      <c r="C466" s="5" t="s">
        <v>4861</v>
      </c>
      <c r="D466" s="45" t="s">
        <v>1331</v>
      </c>
      <c r="E466" s="45" t="s">
        <v>1326</v>
      </c>
      <c r="F466" s="45" t="s">
        <v>1327</v>
      </c>
      <c r="G466" s="45" t="s">
        <v>1120</v>
      </c>
      <c r="H466" s="45" t="s">
        <v>1133</v>
      </c>
      <c r="I466" s="45" t="s">
        <v>1133</v>
      </c>
      <c r="J466" s="45" t="s">
        <v>4861</v>
      </c>
      <c r="K466" s="45" t="s">
        <v>5439</v>
      </c>
      <c r="L466" s="45" t="s">
        <v>1122</v>
      </c>
      <c r="M466" s="45"/>
      <c r="N466" s="45"/>
      <c r="O466" s="45" t="s">
        <v>1123</v>
      </c>
      <c r="P466" s="46" t="str">
        <f>HYPERLINK("https://cofre.sieg.com/ajax/danfe.aspx?nfe=26230130998254010255550020000003881464548016","Ver Danfe")</f>
        <v>Ver Danfe</v>
      </c>
      <c r="Q466" s="46" t="str">
        <f>HYPERLINK("https://cofre.sieg.com/ajax/xml.aspx?nfe=26230130998254010255550020000003881464548016","Baixar Xml")</f>
        <v>Baixar Xml</v>
      </c>
    </row>
    <row r="467" spans="1:17" x14ac:dyDescent="0.75">
      <c r="A467" s="5">
        <v>389</v>
      </c>
      <c r="B467" s="55">
        <v>52.65</v>
      </c>
      <c r="C467" s="5" t="s">
        <v>4861</v>
      </c>
      <c r="D467" s="45" t="s">
        <v>1331</v>
      </c>
      <c r="E467" s="45" t="s">
        <v>1326</v>
      </c>
      <c r="F467" s="45" t="s">
        <v>1327</v>
      </c>
      <c r="G467" s="45" t="s">
        <v>1120</v>
      </c>
      <c r="H467" s="45" t="s">
        <v>1133</v>
      </c>
      <c r="I467" s="45" t="s">
        <v>1133</v>
      </c>
      <c r="J467" s="45" t="s">
        <v>4861</v>
      </c>
      <c r="K467" s="45" t="s">
        <v>5440</v>
      </c>
      <c r="L467" s="45" t="s">
        <v>1122</v>
      </c>
      <c r="M467" s="45"/>
      <c r="N467" s="45"/>
      <c r="O467" s="45" t="s">
        <v>1123</v>
      </c>
      <c r="P467" s="46" t="str">
        <f>HYPERLINK("https://cofre.sieg.com/ajax/danfe.aspx?nfe=26230130998254010255550020000003891288531800","Ver Danfe")</f>
        <v>Ver Danfe</v>
      </c>
      <c r="Q467" s="46" t="str">
        <f>HYPERLINK("https://cofre.sieg.com/ajax/xml.aspx?nfe=26230130998254010255550020000003891288531800","Baixar Xml")</f>
        <v>Baixar Xml</v>
      </c>
    </row>
    <row r="468" spans="1:17" x14ac:dyDescent="0.75">
      <c r="A468" s="5">
        <v>394</v>
      </c>
      <c r="B468" s="55">
        <v>58.05</v>
      </c>
      <c r="C468" s="5" t="s">
        <v>4862</v>
      </c>
      <c r="D468" s="45" t="s">
        <v>1331</v>
      </c>
      <c r="E468" s="45" t="s">
        <v>1326</v>
      </c>
      <c r="F468" s="45" t="s">
        <v>1327</v>
      </c>
      <c r="G468" s="45" t="s">
        <v>1120</v>
      </c>
      <c r="H468" s="45" t="s">
        <v>1133</v>
      </c>
      <c r="I468" s="45" t="s">
        <v>1133</v>
      </c>
      <c r="J468" s="45" t="s">
        <v>4866</v>
      </c>
      <c r="K468" s="45" t="s">
        <v>5441</v>
      </c>
      <c r="L468" s="45" t="s">
        <v>1122</v>
      </c>
      <c r="M468" s="45"/>
      <c r="N468" s="45"/>
      <c r="O468" s="45" t="s">
        <v>1123</v>
      </c>
      <c r="P468" s="46" t="str">
        <f>HYPERLINK("https://cofre.sieg.com/ajax/danfe.aspx?nfe=26230130998254010255550020000003941969686995","Ver Danfe")</f>
        <v>Ver Danfe</v>
      </c>
      <c r="Q468" s="46" t="str">
        <f>HYPERLINK("https://cofre.sieg.com/ajax/xml.aspx?nfe=26230130998254010255550020000003941969686995","Baixar Xml")</f>
        <v>Baixar Xml</v>
      </c>
    </row>
    <row r="469" spans="1:17" x14ac:dyDescent="0.75">
      <c r="A469" s="5">
        <v>397</v>
      </c>
      <c r="B469" s="55">
        <v>28.8</v>
      </c>
      <c r="C469" s="5" t="s">
        <v>4866</v>
      </c>
      <c r="D469" s="45" t="s">
        <v>1331</v>
      </c>
      <c r="E469" s="45" t="s">
        <v>1326</v>
      </c>
      <c r="F469" s="45" t="s">
        <v>1327</v>
      </c>
      <c r="G469" s="45" t="s">
        <v>1120</v>
      </c>
      <c r="H469" s="45" t="s">
        <v>1133</v>
      </c>
      <c r="I469" s="45" t="s">
        <v>1133</v>
      </c>
      <c r="J469" s="45" t="s">
        <v>4873</v>
      </c>
      <c r="K469" s="45" t="s">
        <v>5442</v>
      </c>
      <c r="L469" s="45" t="s">
        <v>1122</v>
      </c>
      <c r="M469" s="45" t="s">
        <v>1311</v>
      </c>
      <c r="N469" s="45" t="s">
        <v>1312</v>
      </c>
      <c r="O469" s="45" t="s">
        <v>1123</v>
      </c>
      <c r="P469" s="46" t="str">
        <f>HYPERLINK("https://cofre.sieg.com/ajax/danfe.aspx?nfe=26230130998254010255550020000003971148357604","Ver Danfe")</f>
        <v>Ver Danfe</v>
      </c>
      <c r="Q469" s="46" t="str">
        <f>HYPERLINK("https://cofre.sieg.com/ajax/xml.aspx?nfe=26230130998254010255550020000003971148357604","Baixar Xml")</f>
        <v>Baixar Xml</v>
      </c>
    </row>
    <row r="470" spans="1:17" x14ac:dyDescent="0.75">
      <c r="A470" s="5">
        <v>408</v>
      </c>
      <c r="B470" s="55">
        <v>18.3</v>
      </c>
      <c r="C470" s="5" t="s">
        <v>4883</v>
      </c>
      <c r="D470" s="45" t="s">
        <v>1331</v>
      </c>
      <c r="E470" s="45" t="s">
        <v>1326</v>
      </c>
      <c r="F470" s="45" t="s">
        <v>1327</v>
      </c>
      <c r="G470" s="45" t="s">
        <v>1120</v>
      </c>
      <c r="H470" s="45" t="s">
        <v>1133</v>
      </c>
      <c r="I470" s="45" t="s">
        <v>1133</v>
      </c>
      <c r="J470" s="45" t="s">
        <v>4883</v>
      </c>
      <c r="K470" s="45" t="s">
        <v>5443</v>
      </c>
      <c r="L470" s="45" t="s">
        <v>1122</v>
      </c>
      <c r="M470" s="45"/>
      <c r="N470" s="45"/>
      <c r="O470" s="45" t="s">
        <v>1123</v>
      </c>
      <c r="P470" s="46" t="str">
        <f>HYPERLINK("https://cofre.sieg.com/ajax/danfe.aspx?nfe=26230130998254010255550020000004081388412680","Ver Danfe")</f>
        <v>Ver Danfe</v>
      </c>
      <c r="Q470" s="46" t="str">
        <f>HYPERLINK("https://cofre.sieg.com/ajax/xml.aspx?nfe=26230130998254010255550020000004081388412680","Baixar Xml")</f>
        <v>Baixar Xml</v>
      </c>
    </row>
    <row r="471" spans="1:17" x14ac:dyDescent="0.75">
      <c r="A471" s="5">
        <v>416</v>
      </c>
      <c r="B471" s="55">
        <v>88.25</v>
      </c>
      <c r="C471" s="5" t="s">
        <v>4891</v>
      </c>
      <c r="D471" s="45" t="s">
        <v>1331</v>
      </c>
      <c r="E471" s="45" t="s">
        <v>1326</v>
      </c>
      <c r="F471" s="45" t="s">
        <v>1327</v>
      </c>
      <c r="G471" s="45" t="s">
        <v>1120</v>
      </c>
      <c r="H471" s="45" t="s">
        <v>1133</v>
      </c>
      <c r="I471" s="45" t="s">
        <v>1133</v>
      </c>
      <c r="J471" s="45" t="s">
        <v>4891</v>
      </c>
      <c r="K471" s="45" t="s">
        <v>5444</v>
      </c>
      <c r="L471" s="45" t="s">
        <v>1122</v>
      </c>
      <c r="M471" s="45" t="s">
        <v>1311</v>
      </c>
      <c r="N471" s="45" t="s">
        <v>1312</v>
      </c>
      <c r="O471" s="45" t="s">
        <v>1123</v>
      </c>
      <c r="P471" s="46" t="str">
        <f>HYPERLINK("https://cofre.sieg.com/ajax/danfe.aspx?nfe=26230130998254010255550020000004161852167580","Ver Danfe")</f>
        <v>Ver Danfe</v>
      </c>
      <c r="Q471" s="46" t="str">
        <f>HYPERLINK("https://cofre.sieg.com/ajax/xml.aspx?nfe=26230130998254010255550020000004161852167580","Baixar Xml")</f>
        <v>Baixar Xml</v>
      </c>
    </row>
    <row r="472" spans="1:17" x14ac:dyDescent="0.75">
      <c r="A472" s="5">
        <v>417</v>
      </c>
      <c r="B472" s="55">
        <v>4.9000000000000004</v>
      </c>
      <c r="C472" s="5" t="s">
        <v>4891</v>
      </c>
      <c r="D472" s="45" t="s">
        <v>1331</v>
      </c>
      <c r="E472" s="45" t="s">
        <v>1326</v>
      </c>
      <c r="F472" s="45" t="s">
        <v>1327</v>
      </c>
      <c r="G472" s="45" t="s">
        <v>1120</v>
      </c>
      <c r="H472" s="45" t="s">
        <v>1133</v>
      </c>
      <c r="I472" s="45" t="s">
        <v>1133</v>
      </c>
      <c r="J472" s="45" t="s">
        <v>4891</v>
      </c>
      <c r="K472" s="45" t="s">
        <v>5445</v>
      </c>
      <c r="L472" s="45" t="s">
        <v>1122</v>
      </c>
      <c r="M472" s="45" t="s">
        <v>1311</v>
      </c>
      <c r="N472" s="45" t="s">
        <v>1312</v>
      </c>
      <c r="O472" s="45" t="s">
        <v>1123</v>
      </c>
      <c r="P472" s="46" t="str">
        <f>HYPERLINK("https://cofre.sieg.com/ajax/danfe.aspx?nfe=26230130998254010255550020000004171908323805","Ver Danfe")</f>
        <v>Ver Danfe</v>
      </c>
      <c r="Q472" s="46" t="str">
        <f>HYPERLINK("https://cofre.sieg.com/ajax/xml.aspx?nfe=26230130998254010255550020000004171908323805","Baixar Xml")</f>
        <v>Baixar Xml</v>
      </c>
    </row>
    <row r="473" spans="1:17" x14ac:dyDescent="0.75">
      <c r="A473" s="5">
        <v>427</v>
      </c>
      <c r="B473" s="55">
        <v>41.7</v>
      </c>
      <c r="C473" s="5" t="s">
        <v>4899</v>
      </c>
      <c r="D473" s="45" t="s">
        <v>1331</v>
      </c>
      <c r="E473" s="45" t="s">
        <v>1326</v>
      </c>
      <c r="F473" s="45" t="s">
        <v>1327</v>
      </c>
      <c r="G473" s="45" t="s">
        <v>1120</v>
      </c>
      <c r="H473" s="45" t="s">
        <v>1133</v>
      </c>
      <c r="I473" s="45" t="s">
        <v>1133</v>
      </c>
      <c r="J473" s="45" t="s">
        <v>4899</v>
      </c>
      <c r="K473" s="45" t="s">
        <v>5446</v>
      </c>
      <c r="L473" s="45" t="s">
        <v>1122</v>
      </c>
      <c r="M473" s="45" t="s">
        <v>1311</v>
      </c>
      <c r="N473" s="45" t="s">
        <v>1312</v>
      </c>
      <c r="O473" s="45" t="s">
        <v>1123</v>
      </c>
      <c r="P473" s="46" t="str">
        <f>HYPERLINK("https://cofre.sieg.com/ajax/danfe.aspx?nfe=26230130998254010255550020000004271888746109","Ver Danfe")</f>
        <v>Ver Danfe</v>
      </c>
      <c r="Q473" s="46" t="str">
        <f>HYPERLINK("https://cofre.sieg.com/ajax/xml.aspx?nfe=26230130998254010255550020000004271888746109","Baixar Xml")</f>
        <v>Baixar Xml</v>
      </c>
    </row>
    <row r="474" spans="1:17" x14ac:dyDescent="0.75">
      <c r="A474" s="5">
        <v>428</v>
      </c>
      <c r="B474" s="55">
        <v>35</v>
      </c>
      <c r="C474" s="5" t="s">
        <v>4907</v>
      </c>
      <c r="D474" s="45" t="s">
        <v>1331</v>
      </c>
      <c r="E474" s="45" t="s">
        <v>1326</v>
      </c>
      <c r="F474" s="45" t="s">
        <v>1327</v>
      </c>
      <c r="G474" s="45" t="s">
        <v>1120</v>
      </c>
      <c r="H474" s="45" t="s">
        <v>1133</v>
      </c>
      <c r="I474" s="45" t="s">
        <v>1133</v>
      </c>
      <c r="J474" s="45" t="s">
        <v>4907</v>
      </c>
      <c r="K474" s="45" t="s">
        <v>5447</v>
      </c>
      <c r="L474" s="45" t="s">
        <v>1122</v>
      </c>
      <c r="M474" s="45"/>
      <c r="N474" s="45"/>
      <c r="O474" s="45" t="s">
        <v>1123</v>
      </c>
      <c r="P474" s="46" t="str">
        <f>HYPERLINK("https://cofre.sieg.com/ajax/danfe.aspx?nfe=26230130998254010255550020000004281685502520","Ver Danfe")</f>
        <v>Ver Danfe</v>
      </c>
      <c r="Q474" s="46" t="str">
        <f>HYPERLINK("https://cofre.sieg.com/ajax/xml.aspx?nfe=26230130998254010255550020000004281685502520","Baixar Xml")</f>
        <v>Baixar Xml</v>
      </c>
    </row>
    <row r="475" spans="1:17" x14ac:dyDescent="0.75">
      <c r="A475" s="5">
        <v>433</v>
      </c>
      <c r="B475" s="55">
        <v>87.6</v>
      </c>
      <c r="C475" s="5" t="s">
        <v>4907</v>
      </c>
      <c r="D475" s="45" t="s">
        <v>1331</v>
      </c>
      <c r="E475" s="45" t="s">
        <v>1326</v>
      </c>
      <c r="F475" s="45" t="s">
        <v>1327</v>
      </c>
      <c r="G475" s="45" t="s">
        <v>1120</v>
      </c>
      <c r="H475" s="45" t="s">
        <v>1133</v>
      </c>
      <c r="I475" s="45" t="s">
        <v>1133</v>
      </c>
      <c r="J475" s="45" t="s">
        <v>4907</v>
      </c>
      <c r="K475" s="45" t="s">
        <v>5448</v>
      </c>
      <c r="L475" s="45" t="s">
        <v>1122</v>
      </c>
      <c r="M475" s="45" t="s">
        <v>1311</v>
      </c>
      <c r="N475" s="45" t="s">
        <v>1312</v>
      </c>
      <c r="O475" s="45" t="s">
        <v>1123</v>
      </c>
      <c r="P475" s="46" t="str">
        <f>HYPERLINK("https://cofre.sieg.com/ajax/danfe.aspx?nfe=26230130998254010255550020000004331911679198","Ver Danfe")</f>
        <v>Ver Danfe</v>
      </c>
      <c r="Q475" s="46" t="str">
        <f>HYPERLINK("https://cofre.sieg.com/ajax/xml.aspx?nfe=26230130998254010255550020000004331911679198","Baixar Xml")</f>
        <v>Baixar Xml</v>
      </c>
    </row>
    <row r="476" spans="1:17" x14ac:dyDescent="0.75">
      <c r="A476" s="5">
        <v>446</v>
      </c>
      <c r="B476" s="55">
        <v>15.5</v>
      </c>
      <c r="C476" s="5" t="s">
        <v>4923</v>
      </c>
      <c r="D476" s="45" t="s">
        <v>1331</v>
      </c>
      <c r="E476" s="45" t="s">
        <v>1326</v>
      </c>
      <c r="F476" s="45" t="s">
        <v>1327</v>
      </c>
      <c r="G476" s="45" t="s">
        <v>1120</v>
      </c>
      <c r="H476" s="45" t="s">
        <v>1133</v>
      </c>
      <c r="I476" s="45" t="s">
        <v>1133</v>
      </c>
      <c r="J476" s="45" t="s">
        <v>4923</v>
      </c>
      <c r="K476" s="45" t="s">
        <v>5449</v>
      </c>
      <c r="L476" s="45" t="s">
        <v>1122</v>
      </c>
      <c r="M476" s="45"/>
      <c r="N476" s="45"/>
      <c r="O476" s="45" t="s">
        <v>1123</v>
      </c>
      <c r="P476" s="46" t="str">
        <f>HYPERLINK("https://cofre.sieg.com/ajax/danfe.aspx?nfe=26230130998254010255550020000004461409647607","Ver Danfe")</f>
        <v>Ver Danfe</v>
      </c>
      <c r="Q476" s="46" t="str">
        <f>HYPERLINK("https://cofre.sieg.com/ajax/xml.aspx?nfe=26230130998254010255550020000004461409647607","Baixar Xml")</f>
        <v>Baixar Xml</v>
      </c>
    </row>
    <row r="477" spans="1:17" x14ac:dyDescent="0.75">
      <c r="A477" s="5">
        <v>447</v>
      </c>
      <c r="B477" s="55">
        <v>14.45</v>
      </c>
      <c r="C477" s="5" t="s">
        <v>4923</v>
      </c>
      <c r="D477" s="45" t="s">
        <v>1331</v>
      </c>
      <c r="E477" s="45" t="s">
        <v>1326</v>
      </c>
      <c r="F477" s="45" t="s">
        <v>1327</v>
      </c>
      <c r="G477" s="45" t="s">
        <v>1120</v>
      </c>
      <c r="H477" s="45" t="s">
        <v>1133</v>
      </c>
      <c r="I477" s="45" t="s">
        <v>1133</v>
      </c>
      <c r="J477" s="45" t="s">
        <v>4923</v>
      </c>
      <c r="K477" s="45" t="s">
        <v>5450</v>
      </c>
      <c r="L477" s="45" t="s">
        <v>1122</v>
      </c>
      <c r="M477" s="45"/>
      <c r="N477" s="45"/>
      <c r="O477" s="45" t="s">
        <v>1123</v>
      </c>
      <c r="P477" s="46" t="str">
        <f>HYPERLINK("https://cofre.sieg.com/ajax/danfe.aspx?nfe=26230130998254010255550020000004471629266774","Ver Danfe")</f>
        <v>Ver Danfe</v>
      </c>
      <c r="Q477" s="46" t="str">
        <f>HYPERLINK("https://cofre.sieg.com/ajax/xml.aspx?nfe=26230130998254010255550020000004471629266774","Baixar Xml")</f>
        <v>Baixar Xml</v>
      </c>
    </row>
    <row r="478" spans="1:17" x14ac:dyDescent="0.75">
      <c r="A478" s="5">
        <v>448</v>
      </c>
      <c r="B478" s="55">
        <v>24.55</v>
      </c>
      <c r="C478" s="5" t="s">
        <v>4923</v>
      </c>
      <c r="D478" s="45" t="s">
        <v>1331</v>
      </c>
      <c r="E478" s="45" t="s">
        <v>1326</v>
      </c>
      <c r="F478" s="45" t="s">
        <v>1327</v>
      </c>
      <c r="G478" s="45" t="s">
        <v>1120</v>
      </c>
      <c r="H478" s="45" t="s">
        <v>1133</v>
      </c>
      <c r="I478" s="45" t="s">
        <v>1133</v>
      </c>
      <c r="J478" s="45" t="s">
        <v>4923</v>
      </c>
      <c r="K478" s="45" t="s">
        <v>5451</v>
      </c>
      <c r="L478" s="45" t="s">
        <v>1122</v>
      </c>
      <c r="M478" s="45"/>
      <c r="N478" s="45"/>
      <c r="O478" s="45" t="s">
        <v>1123</v>
      </c>
      <c r="P478" s="46" t="str">
        <f>HYPERLINK("https://cofre.sieg.com/ajax/danfe.aspx?nfe=26230130998254010255550020000004481605513876","Ver Danfe")</f>
        <v>Ver Danfe</v>
      </c>
      <c r="Q478" s="46" t="str">
        <f>HYPERLINK("https://cofre.sieg.com/ajax/xml.aspx?nfe=26230130998254010255550020000004481605513876","Baixar Xml")</f>
        <v>Baixar Xml</v>
      </c>
    </row>
    <row r="479" spans="1:17" x14ac:dyDescent="0.75">
      <c r="A479" s="5">
        <v>449</v>
      </c>
      <c r="B479" s="55">
        <v>35.9</v>
      </c>
      <c r="C479" s="5" t="s">
        <v>4923</v>
      </c>
      <c r="D479" s="45" t="s">
        <v>1331</v>
      </c>
      <c r="E479" s="45" t="s">
        <v>1326</v>
      </c>
      <c r="F479" s="45" t="s">
        <v>1327</v>
      </c>
      <c r="G479" s="45" t="s">
        <v>1120</v>
      </c>
      <c r="H479" s="45" t="s">
        <v>1133</v>
      </c>
      <c r="I479" s="45" t="s">
        <v>1133</v>
      </c>
      <c r="J479" s="45" t="s">
        <v>4923</v>
      </c>
      <c r="K479" s="45" t="s">
        <v>5452</v>
      </c>
      <c r="L479" s="45" t="s">
        <v>1122</v>
      </c>
      <c r="M479" s="45"/>
      <c r="N479" s="45"/>
      <c r="O479" s="45" t="s">
        <v>1123</v>
      </c>
      <c r="P479" s="46" t="str">
        <f>HYPERLINK("https://cofre.sieg.com/ajax/danfe.aspx?nfe=26230130998254010255550020000004491597015709","Ver Danfe")</f>
        <v>Ver Danfe</v>
      </c>
      <c r="Q479" s="46" t="str">
        <f>HYPERLINK("https://cofre.sieg.com/ajax/xml.aspx?nfe=26230130998254010255550020000004491597015709","Baixar Xml")</f>
        <v>Baixar Xml</v>
      </c>
    </row>
    <row r="480" spans="1:17" x14ac:dyDescent="0.75">
      <c r="A480" s="5">
        <v>466</v>
      </c>
      <c r="B480" s="55">
        <v>34.200000000000003</v>
      </c>
      <c r="C480" s="5" t="s">
        <v>4938</v>
      </c>
      <c r="D480" s="45" t="s">
        <v>1331</v>
      </c>
      <c r="E480" s="45" t="s">
        <v>1326</v>
      </c>
      <c r="F480" s="45" t="s">
        <v>1327</v>
      </c>
      <c r="G480" s="45" t="s">
        <v>1120</v>
      </c>
      <c r="H480" s="45" t="s">
        <v>1133</v>
      </c>
      <c r="I480" s="45" t="s">
        <v>1133</v>
      </c>
      <c r="J480" s="45" t="s">
        <v>4938</v>
      </c>
      <c r="K480" s="45" t="s">
        <v>5453</v>
      </c>
      <c r="L480" s="45" t="s">
        <v>1122</v>
      </c>
      <c r="M480" s="45" t="s">
        <v>1311</v>
      </c>
      <c r="N480" s="45" t="s">
        <v>1312</v>
      </c>
      <c r="O480" s="45" t="s">
        <v>1123</v>
      </c>
      <c r="P480" s="46" t="str">
        <f>HYPERLINK("https://cofre.sieg.com/ajax/danfe.aspx?nfe=26230130998254010255550020000004661798702410","Ver Danfe")</f>
        <v>Ver Danfe</v>
      </c>
      <c r="Q480" s="46" t="str">
        <f>HYPERLINK("https://cofre.sieg.com/ajax/xml.aspx?nfe=26230130998254010255550020000004661798702410","Baixar Xml")</f>
        <v>Baixar Xml</v>
      </c>
    </row>
    <row r="481" spans="1:17" x14ac:dyDescent="0.75">
      <c r="A481" s="5">
        <v>3623</v>
      </c>
      <c r="B481" s="55">
        <v>2020</v>
      </c>
      <c r="C481" s="5" t="s">
        <v>4826</v>
      </c>
      <c r="D481" s="45" t="s">
        <v>1184</v>
      </c>
      <c r="E481" s="45" t="s">
        <v>1185</v>
      </c>
      <c r="F481" s="45" t="s">
        <v>320</v>
      </c>
      <c r="G481" s="45" t="s">
        <v>1120</v>
      </c>
      <c r="H481" s="45" t="s">
        <v>1121</v>
      </c>
      <c r="I481" s="45" t="s">
        <v>1121</v>
      </c>
      <c r="J481" s="45" t="s">
        <v>4826</v>
      </c>
      <c r="K481" s="45" t="s">
        <v>5454</v>
      </c>
      <c r="L481" s="45" t="s">
        <v>1122</v>
      </c>
      <c r="M481" s="45"/>
      <c r="N481" s="45"/>
      <c r="O481" s="45" t="s">
        <v>1123</v>
      </c>
      <c r="P481" s="46" t="str">
        <f>HYPERLINK("https://cofre.sieg.com/ajax/danfe.aspx?nfe=26230131441144000107550010000036231950890314","Ver Danfe")</f>
        <v>Ver Danfe</v>
      </c>
      <c r="Q481" s="46" t="str">
        <f>HYPERLINK("https://cofre.sieg.com/ajax/xml.aspx?nfe=26230131441144000107550010000036231950890314","Baixar Xml")</f>
        <v>Baixar Xml</v>
      </c>
    </row>
    <row r="482" spans="1:17" x14ac:dyDescent="0.75">
      <c r="A482" s="5">
        <v>3624</v>
      </c>
      <c r="B482" s="55">
        <v>2105</v>
      </c>
      <c r="C482" s="5" t="s">
        <v>4826</v>
      </c>
      <c r="D482" s="45" t="s">
        <v>1184</v>
      </c>
      <c r="E482" s="45" t="s">
        <v>1185</v>
      </c>
      <c r="F482" s="45" t="s">
        <v>320</v>
      </c>
      <c r="G482" s="45" t="s">
        <v>1120</v>
      </c>
      <c r="H482" s="45" t="s">
        <v>1121</v>
      </c>
      <c r="I482" s="45" t="s">
        <v>1121</v>
      </c>
      <c r="J482" s="45" t="s">
        <v>4826</v>
      </c>
      <c r="K482" s="45" t="s">
        <v>5455</v>
      </c>
      <c r="L482" s="45" t="s">
        <v>1122</v>
      </c>
      <c r="M482" s="45"/>
      <c r="N482" s="45"/>
      <c r="O482" s="45" t="s">
        <v>1123</v>
      </c>
      <c r="P482" s="46" t="str">
        <f>HYPERLINK("https://cofre.sieg.com/ajax/danfe.aspx?nfe=26230131441144000107550010000036241093574130","Ver Danfe")</f>
        <v>Ver Danfe</v>
      </c>
      <c r="Q482" s="46" t="str">
        <f>HYPERLINK("https://cofre.sieg.com/ajax/xml.aspx?nfe=26230131441144000107550010000036241093574130","Baixar Xml")</f>
        <v>Baixar Xml</v>
      </c>
    </row>
    <row r="483" spans="1:17" x14ac:dyDescent="0.75">
      <c r="A483" s="5">
        <v>3625</v>
      </c>
      <c r="B483" s="55">
        <v>2020</v>
      </c>
      <c r="C483" s="5" t="s">
        <v>4826</v>
      </c>
      <c r="D483" s="45" t="s">
        <v>1184</v>
      </c>
      <c r="E483" s="45" t="s">
        <v>1185</v>
      </c>
      <c r="F483" s="45" t="s">
        <v>320</v>
      </c>
      <c r="G483" s="45" t="s">
        <v>1120</v>
      </c>
      <c r="H483" s="45" t="s">
        <v>1121</v>
      </c>
      <c r="I483" s="45" t="s">
        <v>1121</v>
      </c>
      <c r="J483" s="45" t="s">
        <v>4826</v>
      </c>
      <c r="K483" s="45" t="s">
        <v>5456</v>
      </c>
      <c r="L483" s="45" t="s">
        <v>1122</v>
      </c>
      <c r="M483" s="45"/>
      <c r="N483" s="45"/>
      <c r="O483" s="45" t="s">
        <v>1123</v>
      </c>
      <c r="P483" s="46" t="str">
        <f>HYPERLINK("https://cofre.sieg.com/ajax/danfe.aspx?nfe=26230131441144000107550010000036251698525402","Ver Danfe")</f>
        <v>Ver Danfe</v>
      </c>
      <c r="Q483" s="46" t="str">
        <f>HYPERLINK("https://cofre.sieg.com/ajax/xml.aspx?nfe=26230131441144000107550010000036251698525402","Baixar Xml")</f>
        <v>Baixar Xml</v>
      </c>
    </row>
    <row r="484" spans="1:17" x14ac:dyDescent="0.75">
      <c r="A484" s="5">
        <v>3635</v>
      </c>
      <c r="B484" s="55">
        <v>1185</v>
      </c>
      <c r="C484" s="5" t="s">
        <v>4844</v>
      </c>
      <c r="D484" s="45" t="s">
        <v>1184</v>
      </c>
      <c r="E484" s="45" t="s">
        <v>1185</v>
      </c>
      <c r="F484" s="45" t="s">
        <v>320</v>
      </c>
      <c r="G484" s="45" t="s">
        <v>1120</v>
      </c>
      <c r="H484" s="45" t="s">
        <v>1121</v>
      </c>
      <c r="I484" s="45" t="s">
        <v>1121</v>
      </c>
      <c r="J484" s="45" t="s">
        <v>4844</v>
      </c>
      <c r="K484" s="45" t="s">
        <v>5457</v>
      </c>
      <c r="L484" s="45" t="s">
        <v>1122</v>
      </c>
      <c r="M484" s="45" t="s">
        <v>1311</v>
      </c>
      <c r="N484" s="45" t="s">
        <v>1312</v>
      </c>
      <c r="O484" s="45" t="s">
        <v>1123</v>
      </c>
      <c r="P484" s="46" t="str">
        <f>HYPERLINK("https://cofre.sieg.com/ajax/danfe.aspx?nfe=26230131441144000107550010000036351343305916","Ver Danfe")</f>
        <v>Ver Danfe</v>
      </c>
      <c r="Q484" s="46" t="str">
        <f>HYPERLINK("https://cofre.sieg.com/ajax/xml.aspx?nfe=26230131441144000107550010000036351343305916","Baixar Xml")</f>
        <v>Baixar Xml</v>
      </c>
    </row>
    <row r="485" spans="1:17" x14ac:dyDescent="0.75">
      <c r="A485" s="5">
        <v>3636</v>
      </c>
      <c r="B485" s="55">
        <v>2350</v>
      </c>
      <c r="C485" s="5" t="s">
        <v>4844</v>
      </c>
      <c r="D485" s="45" t="s">
        <v>1184</v>
      </c>
      <c r="E485" s="45" t="s">
        <v>1185</v>
      </c>
      <c r="F485" s="45" t="s">
        <v>320</v>
      </c>
      <c r="G485" s="45" t="s">
        <v>1120</v>
      </c>
      <c r="H485" s="45" t="s">
        <v>1121</v>
      </c>
      <c r="I485" s="45" t="s">
        <v>1121</v>
      </c>
      <c r="J485" s="45" t="s">
        <v>4844</v>
      </c>
      <c r="K485" s="45" t="s">
        <v>5458</v>
      </c>
      <c r="L485" s="45" t="s">
        <v>1122</v>
      </c>
      <c r="M485" s="45" t="s">
        <v>1311</v>
      </c>
      <c r="N485" s="45" t="s">
        <v>1312</v>
      </c>
      <c r="O485" s="45" t="s">
        <v>1123</v>
      </c>
      <c r="P485" s="46" t="str">
        <f>HYPERLINK("https://cofre.sieg.com/ajax/danfe.aspx?nfe=26230131441144000107550010000036361478123171","Ver Danfe")</f>
        <v>Ver Danfe</v>
      </c>
      <c r="Q485" s="46" t="str">
        <f>HYPERLINK("https://cofre.sieg.com/ajax/xml.aspx?nfe=26230131441144000107550010000036361478123171","Baixar Xml")</f>
        <v>Baixar Xml</v>
      </c>
    </row>
    <row r="486" spans="1:17" x14ac:dyDescent="0.75">
      <c r="A486" s="5">
        <v>3637</v>
      </c>
      <c r="B486" s="55">
        <v>3235</v>
      </c>
      <c r="C486" s="5" t="s">
        <v>4844</v>
      </c>
      <c r="D486" s="45" t="s">
        <v>1184</v>
      </c>
      <c r="E486" s="45" t="s">
        <v>1185</v>
      </c>
      <c r="F486" s="45" t="s">
        <v>320</v>
      </c>
      <c r="G486" s="45" t="s">
        <v>1120</v>
      </c>
      <c r="H486" s="45" t="s">
        <v>1121</v>
      </c>
      <c r="I486" s="45" t="s">
        <v>1121</v>
      </c>
      <c r="J486" s="45" t="s">
        <v>4844</v>
      </c>
      <c r="K486" s="45" t="s">
        <v>5459</v>
      </c>
      <c r="L486" s="45" t="s">
        <v>1122</v>
      </c>
      <c r="M486" s="45" t="s">
        <v>1311</v>
      </c>
      <c r="N486" s="45" t="s">
        <v>1312</v>
      </c>
      <c r="O486" s="45" t="s">
        <v>1123</v>
      </c>
      <c r="P486" s="46" t="str">
        <f>HYPERLINK("https://cofre.sieg.com/ajax/danfe.aspx?nfe=26230131441144000107550010000036371375227419","Ver Danfe")</f>
        <v>Ver Danfe</v>
      </c>
      <c r="Q486" s="46" t="str">
        <f>HYPERLINK("https://cofre.sieg.com/ajax/xml.aspx?nfe=26230131441144000107550010000036371375227419","Baixar Xml")</f>
        <v>Baixar Xml</v>
      </c>
    </row>
    <row r="487" spans="1:17" x14ac:dyDescent="0.75">
      <c r="A487" s="5">
        <v>3642</v>
      </c>
      <c r="B487" s="55">
        <v>1995</v>
      </c>
      <c r="C487" s="5" t="s">
        <v>4846</v>
      </c>
      <c r="D487" s="45" t="s">
        <v>1184</v>
      </c>
      <c r="E487" s="45" t="s">
        <v>1185</v>
      </c>
      <c r="F487" s="45" t="s">
        <v>320</v>
      </c>
      <c r="G487" s="45" t="s">
        <v>1120</v>
      </c>
      <c r="H487" s="45" t="s">
        <v>1121</v>
      </c>
      <c r="I487" s="45" t="s">
        <v>1121</v>
      </c>
      <c r="J487" s="45" t="s">
        <v>4846</v>
      </c>
      <c r="K487" s="45" t="s">
        <v>5460</v>
      </c>
      <c r="L487" s="45" t="s">
        <v>1122</v>
      </c>
      <c r="M487" s="45"/>
      <c r="N487" s="45"/>
      <c r="O487" s="45" t="s">
        <v>1123</v>
      </c>
      <c r="P487" s="46" t="str">
        <f>HYPERLINK("https://cofre.sieg.com/ajax/danfe.aspx?nfe=26230131441144000107550010000036421718575567","Ver Danfe")</f>
        <v>Ver Danfe</v>
      </c>
      <c r="Q487" s="46" t="str">
        <f>HYPERLINK("https://cofre.sieg.com/ajax/xml.aspx?nfe=26230131441144000107550010000036421718575567","Baixar Xml")</f>
        <v>Baixar Xml</v>
      </c>
    </row>
    <row r="488" spans="1:17" x14ac:dyDescent="0.75">
      <c r="A488" s="5">
        <v>3645</v>
      </c>
      <c r="B488" s="55">
        <v>2725</v>
      </c>
      <c r="C488" s="5" t="s">
        <v>4861</v>
      </c>
      <c r="D488" s="45" t="s">
        <v>1184</v>
      </c>
      <c r="E488" s="45" t="s">
        <v>1185</v>
      </c>
      <c r="F488" s="45" t="s">
        <v>320</v>
      </c>
      <c r="G488" s="45" t="s">
        <v>1120</v>
      </c>
      <c r="H488" s="45" t="s">
        <v>1121</v>
      </c>
      <c r="I488" s="45" t="s">
        <v>1121</v>
      </c>
      <c r="J488" s="45" t="s">
        <v>4861</v>
      </c>
      <c r="K488" s="45" t="s">
        <v>5461</v>
      </c>
      <c r="L488" s="45" t="s">
        <v>1122</v>
      </c>
      <c r="M488" s="45"/>
      <c r="N488" s="45"/>
      <c r="O488" s="45" t="s">
        <v>1123</v>
      </c>
      <c r="P488" s="46" t="str">
        <f>HYPERLINK("https://cofre.sieg.com/ajax/danfe.aspx?nfe=26230131441144000107550010000036451120282025","Ver Danfe")</f>
        <v>Ver Danfe</v>
      </c>
      <c r="Q488" s="46" t="str">
        <f>HYPERLINK("https://cofre.sieg.com/ajax/xml.aspx?nfe=26230131441144000107550010000036451120282025","Baixar Xml")</f>
        <v>Baixar Xml</v>
      </c>
    </row>
    <row r="489" spans="1:17" x14ac:dyDescent="0.75">
      <c r="A489" s="5">
        <v>3646</v>
      </c>
      <c r="B489" s="55">
        <v>2965</v>
      </c>
      <c r="C489" s="5" t="s">
        <v>4861</v>
      </c>
      <c r="D489" s="45" t="s">
        <v>1184</v>
      </c>
      <c r="E489" s="45" t="s">
        <v>1185</v>
      </c>
      <c r="F489" s="45" t="s">
        <v>320</v>
      </c>
      <c r="G489" s="45" t="s">
        <v>1120</v>
      </c>
      <c r="H489" s="45" t="s">
        <v>1121</v>
      </c>
      <c r="I489" s="45" t="s">
        <v>1121</v>
      </c>
      <c r="J489" s="45" t="s">
        <v>4861</v>
      </c>
      <c r="K489" s="45" t="s">
        <v>5462</v>
      </c>
      <c r="L489" s="45" t="s">
        <v>1122</v>
      </c>
      <c r="M489" s="45"/>
      <c r="N489" s="45"/>
      <c r="O489" s="45" t="s">
        <v>1123</v>
      </c>
      <c r="P489" s="46" t="str">
        <f>HYPERLINK("https://cofre.sieg.com/ajax/danfe.aspx?nfe=26230131441144000107550010000036461436545333","Ver Danfe")</f>
        <v>Ver Danfe</v>
      </c>
      <c r="Q489" s="46" t="str">
        <f>HYPERLINK("https://cofre.sieg.com/ajax/xml.aspx?nfe=26230131441144000107550010000036461436545333","Baixar Xml")</f>
        <v>Baixar Xml</v>
      </c>
    </row>
    <row r="490" spans="1:17" x14ac:dyDescent="0.75">
      <c r="A490" s="5">
        <v>3654</v>
      </c>
      <c r="B490" s="55">
        <v>2890</v>
      </c>
      <c r="C490" s="5" t="s">
        <v>4866</v>
      </c>
      <c r="D490" s="45" t="s">
        <v>1184</v>
      </c>
      <c r="E490" s="45" t="s">
        <v>1185</v>
      </c>
      <c r="F490" s="45" t="s">
        <v>320</v>
      </c>
      <c r="G490" s="45" t="s">
        <v>1120</v>
      </c>
      <c r="H490" s="45" t="s">
        <v>1121</v>
      </c>
      <c r="I490" s="45" t="s">
        <v>1121</v>
      </c>
      <c r="J490" s="45" t="s">
        <v>4866</v>
      </c>
      <c r="K490" s="45" t="s">
        <v>5463</v>
      </c>
      <c r="L490" s="45" t="s">
        <v>1122</v>
      </c>
      <c r="M490" s="45"/>
      <c r="N490" s="45"/>
      <c r="O490" s="45" t="s">
        <v>1123</v>
      </c>
      <c r="P490" s="46" t="str">
        <f>HYPERLINK("https://cofre.sieg.com/ajax/danfe.aspx?nfe=26230131441144000107550010000036541372514019","Ver Danfe")</f>
        <v>Ver Danfe</v>
      </c>
      <c r="Q490" s="46" t="str">
        <f>HYPERLINK("https://cofre.sieg.com/ajax/xml.aspx?nfe=26230131441144000107550010000036541372514019","Baixar Xml")</f>
        <v>Baixar Xml</v>
      </c>
    </row>
    <row r="491" spans="1:17" x14ac:dyDescent="0.75">
      <c r="A491" s="5">
        <v>3655</v>
      </c>
      <c r="B491" s="55">
        <v>2020</v>
      </c>
      <c r="C491" s="5" t="s">
        <v>4866</v>
      </c>
      <c r="D491" s="45" t="s">
        <v>1184</v>
      </c>
      <c r="E491" s="45" t="s">
        <v>1185</v>
      </c>
      <c r="F491" s="45" t="s">
        <v>320</v>
      </c>
      <c r="G491" s="45" t="s">
        <v>1120</v>
      </c>
      <c r="H491" s="45" t="s">
        <v>1121</v>
      </c>
      <c r="I491" s="45" t="s">
        <v>1121</v>
      </c>
      <c r="J491" s="45" t="s">
        <v>4866</v>
      </c>
      <c r="K491" s="45" t="s">
        <v>5464</v>
      </c>
      <c r="L491" s="45" t="s">
        <v>1122</v>
      </c>
      <c r="M491" s="45"/>
      <c r="N491" s="45"/>
      <c r="O491" s="45" t="s">
        <v>1123</v>
      </c>
      <c r="P491" s="46" t="str">
        <f>HYPERLINK("https://cofre.sieg.com/ajax/danfe.aspx?nfe=26230131441144000107550010000036551077197099","Ver Danfe")</f>
        <v>Ver Danfe</v>
      </c>
      <c r="Q491" s="46" t="str">
        <f>HYPERLINK("https://cofre.sieg.com/ajax/xml.aspx?nfe=26230131441144000107550010000036551077197099","Baixar Xml")</f>
        <v>Baixar Xml</v>
      </c>
    </row>
    <row r="492" spans="1:17" x14ac:dyDescent="0.75">
      <c r="A492" s="5">
        <v>3662</v>
      </c>
      <c r="B492" s="55">
        <v>3500</v>
      </c>
      <c r="C492" s="5" t="s">
        <v>4877</v>
      </c>
      <c r="D492" s="45" t="s">
        <v>1184</v>
      </c>
      <c r="E492" s="45" t="s">
        <v>1185</v>
      </c>
      <c r="F492" s="45" t="s">
        <v>320</v>
      </c>
      <c r="G492" s="45" t="s">
        <v>1120</v>
      </c>
      <c r="H492" s="45" t="s">
        <v>1121</v>
      </c>
      <c r="I492" s="45" t="s">
        <v>1121</v>
      </c>
      <c r="J492" s="45" t="s">
        <v>4877</v>
      </c>
      <c r="K492" s="45" t="s">
        <v>5465</v>
      </c>
      <c r="L492" s="45" t="s">
        <v>1122</v>
      </c>
      <c r="M492" s="45" t="s">
        <v>1311</v>
      </c>
      <c r="N492" s="45" t="s">
        <v>1312</v>
      </c>
      <c r="O492" s="45" t="s">
        <v>1123</v>
      </c>
      <c r="P492" s="46" t="str">
        <f>HYPERLINK("https://cofre.sieg.com/ajax/danfe.aspx?nfe=26230131441144000107550010000036621572115004","Ver Danfe")</f>
        <v>Ver Danfe</v>
      </c>
      <c r="Q492" s="46" t="str">
        <f>HYPERLINK("https://cofre.sieg.com/ajax/xml.aspx?nfe=26230131441144000107550010000036621572115004","Baixar Xml")</f>
        <v>Baixar Xml</v>
      </c>
    </row>
    <row r="493" spans="1:17" x14ac:dyDescent="0.75">
      <c r="A493" s="5">
        <v>3663</v>
      </c>
      <c r="B493" s="55">
        <v>1275</v>
      </c>
      <c r="C493" s="5" t="s">
        <v>4877</v>
      </c>
      <c r="D493" s="45" t="s">
        <v>1184</v>
      </c>
      <c r="E493" s="45" t="s">
        <v>1185</v>
      </c>
      <c r="F493" s="45" t="s">
        <v>320</v>
      </c>
      <c r="G493" s="45" t="s">
        <v>1120</v>
      </c>
      <c r="H493" s="45" t="s">
        <v>1121</v>
      </c>
      <c r="I493" s="45" t="s">
        <v>1121</v>
      </c>
      <c r="J493" s="45" t="s">
        <v>4877</v>
      </c>
      <c r="K493" s="45" t="s">
        <v>5466</v>
      </c>
      <c r="L493" s="45" t="s">
        <v>1122</v>
      </c>
      <c r="M493" s="45" t="s">
        <v>1311</v>
      </c>
      <c r="N493" s="45" t="s">
        <v>1312</v>
      </c>
      <c r="O493" s="45" t="s">
        <v>1123</v>
      </c>
      <c r="P493" s="46" t="str">
        <f>HYPERLINK("https://cofre.sieg.com/ajax/danfe.aspx?nfe=26230131441144000107550010000036631151379690","Ver Danfe")</f>
        <v>Ver Danfe</v>
      </c>
      <c r="Q493" s="46" t="str">
        <f>HYPERLINK("https://cofre.sieg.com/ajax/xml.aspx?nfe=26230131441144000107550010000036631151379690","Baixar Xml")</f>
        <v>Baixar Xml</v>
      </c>
    </row>
    <row r="494" spans="1:17" x14ac:dyDescent="0.75">
      <c r="A494" s="5">
        <v>3669</v>
      </c>
      <c r="B494" s="55">
        <v>4483</v>
      </c>
      <c r="C494" s="5" t="s">
        <v>4887</v>
      </c>
      <c r="D494" s="45" t="s">
        <v>1184</v>
      </c>
      <c r="E494" s="45" t="s">
        <v>1185</v>
      </c>
      <c r="F494" s="45" t="s">
        <v>320</v>
      </c>
      <c r="G494" s="45" t="s">
        <v>1120</v>
      </c>
      <c r="H494" s="45" t="s">
        <v>1121</v>
      </c>
      <c r="I494" s="45" t="s">
        <v>1121</v>
      </c>
      <c r="J494" s="45" t="s">
        <v>4887</v>
      </c>
      <c r="K494" s="45" t="s">
        <v>5467</v>
      </c>
      <c r="L494" s="45" t="s">
        <v>1122</v>
      </c>
      <c r="M494" s="45"/>
      <c r="N494" s="45"/>
      <c r="O494" s="45" t="s">
        <v>1123</v>
      </c>
      <c r="P494" s="46" t="str">
        <f>HYPERLINK("https://cofre.sieg.com/ajax/danfe.aspx?nfe=26230131441144000107550010000036691603677972","Ver Danfe")</f>
        <v>Ver Danfe</v>
      </c>
      <c r="Q494" s="46" t="str">
        <f>HYPERLINK("https://cofre.sieg.com/ajax/xml.aspx?nfe=26230131441144000107550010000036691603677972","Baixar Xml")</f>
        <v>Baixar Xml</v>
      </c>
    </row>
    <row r="495" spans="1:17" x14ac:dyDescent="0.75">
      <c r="A495" s="5">
        <v>3670</v>
      </c>
      <c r="B495" s="55">
        <v>2021</v>
      </c>
      <c r="C495" s="5" t="s">
        <v>4887</v>
      </c>
      <c r="D495" s="45" t="s">
        <v>1184</v>
      </c>
      <c r="E495" s="45" t="s">
        <v>1185</v>
      </c>
      <c r="F495" s="45" t="s">
        <v>320</v>
      </c>
      <c r="G495" s="45" t="s">
        <v>1120</v>
      </c>
      <c r="H495" s="45" t="s">
        <v>1121</v>
      </c>
      <c r="I495" s="45" t="s">
        <v>1121</v>
      </c>
      <c r="J495" s="45" t="s">
        <v>4887</v>
      </c>
      <c r="K495" s="45" t="s">
        <v>5468</v>
      </c>
      <c r="L495" s="45" t="s">
        <v>1122</v>
      </c>
      <c r="M495" s="45"/>
      <c r="N495" s="45"/>
      <c r="O495" s="45" t="s">
        <v>1123</v>
      </c>
      <c r="P495" s="46" t="str">
        <f>HYPERLINK("https://cofre.sieg.com/ajax/danfe.aspx?nfe=26230131441144000107550010000036701437524505","Ver Danfe")</f>
        <v>Ver Danfe</v>
      </c>
      <c r="Q495" s="46" t="str">
        <f>HYPERLINK("https://cofre.sieg.com/ajax/xml.aspx?nfe=26230131441144000107550010000036701437524505","Baixar Xml")</f>
        <v>Baixar Xml</v>
      </c>
    </row>
    <row r="496" spans="1:17" x14ac:dyDescent="0.75">
      <c r="A496" s="5">
        <v>3671</v>
      </c>
      <c r="B496" s="55">
        <v>2027</v>
      </c>
      <c r="C496" s="5" t="s">
        <v>4887</v>
      </c>
      <c r="D496" s="45" t="s">
        <v>1184</v>
      </c>
      <c r="E496" s="45" t="s">
        <v>1185</v>
      </c>
      <c r="F496" s="45" t="s">
        <v>320</v>
      </c>
      <c r="G496" s="45" t="s">
        <v>1120</v>
      </c>
      <c r="H496" s="45" t="s">
        <v>1121</v>
      </c>
      <c r="I496" s="45" t="s">
        <v>1121</v>
      </c>
      <c r="J496" s="45" t="s">
        <v>4887</v>
      </c>
      <c r="K496" s="45" t="s">
        <v>5469</v>
      </c>
      <c r="L496" s="45" t="s">
        <v>1122</v>
      </c>
      <c r="M496" s="45"/>
      <c r="N496" s="45"/>
      <c r="O496" s="45" t="s">
        <v>1123</v>
      </c>
      <c r="P496" s="46" t="str">
        <f>HYPERLINK("https://cofre.sieg.com/ajax/danfe.aspx?nfe=26230131441144000107550010000036711961648231","Ver Danfe")</f>
        <v>Ver Danfe</v>
      </c>
      <c r="Q496" s="46" t="str">
        <f>HYPERLINK("https://cofre.sieg.com/ajax/xml.aspx?nfe=26230131441144000107550010000036711961648231","Baixar Xml")</f>
        <v>Baixar Xml</v>
      </c>
    </row>
    <row r="497" spans="1:17" x14ac:dyDescent="0.75">
      <c r="A497" s="5">
        <v>3674</v>
      </c>
      <c r="B497" s="55">
        <v>1719</v>
      </c>
      <c r="C497" s="5" t="s">
        <v>4900</v>
      </c>
      <c r="D497" s="45" t="s">
        <v>1184</v>
      </c>
      <c r="E497" s="45" t="s">
        <v>1185</v>
      </c>
      <c r="F497" s="45" t="s">
        <v>320</v>
      </c>
      <c r="G497" s="45" t="s">
        <v>1120</v>
      </c>
      <c r="H497" s="45" t="s">
        <v>1121</v>
      </c>
      <c r="I497" s="45" t="s">
        <v>1121</v>
      </c>
      <c r="J497" s="45" t="s">
        <v>4900</v>
      </c>
      <c r="K497" s="45" t="s">
        <v>5470</v>
      </c>
      <c r="L497" s="45" t="s">
        <v>1122</v>
      </c>
      <c r="M497" s="45"/>
      <c r="N497" s="45"/>
      <c r="O497" s="45" t="s">
        <v>1123</v>
      </c>
      <c r="P497" s="46" t="str">
        <f>HYPERLINK("https://cofre.sieg.com/ajax/danfe.aspx?nfe=26230131441144000107550010000036741278104255","Ver Danfe")</f>
        <v>Ver Danfe</v>
      </c>
      <c r="Q497" s="46" t="str">
        <f>HYPERLINK("https://cofre.sieg.com/ajax/xml.aspx?nfe=26230131441144000107550010000036741278104255","Baixar Xml")</f>
        <v>Baixar Xml</v>
      </c>
    </row>
    <row r="498" spans="1:17" x14ac:dyDescent="0.75">
      <c r="A498" s="5">
        <v>3675</v>
      </c>
      <c r="B498" s="55">
        <v>3680</v>
      </c>
      <c r="C498" s="5" t="s">
        <v>4900</v>
      </c>
      <c r="D498" s="45" t="s">
        <v>1184</v>
      </c>
      <c r="E498" s="45" t="s">
        <v>1185</v>
      </c>
      <c r="F498" s="45" t="s">
        <v>320</v>
      </c>
      <c r="G498" s="45" t="s">
        <v>1120</v>
      </c>
      <c r="H498" s="45" t="s">
        <v>1121</v>
      </c>
      <c r="I498" s="45" t="s">
        <v>1121</v>
      </c>
      <c r="J498" s="45" t="s">
        <v>4900</v>
      </c>
      <c r="K498" s="45" t="s">
        <v>5471</v>
      </c>
      <c r="L498" s="45" t="s">
        <v>1122</v>
      </c>
      <c r="M498" s="45" t="s">
        <v>1311</v>
      </c>
      <c r="N498" s="45" t="s">
        <v>1312</v>
      </c>
      <c r="O498" s="45" t="s">
        <v>1123</v>
      </c>
      <c r="P498" s="46" t="str">
        <f>HYPERLINK("https://cofre.sieg.com/ajax/danfe.aspx?nfe=26230131441144000107550010000036751282797801","Ver Danfe")</f>
        <v>Ver Danfe</v>
      </c>
      <c r="Q498" s="46" t="str">
        <f>HYPERLINK("https://cofre.sieg.com/ajax/xml.aspx?nfe=26230131441144000107550010000036751282797801","Baixar Xml")</f>
        <v>Baixar Xml</v>
      </c>
    </row>
    <row r="499" spans="1:17" x14ac:dyDescent="0.75">
      <c r="A499" s="5">
        <v>3676</v>
      </c>
      <c r="B499" s="55">
        <v>997</v>
      </c>
      <c r="C499" s="5" t="s">
        <v>4900</v>
      </c>
      <c r="D499" s="45" t="s">
        <v>1184</v>
      </c>
      <c r="E499" s="45" t="s">
        <v>1185</v>
      </c>
      <c r="F499" s="45" t="s">
        <v>320</v>
      </c>
      <c r="G499" s="45" t="s">
        <v>1120</v>
      </c>
      <c r="H499" s="45" t="s">
        <v>1121</v>
      </c>
      <c r="I499" s="45" t="s">
        <v>1121</v>
      </c>
      <c r="J499" s="45" t="s">
        <v>4900</v>
      </c>
      <c r="K499" s="45" t="s">
        <v>5472</v>
      </c>
      <c r="L499" s="45" t="s">
        <v>1122</v>
      </c>
      <c r="M499" s="45" t="s">
        <v>1311</v>
      </c>
      <c r="N499" s="45" t="s">
        <v>1312</v>
      </c>
      <c r="O499" s="45" t="s">
        <v>1123</v>
      </c>
      <c r="P499" s="46" t="str">
        <f>HYPERLINK("https://cofre.sieg.com/ajax/danfe.aspx?nfe=26230131441144000107550010000036761590101210","Ver Danfe")</f>
        <v>Ver Danfe</v>
      </c>
      <c r="Q499" s="46" t="str">
        <f>HYPERLINK("https://cofre.sieg.com/ajax/xml.aspx?nfe=26230131441144000107550010000036761590101210","Baixar Xml")</f>
        <v>Baixar Xml</v>
      </c>
    </row>
    <row r="500" spans="1:17" x14ac:dyDescent="0.75">
      <c r="A500" s="5">
        <v>3679</v>
      </c>
      <c r="B500" s="55">
        <v>2625</v>
      </c>
      <c r="C500" s="5" t="s">
        <v>4912</v>
      </c>
      <c r="D500" s="45" t="s">
        <v>1184</v>
      </c>
      <c r="E500" s="45" t="s">
        <v>1185</v>
      </c>
      <c r="F500" s="45" t="s">
        <v>320</v>
      </c>
      <c r="G500" s="45" t="s">
        <v>1120</v>
      </c>
      <c r="H500" s="45" t="s">
        <v>1121</v>
      </c>
      <c r="I500" s="45" t="s">
        <v>1121</v>
      </c>
      <c r="J500" s="45" t="s">
        <v>4912</v>
      </c>
      <c r="K500" s="45" t="s">
        <v>5473</v>
      </c>
      <c r="L500" s="45" t="s">
        <v>1122</v>
      </c>
      <c r="M500" s="45"/>
      <c r="N500" s="45"/>
      <c r="O500" s="45" t="s">
        <v>1123</v>
      </c>
      <c r="P500" s="46" t="str">
        <f>HYPERLINK("https://cofre.sieg.com/ajax/danfe.aspx?nfe=26230131441144000107550010000036791399877057","Ver Danfe")</f>
        <v>Ver Danfe</v>
      </c>
      <c r="Q500" s="46" t="str">
        <f>HYPERLINK("https://cofre.sieg.com/ajax/xml.aspx?nfe=26230131441144000107550010000036791399877057","Baixar Xml")</f>
        <v>Baixar Xml</v>
      </c>
    </row>
    <row r="501" spans="1:17" x14ac:dyDescent="0.75">
      <c r="A501" s="5">
        <v>3680</v>
      </c>
      <c r="B501" s="55">
        <v>1725</v>
      </c>
      <c r="C501" s="5" t="s">
        <v>4912</v>
      </c>
      <c r="D501" s="45" t="s">
        <v>1184</v>
      </c>
      <c r="E501" s="45" t="s">
        <v>1185</v>
      </c>
      <c r="F501" s="45" t="s">
        <v>320</v>
      </c>
      <c r="G501" s="45" t="s">
        <v>1120</v>
      </c>
      <c r="H501" s="45" t="s">
        <v>1121</v>
      </c>
      <c r="I501" s="45" t="s">
        <v>1121</v>
      </c>
      <c r="J501" s="45" t="s">
        <v>4912</v>
      </c>
      <c r="K501" s="45" t="s">
        <v>5474</v>
      </c>
      <c r="L501" s="45" t="s">
        <v>1122</v>
      </c>
      <c r="M501" s="45"/>
      <c r="N501" s="45"/>
      <c r="O501" s="45" t="s">
        <v>1123</v>
      </c>
      <c r="P501" s="46" t="str">
        <f>HYPERLINK("https://cofre.sieg.com/ajax/danfe.aspx?nfe=26230131441144000107550010000036801638104844","Ver Danfe")</f>
        <v>Ver Danfe</v>
      </c>
      <c r="Q501" s="46" t="str">
        <f>HYPERLINK("https://cofre.sieg.com/ajax/xml.aspx?nfe=26230131441144000107550010000036801638104844","Baixar Xml")</f>
        <v>Baixar Xml</v>
      </c>
    </row>
    <row r="502" spans="1:17" x14ac:dyDescent="0.75">
      <c r="A502" s="5">
        <v>3681</v>
      </c>
      <c r="B502" s="55">
        <v>2065</v>
      </c>
      <c r="C502" s="5" t="s">
        <v>4912</v>
      </c>
      <c r="D502" s="45" t="s">
        <v>1184</v>
      </c>
      <c r="E502" s="45" t="s">
        <v>1185</v>
      </c>
      <c r="F502" s="45" t="s">
        <v>320</v>
      </c>
      <c r="G502" s="45" t="s">
        <v>1120</v>
      </c>
      <c r="H502" s="45" t="s">
        <v>1121</v>
      </c>
      <c r="I502" s="45" t="s">
        <v>1121</v>
      </c>
      <c r="J502" s="45" t="s">
        <v>4912</v>
      </c>
      <c r="K502" s="45" t="s">
        <v>5475</v>
      </c>
      <c r="L502" s="45" t="s">
        <v>1122</v>
      </c>
      <c r="M502" s="45"/>
      <c r="N502" s="45"/>
      <c r="O502" s="45" t="s">
        <v>1123</v>
      </c>
      <c r="P502" s="46" t="str">
        <f>HYPERLINK("https://cofre.sieg.com/ajax/danfe.aspx?nfe=26230131441144000107550010000036811026830100","Ver Danfe")</f>
        <v>Ver Danfe</v>
      </c>
      <c r="Q502" s="46" t="str">
        <f>HYPERLINK("https://cofre.sieg.com/ajax/xml.aspx?nfe=26230131441144000107550010000036811026830100","Baixar Xml")</f>
        <v>Baixar Xml</v>
      </c>
    </row>
    <row r="503" spans="1:17" x14ac:dyDescent="0.75">
      <c r="A503" s="5">
        <v>3690</v>
      </c>
      <c r="B503" s="55">
        <v>1540</v>
      </c>
      <c r="C503" s="5" t="s">
        <v>4930</v>
      </c>
      <c r="D503" s="45" t="s">
        <v>1184</v>
      </c>
      <c r="E503" s="45" t="s">
        <v>1185</v>
      </c>
      <c r="F503" s="45" t="s">
        <v>320</v>
      </c>
      <c r="G503" s="45" t="s">
        <v>1120</v>
      </c>
      <c r="H503" s="45" t="s">
        <v>1121</v>
      </c>
      <c r="I503" s="45" t="s">
        <v>1121</v>
      </c>
      <c r="J503" s="45" t="s">
        <v>4930</v>
      </c>
      <c r="K503" s="45" t="s">
        <v>5476</v>
      </c>
      <c r="L503" s="45" t="s">
        <v>1122</v>
      </c>
      <c r="M503" s="45"/>
      <c r="N503" s="45"/>
      <c r="O503" s="45" t="s">
        <v>1123</v>
      </c>
      <c r="P503" s="46" t="str">
        <f>HYPERLINK("https://cofre.sieg.com/ajax/danfe.aspx?nfe=26230131441144000107550010000036901095532855","Ver Danfe")</f>
        <v>Ver Danfe</v>
      </c>
      <c r="Q503" s="46" t="str">
        <f>HYPERLINK("https://cofre.sieg.com/ajax/xml.aspx?nfe=26230131441144000107550010000036901095532855","Baixar Xml")</f>
        <v>Baixar Xml</v>
      </c>
    </row>
    <row r="504" spans="1:17" x14ac:dyDescent="0.75">
      <c r="A504" s="5">
        <v>3691</v>
      </c>
      <c r="B504" s="55">
        <v>2800</v>
      </c>
      <c r="C504" s="5" t="s">
        <v>4930</v>
      </c>
      <c r="D504" s="45" t="s">
        <v>1184</v>
      </c>
      <c r="E504" s="45" t="s">
        <v>1185</v>
      </c>
      <c r="F504" s="45" t="s">
        <v>320</v>
      </c>
      <c r="G504" s="45" t="s">
        <v>1120</v>
      </c>
      <c r="H504" s="45" t="s">
        <v>1121</v>
      </c>
      <c r="I504" s="45" t="s">
        <v>1121</v>
      </c>
      <c r="J504" s="45" t="s">
        <v>4930</v>
      </c>
      <c r="K504" s="45" t="s">
        <v>5477</v>
      </c>
      <c r="L504" s="45" t="s">
        <v>1122</v>
      </c>
      <c r="M504" s="45"/>
      <c r="N504" s="45"/>
      <c r="O504" s="45" t="s">
        <v>1123</v>
      </c>
      <c r="P504" s="46" t="str">
        <f>HYPERLINK("https://cofre.sieg.com/ajax/danfe.aspx?nfe=26230131441144000107550010000036911423052835","Ver Danfe")</f>
        <v>Ver Danfe</v>
      </c>
      <c r="Q504" s="46" t="str">
        <f>HYPERLINK("https://cofre.sieg.com/ajax/xml.aspx?nfe=26230131441144000107550010000036911423052835","Baixar Xml")</f>
        <v>Baixar Xml</v>
      </c>
    </row>
    <row r="505" spans="1:17" x14ac:dyDescent="0.75">
      <c r="A505" s="5">
        <v>3692</v>
      </c>
      <c r="B505" s="55">
        <v>290</v>
      </c>
      <c r="C505" s="5" t="s">
        <v>4930</v>
      </c>
      <c r="D505" s="45" t="s">
        <v>1184</v>
      </c>
      <c r="E505" s="45" t="s">
        <v>1185</v>
      </c>
      <c r="F505" s="45" t="s">
        <v>320</v>
      </c>
      <c r="G505" s="45" t="s">
        <v>1120</v>
      </c>
      <c r="H505" s="45" t="s">
        <v>1121</v>
      </c>
      <c r="I505" s="45" t="s">
        <v>1121</v>
      </c>
      <c r="J505" s="45" t="s">
        <v>4930</v>
      </c>
      <c r="K505" s="45" t="s">
        <v>5478</v>
      </c>
      <c r="L505" s="45" t="s">
        <v>1122</v>
      </c>
      <c r="M505" s="45"/>
      <c r="N505" s="45"/>
      <c r="O505" s="45" t="s">
        <v>1123</v>
      </c>
      <c r="P505" s="46" t="str">
        <f>HYPERLINK("https://cofre.sieg.com/ajax/danfe.aspx?nfe=26230131441144000107550010000036921318655263","Ver Danfe")</f>
        <v>Ver Danfe</v>
      </c>
      <c r="Q505" s="46" t="str">
        <f>HYPERLINK("https://cofre.sieg.com/ajax/xml.aspx?nfe=26230131441144000107550010000036921318655263","Baixar Xml")</f>
        <v>Baixar Xml</v>
      </c>
    </row>
    <row r="506" spans="1:17" x14ac:dyDescent="0.75">
      <c r="A506" s="5">
        <v>3695</v>
      </c>
      <c r="B506" s="55">
        <v>3655</v>
      </c>
      <c r="C506" s="5" t="s">
        <v>4938</v>
      </c>
      <c r="D506" s="45" t="s">
        <v>1184</v>
      </c>
      <c r="E506" s="45" t="s">
        <v>1185</v>
      </c>
      <c r="F506" s="45" t="s">
        <v>320</v>
      </c>
      <c r="G506" s="45" t="s">
        <v>1120</v>
      </c>
      <c r="H506" s="45" t="s">
        <v>1121</v>
      </c>
      <c r="I506" s="45" t="s">
        <v>1121</v>
      </c>
      <c r="J506" s="45" t="s">
        <v>4938</v>
      </c>
      <c r="K506" s="45" t="s">
        <v>5479</v>
      </c>
      <c r="L506" s="45" t="s">
        <v>1122</v>
      </c>
      <c r="M506" s="45"/>
      <c r="N506" s="45"/>
      <c r="O506" s="45" t="s">
        <v>1123</v>
      </c>
      <c r="P506" s="46" t="str">
        <f>HYPERLINK("https://cofre.sieg.com/ajax/danfe.aspx?nfe=26230131441144000107550010000036951987783529","Ver Danfe")</f>
        <v>Ver Danfe</v>
      </c>
      <c r="Q506" s="46" t="str">
        <f>HYPERLINK("https://cofre.sieg.com/ajax/xml.aspx?nfe=26230131441144000107550010000036951987783529","Baixar Xml")</f>
        <v>Baixar Xml</v>
      </c>
    </row>
    <row r="507" spans="1:17" x14ac:dyDescent="0.75">
      <c r="A507" s="5">
        <v>3696</v>
      </c>
      <c r="B507" s="55">
        <v>2590</v>
      </c>
      <c r="C507" s="5" t="s">
        <v>4938</v>
      </c>
      <c r="D507" s="45" t="s">
        <v>1184</v>
      </c>
      <c r="E507" s="45" t="s">
        <v>1185</v>
      </c>
      <c r="F507" s="45" t="s">
        <v>320</v>
      </c>
      <c r="G507" s="45" t="s">
        <v>1120</v>
      </c>
      <c r="H507" s="45" t="s">
        <v>1121</v>
      </c>
      <c r="I507" s="45" t="s">
        <v>1121</v>
      </c>
      <c r="J507" s="45" t="s">
        <v>4938</v>
      </c>
      <c r="K507" s="45" t="s">
        <v>5480</v>
      </c>
      <c r="L507" s="45" t="s">
        <v>1122</v>
      </c>
      <c r="M507" s="45"/>
      <c r="N507" s="45"/>
      <c r="O507" s="45" t="s">
        <v>1123</v>
      </c>
      <c r="P507" s="46" t="str">
        <f>HYPERLINK("https://cofre.sieg.com/ajax/danfe.aspx?nfe=26230131441144000107550010000036961923824817","Ver Danfe")</f>
        <v>Ver Danfe</v>
      </c>
      <c r="Q507" s="46" t="str">
        <f>HYPERLINK("https://cofre.sieg.com/ajax/xml.aspx?nfe=26230131441144000107550010000036961923824817","Baixar Xml")</f>
        <v>Baixar Xml</v>
      </c>
    </row>
    <row r="508" spans="1:17" x14ac:dyDescent="0.75">
      <c r="A508" s="5">
        <v>30042</v>
      </c>
      <c r="B508" s="55">
        <v>90</v>
      </c>
      <c r="C508" s="5" t="s">
        <v>4862</v>
      </c>
      <c r="D508" s="45" t="s">
        <v>5481</v>
      </c>
      <c r="E508" s="45" t="s">
        <v>5482</v>
      </c>
      <c r="F508" s="45" t="s">
        <v>5483</v>
      </c>
      <c r="G508" s="45" t="s">
        <v>1120</v>
      </c>
      <c r="H508" s="45" t="s">
        <v>5484</v>
      </c>
      <c r="I508" s="45" t="s">
        <v>5484</v>
      </c>
      <c r="J508" s="45" t="s">
        <v>4862</v>
      </c>
      <c r="K508" s="45" t="s">
        <v>5485</v>
      </c>
      <c r="L508" s="45" t="s">
        <v>1122</v>
      </c>
      <c r="M508" s="45"/>
      <c r="N508" s="45"/>
      <c r="O508" s="45" t="s">
        <v>1123</v>
      </c>
      <c r="P508" s="46" t="str">
        <f>HYPERLINK("https://cofre.sieg.com/ajax/danfe.aspx?nfe=26230135577542000106550010000300421100300427","Ver Danfe")</f>
        <v>Ver Danfe</v>
      </c>
      <c r="Q508" s="46" t="str">
        <f>HYPERLINK("https://cofre.sieg.com/ajax/xml.aspx?nfe=26230135577542000106550010000300421100300427","Baixar Xml")</f>
        <v>Baixar Xml</v>
      </c>
    </row>
    <row r="509" spans="1:17" x14ac:dyDescent="0.75">
      <c r="A509" s="5">
        <v>30346</v>
      </c>
      <c r="B509" s="55">
        <v>130</v>
      </c>
      <c r="C509" s="5" t="s">
        <v>4891</v>
      </c>
      <c r="D509" s="45" t="s">
        <v>5481</v>
      </c>
      <c r="E509" s="45" t="s">
        <v>5482</v>
      </c>
      <c r="F509" s="45" t="s">
        <v>5483</v>
      </c>
      <c r="G509" s="45" t="s">
        <v>1120</v>
      </c>
      <c r="H509" s="45" t="s">
        <v>5484</v>
      </c>
      <c r="I509" s="45" t="s">
        <v>5484</v>
      </c>
      <c r="J509" s="45" t="s">
        <v>4891</v>
      </c>
      <c r="K509" s="45" t="s">
        <v>5486</v>
      </c>
      <c r="L509" s="45" t="s">
        <v>1122</v>
      </c>
      <c r="M509" s="45" t="s">
        <v>1311</v>
      </c>
      <c r="N509" s="45" t="s">
        <v>1312</v>
      </c>
      <c r="O509" s="45" t="s">
        <v>1123</v>
      </c>
      <c r="P509" s="46" t="str">
        <f>HYPERLINK("https://cofre.sieg.com/ajax/danfe.aspx?nfe=26230135577542000106550010000303461100303464","Ver Danfe")</f>
        <v>Ver Danfe</v>
      </c>
      <c r="Q509" s="46" t="str">
        <f>HYPERLINK("https://cofre.sieg.com/ajax/xml.aspx?nfe=26230135577542000106550010000303461100303464","Baixar Xml")</f>
        <v>Baixar Xml</v>
      </c>
    </row>
    <row r="510" spans="1:17" x14ac:dyDescent="0.75">
      <c r="A510" s="5">
        <v>100214</v>
      </c>
      <c r="B510" s="55">
        <v>120.3</v>
      </c>
      <c r="C510" s="5" t="s">
        <v>4825</v>
      </c>
      <c r="D510" s="45" t="s">
        <v>1120</v>
      </c>
      <c r="E510" s="45" t="s">
        <v>1133</v>
      </c>
      <c r="F510" s="45" t="s">
        <v>1133</v>
      </c>
      <c r="G510" s="45" t="s">
        <v>1120</v>
      </c>
      <c r="H510" s="45" t="s">
        <v>1121</v>
      </c>
      <c r="I510" s="45" t="s">
        <v>1121</v>
      </c>
      <c r="J510" s="45" t="s">
        <v>4826</v>
      </c>
      <c r="K510" s="45" t="s">
        <v>4828</v>
      </c>
      <c r="L510" s="45" t="s">
        <v>1122</v>
      </c>
      <c r="M510" s="45"/>
      <c r="N510" s="45"/>
      <c r="O510" s="45" t="s">
        <v>1123</v>
      </c>
      <c r="P510" s="46" t="str">
        <f>HYPERLINK("https://cofre.sieg.com/ajax/danfe.aspx?nfe=26230140843179000163550010001002141891331030","Ver Danfe")</f>
        <v>Ver Danfe</v>
      </c>
      <c r="Q510" s="46" t="str">
        <f>HYPERLINK("https://cofre.sieg.com/ajax/xml.aspx?nfe=26230140843179000163550010001002141891331030","Baixar Xml")</f>
        <v>Baixar Xml</v>
      </c>
    </row>
    <row r="511" spans="1:17" x14ac:dyDescent="0.75">
      <c r="A511" s="5">
        <v>100226</v>
      </c>
      <c r="B511" s="55">
        <v>370.81</v>
      </c>
      <c r="C511" s="5" t="s">
        <v>4825</v>
      </c>
      <c r="D511" s="45" t="s">
        <v>1120</v>
      </c>
      <c r="E511" s="45" t="s">
        <v>1133</v>
      </c>
      <c r="F511" s="45" t="s">
        <v>1133</v>
      </c>
      <c r="G511" s="45" t="s">
        <v>1120</v>
      </c>
      <c r="H511" s="45" t="s">
        <v>1121</v>
      </c>
      <c r="I511" s="45" t="s">
        <v>1121</v>
      </c>
      <c r="J511" s="45" t="s">
        <v>4826</v>
      </c>
      <c r="K511" s="45" t="s">
        <v>4830</v>
      </c>
      <c r="L511" s="45" t="s">
        <v>1122</v>
      </c>
      <c r="M511" s="45"/>
      <c r="N511" s="45"/>
      <c r="O511" s="45" t="s">
        <v>1123</v>
      </c>
      <c r="P511" s="46" t="str">
        <f>HYPERLINK("https://cofre.sieg.com/ajax/danfe.aspx?nfe=26230140843179000163550010001002261132377728","Ver Danfe")</f>
        <v>Ver Danfe</v>
      </c>
      <c r="Q511" s="46" t="str">
        <f>HYPERLINK("https://cofre.sieg.com/ajax/xml.aspx?nfe=26230140843179000163550010001002261132377728","Baixar Xml")</f>
        <v>Baixar Xml</v>
      </c>
    </row>
    <row r="512" spans="1:17" x14ac:dyDescent="0.75">
      <c r="A512" s="5">
        <v>100229</v>
      </c>
      <c r="B512" s="55">
        <v>24.5</v>
      </c>
      <c r="C512" s="5" t="s">
        <v>4825</v>
      </c>
      <c r="D512" s="45" t="s">
        <v>1120</v>
      </c>
      <c r="E512" s="45" t="s">
        <v>1133</v>
      </c>
      <c r="F512" s="45" t="s">
        <v>1133</v>
      </c>
      <c r="G512" s="45" t="s">
        <v>1120</v>
      </c>
      <c r="H512" s="45" t="s">
        <v>1121</v>
      </c>
      <c r="I512" s="45" t="s">
        <v>1121</v>
      </c>
      <c r="J512" s="45" t="s">
        <v>4826</v>
      </c>
      <c r="K512" s="45" t="s">
        <v>4831</v>
      </c>
      <c r="L512" s="45" t="s">
        <v>1122</v>
      </c>
      <c r="M512" s="45"/>
      <c r="N512" s="45"/>
      <c r="O512" s="45" t="s">
        <v>1123</v>
      </c>
      <c r="P512" s="46" t="str">
        <f>HYPERLINK("https://cofre.sieg.com/ajax/danfe.aspx?nfe=26230140843179000163550010001002291943985259","Ver Danfe")</f>
        <v>Ver Danfe</v>
      </c>
      <c r="Q512" s="46" t="str">
        <f>HYPERLINK("https://cofre.sieg.com/ajax/xml.aspx?nfe=26230140843179000163550010001002291943985259","Baixar Xml")</f>
        <v>Baixar Xml</v>
      </c>
    </row>
    <row r="513" spans="1:17" x14ac:dyDescent="0.75">
      <c r="A513" s="5">
        <v>100231</v>
      </c>
      <c r="B513" s="55">
        <v>672.24</v>
      </c>
      <c r="C513" s="5" t="s">
        <v>4825</v>
      </c>
      <c r="D513" s="45" t="s">
        <v>1120</v>
      </c>
      <c r="E513" s="45" t="s">
        <v>1133</v>
      </c>
      <c r="F513" s="45" t="s">
        <v>1133</v>
      </c>
      <c r="G513" s="45" t="s">
        <v>1120</v>
      </c>
      <c r="H513" s="45" t="s">
        <v>1121</v>
      </c>
      <c r="I513" s="45" t="s">
        <v>1121</v>
      </c>
      <c r="J513" s="45" t="s">
        <v>4826</v>
      </c>
      <c r="K513" s="45" t="s">
        <v>4832</v>
      </c>
      <c r="L513" s="45" t="s">
        <v>1122</v>
      </c>
      <c r="M513" s="45"/>
      <c r="N513" s="45"/>
      <c r="O513" s="45" t="s">
        <v>1123</v>
      </c>
      <c r="P513" s="46" t="str">
        <f>HYPERLINK("https://cofre.sieg.com/ajax/danfe.aspx?nfe=26230140843179000163550010001002311378322059","Ver Danfe")</f>
        <v>Ver Danfe</v>
      </c>
      <c r="Q513" s="46" t="str">
        <f>HYPERLINK("https://cofre.sieg.com/ajax/xml.aspx?nfe=26230140843179000163550010001002311378322059","Baixar Xml")</f>
        <v>Baixar Xml</v>
      </c>
    </row>
    <row r="514" spans="1:17" x14ac:dyDescent="0.75">
      <c r="A514" s="5">
        <v>100244</v>
      </c>
      <c r="B514" s="55">
        <v>274.3</v>
      </c>
      <c r="C514" s="5" t="s">
        <v>4825</v>
      </c>
      <c r="D514" s="45" t="s">
        <v>1120</v>
      </c>
      <c r="E514" s="45" t="s">
        <v>1133</v>
      </c>
      <c r="F514" s="45" t="s">
        <v>1133</v>
      </c>
      <c r="G514" s="45" t="s">
        <v>1120</v>
      </c>
      <c r="H514" s="45" t="s">
        <v>1121</v>
      </c>
      <c r="I514" s="45" t="s">
        <v>1121</v>
      </c>
      <c r="J514" s="45" t="s">
        <v>4826</v>
      </c>
      <c r="K514" s="45" t="s">
        <v>4833</v>
      </c>
      <c r="L514" s="45" t="s">
        <v>1122</v>
      </c>
      <c r="M514" s="45"/>
      <c r="N514" s="45"/>
      <c r="O514" s="45" t="s">
        <v>1123</v>
      </c>
      <c r="P514" s="46" t="str">
        <f>HYPERLINK("https://cofre.sieg.com/ajax/danfe.aspx?nfe=26230140843179000163550010001002441078873929","Ver Danfe")</f>
        <v>Ver Danfe</v>
      </c>
      <c r="Q514" s="46" t="str">
        <f>HYPERLINK("https://cofre.sieg.com/ajax/xml.aspx?nfe=26230140843179000163550010001002441078873929","Baixar Xml")</f>
        <v>Baixar Xml</v>
      </c>
    </row>
    <row r="515" spans="1:17" x14ac:dyDescent="0.75">
      <c r="A515" s="5">
        <v>100301</v>
      </c>
      <c r="B515" s="55">
        <v>686.34</v>
      </c>
      <c r="C515" s="5" t="s">
        <v>4826</v>
      </c>
      <c r="D515" s="45" t="s">
        <v>1120</v>
      </c>
      <c r="E515" s="45" t="s">
        <v>1133</v>
      </c>
      <c r="F515" s="45" t="s">
        <v>1133</v>
      </c>
      <c r="G515" s="45" t="s">
        <v>1120</v>
      </c>
      <c r="H515" s="45" t="s">
        <v>1121</v>
      </c>
      <c r="I515" s="45" t="s">
        <v>1121</v>
      </c>
      <c r="J515" s="45" t="s">
        <v>4834</v>
      </c>
      <c r="K515" s="45" t="s">
        <v>4836</v>
      </c>
      <c r="L515" s="45" t="s">
        <v>1122</v>
      </c>
      <c r="M515" s="45"/>
      <c r="N515" s="45"/>
      <c r="O515" s="45" t="s">
        <v>1123</v>
      </c>
      <c r="P515" s="46" t="str">
        <f>HYPERLINK("https://cofre.sieg.com/ajax/danfe.aspx?nfe=26230140843179000163550010001003011604422973","Ver Danfe")</f>
        <v>Ver Danfe</v>
      </c>
      <c r="Q515" s="46" t="str">
        <f>HYPERLINK("https://cofre.sieg.com/ajax/xml.aspx?nfe=26230140843179000163550010001003011604422973","Baixar Xml")</f>
        <v>Baixar Xml</v>
      </c>
    </row>
    <row r="516" spans="1:17" x14ac:dyDescent="0.75">
      <c r="A516" s="5">
        <v>100304</v>
      </c>
      <c r="B516" s="55">
        <v>338.92</v>
      </c>
      <c r="C516" s="5" t="s">
        <v>4826</v>
      </c>
      <c r="D516" s="45" t="s">
        <v>1120</v>
      </c>
      <c r="E516" s="45" t="s">
        <v>1133</v>
      </c>
      <c r="F516" s="45" t="s">
        <v>1133</v>
      </c>
      <c r="G516" s="45" t="s">
        <v>1120</v>
      </c>
      <c r="H516" s="45" t="s">
        <v>1121</v>
      </c>
      <c r="I516" s="45" t="s">
        <v>1121</v>
      </c>
      <c r="J516" s="45" t="s">
        <v>4834</v>
      </c>
      <c r="K516" s="45" t="s">
        <v>4837</v>
      </c>
      <c r="L516" s="45" t="s">
        <v>1122</v>
      </c>
      <c r="M516" s="45"/>
      <c r="N516" s="45"/>
      <c r="O516" s="45" t="s">
        <v>1123</v>
      </c>
      <c r="P516" s="46" t="str">
        <f>HYPERLINK("https://cofre.sieg.com/ajax/danfe.aspx?nfe=26230140843179000163550010001003041998505999","Ver Danfe")</f>
        <v>Ver Danfe</v>
      </c>
      <c r="Q516" s="46" t="str">
        <f>HYPERLINK("https://cofre.sieg.com/ajax/xml.aspx?nfe=26230140843179000163550010001003041998505999","Baixar Xml")</f>
        <v>Baixar Xml</v>
      </c>
    </row>
    <row r="517" spans="1:17" x14ac:dyDescent="0.75">
      <c r="A517" s="5">
        <v>100306</v>
      </c>
      <c r="B517" s="55">
        <v>674.7</v>
      </c>
      <c r="C517" s="5" t="s">
        <v>4826</v>
      </c>
      <c r="D517" s="45" t="s">
        <v>1120</v>
      </c>
      <c r="E517" s="45" t="s">
        <v>1133</v>
      </c>
      <c r="F517" s="45" t="s">
        <v>1133</v>
      </c>
      <c r="G517" s="45" t="s">
        <v>1120</v>
      </c>
      <c r="H517" s="45" t="s">
        <v>1121</v>
      </c>
      <c r="I517" s="45" t="s">
        <v>1121</v>
      </c>
      <c r="J517" s="45" t="s">
        <v>4834</v>
      </c>
      <c r="K517" s="45" t="s">
        <v>4838</v>
      </c>
      <c r="L517" s="45" t="s">
        <v>1122</v>
      </c>
      <c r="M517" s="45"/>
      <c r="N517" s="45"/>
      <c r="O517" s="45" t="s">
        <v>1123</v>
      </c>
      <c r="P517" s="46" t="str">
        <f>HYPERLINK("https://cofre.sieg.com/ajax/danfe.aspx?nfe=26230140843179000163550010001003061107854561","Ver Danfe")</f>
        <v>Ver Danfe</v>
      </c>
      <c r="Q517" s="46" t="str">
        <f>HYPERLINK("https://cofre.sieg.com/ajax/xml.aspx?nfe=26230140843179000163550010001003061107854561","Baixar Xml")</f>
        <v>Baixar Xml</v>
      </c>
    </row>
    <row r="518" spans="1:17" x14ac:dyDescent="0.75">
      <c r="A518" s="5">
        <v>100340</v>
      </c>
      <c r="B518" s="55">
        <v>306.86</v>
      </c>
      <c r="C518" s="5" t="s">
        <v>4834</v>
      </c>
      <c r="D518" s="45" t="s">
        <v>1120</v>
      </c>
      <c r="E518" s="45" t="s">
        <v>1133</v>
      </c>
      <c r="F518" s="45" t="s">
        <v>1133</v>
      </c>
      <c r="G518" s="45" t="s">
        <v>1120</v>
      </c>
      <c r="H518" s="45" t="s">
        <v>1121</v>
      </c>
      <c r="I518" s="45" t="s">
        <v>1121</v>
      </c>
      <c r="J518" s="45" t="s">
        <v>4839</v>
      </c>
      <c r="K518" s="45" t="s">
        <v>4840</v>
      </c>
      <c r="L518" s="45" t="s">
        <v>1122</v>
      </c>
      <c r="M518" s="45"/>
      <c r="N518" s="45"/>
      <c r="O518" s="45" t="s">
        <v>1123</v>
      </c>
      <c r="P518" s="46" t="str">
        <f>HYPERLINK("https://cofre.sieg.com/ajax/danfe.aspx?nfe=26230140843179000163550010001003401868710076","Ver Danfe")</f>
        <v>Ver Danfe</v>
      </c>
      <c r="Q518" s="46" t="str">
        <f>HYPERLINK("https://cofre.sieg.com/ajax/xml.aspx?nfe=26230140843179000163550010001003401868710076","Baixar Xml")</f>
        <v>Baixar Xml</v>
      </c>
    </row>
    <row r="519" spans="1:17" x14ac:dyDescent="0.75">
      <c r="A519" s="5">
        <v>100341</v>
      </c>
      <c r="B519" s="55">
        <v>243.23</v>
      </c>
      <c r="C519" s="5" t="s">
        <v>4834</v>
      </c>
      <c r="D519" s="45" t="s">
        <v>1120</v>
      </c>
      <c r="E519" s="45" t="s">
        <v>1133</v>
      </c>
      <c r="F519" s="45" t="s">
        <v>1133</v>
      </c>
      <c r="G519" s="45" t="s">
        <v>1120</v>
      </c>
      <c r="H519" s="45" t="s">
        <v>1121</v>
      </c>
      <c r="I519" s="45" t="s">
        <v>1121</v>
      </c>
      <c r="J519" s="45" t="s">
        <v>4839</v>
      </c>
      <c r="K519" s="45" t="s">
        <v>4841</v>
      </c>
      <c r="L519" s="45" t="s">
        <v>1122</v>
      </c>
      <c r="M519" s="45"/>
      <c r="N519" s="45"/>
      <c r="O519" s="45" t="s">
        <v>1123</v>
      </c>
      <c r="P519" s="46" t="str">
        <f>HYPERLINK("https://cofre.sieg.com/ajax/danfe.aspx?nfe=26230140843179000163550010001003411929546758","Ver Danfe")</f>
        <v>Ver Danfe</v>
      </c>
      <c r="Q519" s="46" t="str">
        <f>HYPERLINK("https://cofre.sieg.com/ajax/xml.aspx?nfe=26230140843179000163550010001003411929546758","Baixar Xml")</f>
        <v>Baixar Xml</v>
      </c>
    </row>
    <row r="520" spans="1:17" x14ac:dyDescent="0.75">
      <c r="A520" s="5">
        <v>100342</v>
      </c>
      <c r="B520" s="55">
        <v>420.35</v>
      </c>
      <c r="C520" s="5" t="s">
        <v>4834</v>
      </c>
      <c r="D520" s="45" t="s">
        <v>1120</v>
      </c>
      <c r="E520" s="45" t="s">
        <v>1133</v>
      </c>
      <c r="F520" s="45" t="s">
        <v>1133</v>
      </c>
      <c r="G520" s="45" t="s">
        <v>1120</v>
      </c>
      <c r="H520" s="45" t="s">
        <v>1121</v>
      </c>
      <c r="I520" s="45" t="s">
        <v>1121</v>
      </c>
      <c r="J520" s="45" t="s">
        <v>4839</v>
      </c>
      <c r="K520" s="45" t="s">
        <v>4842</v>
      </c>
      <c r="L520" s="45" t="s">
        <v>1122</v>
      </c>
      <c r="M520" s="45"/>
      <c r="N520" s="45"/>
      <c r="O520" s="45" t="s">
        <v>1123</v>
      </c>
      <c r="P520" s="46" t="str">
        <f>HYPERLINK("https://cofre.sieg.com/ajax/danfe.aspx?nfe=26230140843179000163550010001003421250104690","Ver Danfe")</f>
        <v>Ver Danfe</v>
      </c>
      <c r="Q520" s="46" t="str">
        <f>HYPERLINK("https://cofre.sieg.com/ajax/xml.aspx?nfe=26230140843179000163550010001003421250104690","Baixar Xml")</f>
        <v>Baixar Xml</v>
      </c>
    </row>
    <row r="521" spans="1:17" x14ac:dyDescent="0.75">
      <c r="A521" s="5">
        <v>100354</v>
      </c>
      <c r="B521" s="55">
        <v>32.799999999999997</v>
      </c>
      <c r="C521" s="5" t="s">
        <v>4834</v>
      </c>
      <c r="D521" s="45" t="s">
        <v>1120</v>
      </c>
      <c r="E521" s="45" t="s">
        <v>1133</v>
      </c>
      <c r="F521" s="45" t="s">
        <v>1133</v>
      </c>
      <c r="G521" s="45" t="s">
        <v>1120</v>
      </c>
      <c r="H521" s="45" t="s">
        <v>1121</v>
      </c>
      <c r="I521" s="45" t="s">
        <v>1121</v>
      </c>
      <c r="J521" s="45" t="s">
        <v>4839</v>
      </c>
      <c r="K521" s="45" t="s">
        <v>4843</v>
      </c>
      <c r="L521" s="45" t="s">
        <v>1122</v>
      </c>
      <c r="M521" s="45"/>
      <c r="N521" s="45"/>
      <c r="O521" s="45" t="s">
        <v>1123</v>
      </c>
      <c r="P521" s="46" t="str">
        <f>HYPERLINK("https://cofre.sieg.com/ajax/danfe.aspx?nfe=26230140843179000163550010001003541134007383","Ver Danfe")</f>
        <v>Ver Danfe</v>
      </c>
      <c r="Q521" s="46" t="str">
        <f>HYPERLINK("https://cofre.sieg.com/ajax/xml.aspx?nfe=26230140843179000163550010001003541134007383","Baixar Xml")</f>
        <v>Baixar Xml</v>
      </c>
    </row>
    <row r="522" spans="1:17" x14ac:dyDescent="0.75">
      <c r="A522" s="5">
        <v>100412</v>
      </c>
      <c r="B522" s="55">
        <v>194.05</v>
      </c>
      <c r="C522" s="5" t="s">
        <v>4839</v>
      </c>
      <c r="D522" s="45" t="s">
        <v>1120</v>
      </c>
      <c r="E522" s="45" t="s">
        <v>1133</v>
      </c>
      <c r="F522" s="45" t="s">
        <v>1133</v>
      </c>
      <c r="G522" s="45" t="s">
        <v>1120</v>
      </c>
      <c r="H522" s="45" t="s">
        <v>1121</v>
      </c>
      <c r="I522" s="45" t="s">
        <v>1121</v>
      </c>
      <c r="J522" s="45" t="s">
        <v>4844</v>
      </c>
      <c r="K522" s="45" t="s">
        <v>4845</v>
      </c>
      <c r="L522" s="45" t="s">
        <v>1122</v>
      </c>
      <c r="M522" s="45"/>
      <c r="N522" s="45"/>
      <c r="O522" s="45" t="s">
        <v>1123</v>
      </c>
      <c r="P522" s="46" t="str">
        <f>HYPERLINK("https://cofre.sieg.com/ajax/danfe.aspx?nfe=26230140843179000163550010001004121179359128","Ver Danfe")</f>
        <v>Ver Danfe</v>
      </c>
      <c r="Q522" s="46" t="str">
        <f>HYPERLINK("https://cofre.sieg.com/ajax/xml.aspx?nfe=26230140843179000163550010001004121179359128","Baixar Xml")</f>
        <v>Baixar Xml</v>
      </c>
    </row>
    <row r="523" spans="1:17" x14ac:dyDescent="0.75">
      <c r="A523" s="5">
        <v>100445</v>
      </c>
      <c r="B523" s="55">
        <v>226.41</v>
      </c>
      <c r="C523" s="5" t="s">
        <v>4844</v>
      </c>
      <c r="D523" s="45" t="s">
        <v>1120</v>
      </c>
      <c r="E523" s="45" t="s">
        <v>1133</v>
      </c>
      <c r="F523" s="45" t="s">
        <v>1133</v>
      </c>
      <c r="G523" s="45" t="s">
        <v>1120</v>
      </c>
      <c r="H523" s="45" t="s">
        <v>1121</v>
      </c>
      <c r="I523" s="45" t="s">
        <v>1121</v>
      </c>
      <c r="J523" s="45" t="s">
        <v>4846</v>
      </c>
      <c r="K523" s="45" t="s">
        <v>4847</v>
      </c>
      <c r="L523" s="45" t="s">
        <v>1122</v>
      </c>
      <c r="M523" s="45"/>
      <c r="N523" s="45"/>
      <c r="O523" s="45" t="s">
        <v>1123</v>
      </c>
      <c r="P523" s="46" t="str">
        <f>HYPERLINK("https://cofre.sieg.com/ajax/danfe.aspx?nfe=26230140843179000163550010001004451926949708","Ver Danfe")</f>
        <v>Ver Danfe</v>
      </c>
      <c r="Q523" s="46" t="str">
        <f>HYPERLINK("https://cofre.sieg.com/ajax/xml.aspx?nfe=26230140843179000163550010001004451926949708","Baixar Xml")</f>
        <v>Baixar Xml</v>
      </c>
    </row>
    <row r="524" spans="1:17" x14ac:dyDescent="0.75">
      <c r="A524" s="5">
        <v>100446</v>
      </c>
      <c r="B524" s="55">
        <v>442.38</v>
      </c>
      <c r="C524" s="5" t="s">
        <v>4844</v>
      </c>
      <c r="D524" s="45" t="s">
        <v>1120</v>
      </c>
      <c r="E524" s="45" t="s">
        <v>1133</v>
      </c>
      <c r="F524" s="45" t="s">
        <v>1133</v>
      </c>
      <c r="G524" s="45" t="s">
        <v>1120</v>
      </c>
      <c r="H524" s="45" t="s">
        <v>1121</v>
      </c>
      <c r="I524" s="45" t="s">
        <v>1121</v>
      </c>
      <c r="J524" s="45" t="s">
        <v>4846</v>
      </c>
      <c r="K524" s="45" t="s">
        <v>4848</v>
      </c>
      <c r="L524" s="45" t="s">
        <v>1122</v>
      </c>
      <c r="M524" s="45"/>
      <c r="N524" s="45"/>
      <c r="O524" s="45" t="s">
        <v>1123</v>
      </c>
      <c r="P524" s="46" t="str">
        <f>HYPERLINK("https://cofre.sieg.com/ajax/danfe.aspx?nfe=26230140843179000163550010001004461562354638","Ver Danfe")</f>
        <v>Ver Danfe</v>
      </c>
      <c r="Q524" s="46" t="str">
        <f>HYPERLINK("https://cofre.sieg.com/ajax/xml.aspx?nfe=26230140843179000163550010001004461562354638","Baixar Xml")</f>
        <v>Baixar Xml</v>
      </c>
    </row>
    <row r="525" spans="1:17" x14ac:dyDescent="0.75">
      <c r="A525" s="5">
        <v>100465</v>
      </c>
      <c r="B525" s="55">
        <v>545</v>
      </c>
      <c r="C525" s="5" t="s">
        <v>4844</v>
      </c>
      <c r="D525" s="45" t="s">
        <v>1120</v>
      </c>
      <c r="E525" s="45" t="s">
        <v>1133</v>
      </c>
      <c r="F525" s="45" t="s">
        <v>1133</v>
      </c>
      <c r="G525" s="45" t="s">
        <v>1120</v>
      </c>
      <c r="H525" s="45" t="s">
        <v>1121</v>
      </c>
      <c r="I525" s="45" t="s">
        <v>1121</v>
      </c>
      <c r="J525" s="45" t="s">
        <v>4846</v>
      </c>
      <c r="K525" s="45" t="s">
        <v>4849</v>
      </c>
      <c r="L525" s="45" t="s">
        <v>1122</v>
      </c>
      <c r="M525" s="45"/>
      <c r="N525" s="45"/>
      <c r="O525" s="45" t="s">
        <v>1123</v>
      </c>
      <c r="P525" s="46" t="str">
        <f>HYPERLINK("https://cofre.sieg.com/ajax/danfe.aspx?nfe=26230140843179000163550010001004651298030417","Ver Danfe")</f>
        <v>Ver Danfe</v>
      </c>
      <c r="Q525" s="46" t="str">
        <f>HYPERLINK("https://cofre.sieg.com/ajax/xml.aspx?nfe=26230140843179000163550010001004651298030417","Baixar Xml")</f>
        <v>Baixar Xml</v>
      </c>
    </row>
    <row r="526" spans="1:17" x14ac:dyDescent="0.75">
      <c r="A526" s="5">
        <v>100510</v>
      </c>
      <c r="B526" s="55">
        <v>497.15</v>
      </c>
      <c r="C526" s="5" t="s">
        <v>4846</v>
      </c>
      <c r="D526" s="45" t="s">
        <v>1120</v>
      </c>
      <c r="E526" s="45" t="s">
        <v>1133</v>
      </c>
      <c r="F526" s="45" t="s">
        <v>1133</v>
      </c>
      <c r="G526" s="45" t="s">
        <v>1120</v>
      </c>
      <c r="H526" s="45" t="s">
        <v>1121</v>
      </c>
      <c r="I526" s="45" t="s">
        <v>1121</v>
      </c>
      <c r="J526" s="45" t="s">
        <v>4850</v>
      </c>
      <c r="K526" s="45" t="s">
        <v>4851</v>
      </c>
      <c r="L526" s="45" t="s">
        <v>1122</v>
      </c>
      <c r="M526" s="45"/>
      <c r="N526" s="45"/>
      <c r="O526" s="45" t="s">
        <v>1123</v>
      </c>
      <c r="P526" s="46" t="str">
        <f>HYPERLINK("https://cofre.sieg.com/ajax/danfe.aspx?nfe=26230140843179000163550010001005101153607249","Ver Danfe")</f>
        <v>Ver Danfe</v>
      </c>
      <c r="Q526" s="46" t="str">
        <f>HYPERLINK("https://cofre.sieg.com/ajax/xml.aspx?nfe=26230140843179000163550010001005101153607249","Baixar Xml")</f>
        <v>Baixar Xml</v>
      </c>
    </row>
    <row r="527" spans="1:17" x14ac:dyDescent="0.75">
      <c r="A527" s="5">
        <v>100511</v>
      </c>
      <c r="B527" s="55">
        <v>386.81</v>
      </c>
      <c r="C527" s="5" t="s">
        <v>4846</v>
      </c>
      <c r="D527" s="45" t="s">
        <v>1120</v>
      </c>
      <c r="E527" s="45" t="s">
        <v>1133</v>
      </c>
      <c r="F527" s="45" t="s">
        <v>1133</v>
      </c>
      <c r="G527" s="45" t="s">
        <v>1120</v>
      </c>
      <c r="H527" s="45" t="s">
        <v>1121</v>
      </c>
      <c r="I527" s="45" t="s">
        <v>1121</v>
      </c>
      <c r="J527" s="45" t="s">
        <v>4850</v>
      </c>
      <c r="K527" s="45" t="s">
        <v>4852</v>
      </c>
      <c r="L527" s="45" t="s">
        <v>1122</v>
      </c>
      <c r="M527" s="45"/>
      <c r="N527" s="45"/>
      <c r="O527" s="45" t="s">
        <v>1123</v>
      </c>
      <c r="P527" s="46" t="str">
        <f>HYPERLINK("https://cofre.sieg.com/ajax/danfe.aspx?nfe=26230140843179000163550010001005111666400784","Ver Danfe")</f>
        <v>Ver Danfe</v>
      </c>
      <c r="Q527" s="46" t="str">
        <f>HYPERLINK("https://cofre.sieg.com/ajax/xml.aspx?nfe=26230140843179000163550010001005111666400784","Baixar Xml")</f>
        <v>Baixar Xml</v>
      </c>
    </row>
    <row r="528" spans="1:17" x14ac:dyDescent="0.75">
      <c r="A528" s="5">
        <v>100516</v>
      </c>
      <c r="B528" s="55">
        <v>319.2</v>
      </c>
      <c r="C528" s="5" t="s">
        <v>4846</v>
      </c>
      <c r="D528" s="45" t="s">
        <v>1120</v>
      </c>
      <c r="E528" s="45" t="s">
        <v>1133</v>
      </c>
      <c r="F528" s="45" t="s">
        <v>1133</v>
      </c>
      <c r="G528" s="45" t="s">
        <v>1120</v>
      </c>
      <c r="H528" s="45" t="s">
        <v>1121</v>
      </c>
      <c r="I528" s="45" t="s">
        <v>1121</v>
      </c>
      <c r="J528" s="45" t="s">
        <v>4850</v>
      </c>
      <c r="K528" s="45" t="s">
        <v>4853</v>
      </c>
      <c r="L528" s="45" t="s">
        <v>1122</v>
      </c>
      <c r="M528" s="45"/>
      <c r="N528" s="45"/>
      <c r="O528" s="45" t="s">
        <v>1123</v>
      </c>
      <c r="P528" s="46" t="str">
        <f>HYPERLINK("https://cofre.sieg.com/ajax/danfe.aspx?nfe=26230140843179000163550010001005161617366124","Ver Danfe")</f>
        <v>Ver Danfe</v>
      </c>
      <c r="Q528" s="46" t="str">
        <f>HYPERLINK("https://cofre.sieg.com/ajax/xml.aspx?nfe=26230140843179000163550010001005161617366124","Baixar Xml")</f>
        <v>Baixar Xml</v>
      </c>
    </row>
    <row r="529" spans="1:17" x14ac:dyDescent="0.75">
      <c r="A529" s="5">
        <v>100517</v>
      </c>
      <c r="B529" s="55">
        <v>25</v>
      </c>
      <c r="C529" s="5" t="s">
        <v>4846</v>
      </c>
      <c r="D529" s="45" t="s">
        <v>1120</v>
      </c>
      <c r="E529" s="45" t="s">
        <v>1133</v>
      </c>
      <c r="F529" s="45" t="s">
        <v>1133</v>
      </c>
      <c r="G529" s="45" t="s">
        <v>1120</v>
      </c>
      <c r="H529" s="45" t="s">
        <v>1121</v>
      </c>
      <c r="I529" s="45" t="s">
        <v>1121</v>
      </c>
      <c r="J529" s="45" t="s">
        <v>4850</v>
      </c>
      <c r="K529" s="45" t="s">
        <v>4854</v>
      </c>
      <c r="L529" s="45" t="s">
        <v>1122</v>
      </c>
      <c r="M529" s="45"/>
      <c r="N529" s="45"/>
      <c r="O529" s="45" t="s">
        <v>1123</v>
      </c>
      <c r="P529" s="46" t="str">
        <f>HYPERLINK("https://cofre.sieg.com/ajax/danfe.aspx?nfe=26230140843179000163550010001005171672375374","Ver Danfe")</f>
        <v>Ver Danfe</v>
      </c>
      <c r="Q529" s="46" t="str">
        <f>HYPERLINK("https://cofre.sieg.com/ajax/xml.aspx?nfe=26230140843179000163550010001005171672375374","Baixar Xml")</f>
        <v>Baixar Xml</v>
      </c>
    </row>
    <row r="530" spans="1:17" x14ac:dyDescent="0.75">
      <c r="A530" s="5">
        <v>100528</v>
      </c>
      <c r="B530" s="55">
        <v>49</v>
      </c>
      <c r="C530" s="5" t="s">
        <v>4846</v>
      </c>
      <c r="D530" s="45" t="s">
        <v>1120</v>
      </c>
      <c r="E530" s="45" t="s">
        <v>1133</v>
      </c>
      <c r="F530" s="45" t="s">
        <v>1133</v>
      </c>
      <c r="G530" s="45" t="s">
        <v>1120</v>
      </c>
      <c r="H530" s="45" t="s">
        <v>1121</v>
      </c>
      <c r="I530" s="45" t="s">
        <v>1121</v>
      </c>
      <c r="J530" s="45" t="s">
        <v>4850</v>
      </c>
      <c r="K530" s="45" t="s">
        <v>4855</v>
      </c>
      <c r="L530" s="45" t="s">
        <v>1122</v>
      </c>
      <c r="M530" s="45"/>
      <c r="N530" s="45"/>
      <c r="O530" s="45" t="s">
        <v>1123</v>
      </c>
      <c r="P530" s="46" t="str">
        <f>HYPERLINK("https://cofre.sieg.com/ajax/danfe.aspx?nfe=26230140843179000163550010001005281619628909","Ver Danfe")</f>
        <v>Ver Danfe</v>
      </c>
      <c r="Q530" s="46" t="str">
        <f>HYPERLINK("https://cofre.sieg.com/ajax/xml.aspx?nfe=26230140843179000163550010001005281619628909","Baixar Xml")</f>
        <v>Baixar Xml</v>
      </c>
    </row>
    <row r="531" spans="1:17" x14ac:dyDescent="0.75">
      <c r="A531" s="5">
        <v>100529</v>
      </c>
      <c r="B531" s="55">
        <v>21.6</v>
      </c>
      <c r="C531" s="5" t="s">
        <v>4846</v>
      </c>
      <c r="D531" s="45" t="s">
        <v>1120</v>
      </c>
      <c r="E531" s="45" t="s">
        <v>1133</v>
      </c>
      <c r="F531" s="45" t="s">
        <v>1133</v>
      </c>
      <c r="G531" s="45" t="s">
        <v>1120</v>
      </c>
      <c r="H531" s="45" t="s">
        <v>1121</v>
      </c>
      <c r="I531" s="45" t="s">
        <v>1121</v>
      </c>
      <c r="J531" s="45" t="s">
        <v>4850</v>
      </c>
      <c r="K531" s="45" t="s">
        <v>4856</v>
      </c>
      <c r="L531" s="45" t="s">
        <v>1122</v>
      </c>
      <c r="M531" s="45"/>
      <c r="N531" s="45"/>
      <c r="O531" s="45" t="s">
        <v>1123</v>
      </c>
      <c r="P531" s="46" t="str">
        <f>HYPERLINK("https://cofre.sieg.com/ajax/danfe.aspx?nfe=26230140843179000163550010001005291257210053","Ver Danfe")</f>
        <v>Ver Danfe</v>
      </c>
      <c r="Q531" s="46" t="str">
        <f>HYPERLINK("https://cofre.sieg.com/ajax/xml.aspx?nfe=26230140843179000163550010001005291257210053","Baixar Xml")</f>
        <v>Baixar Xml</v>
      </c>
    </row>
    <row r="532" spans="1:17" x14ac:dyDescent="0.75">
      <c r="A532" s="5">
        <v>100531</v>
      </c>
      <c r="B532" s="55">
        <v>640</v>
      </c>
      <c r="C532" s="5" t="s">
        <v>4857</v>
      </c>
      <c r="D532" s="45" t="s">
        <v>1120</v>
      </c>
      <c r="E532" s="45" t="s">
        <v>1133</v>
      </c>
      <c r="F532" s="45" t="s">
        <v>1133</v>
      </c>
      <c r="G532" s="45" t="s">
        <v>1120</v>
      </c>
      <c r="H532" s="45" t="s">
        <v>1121</v>
      </c>
      <c r="I532" s="45" t="s">
        <v>1121</v>
      </c>
      <c r="J532" s="45" t="s">
        <v>4858</v>
      </c>
      <c r="K532" s="45" t="s">
        <v>4859</v>
      </c>
      <c r="L532" s="45" t="s">
        <v>1122</v>
      </c>
      <c r="M532" s="45"/>
      <c r="N532" s="45"/>
      <c r="O532" s="45" t="s">
        <v>1123</v>
      </c>
      <c r="P532" s="46" t="str">
        <f>HYPERLINK("https://cofre.sieg.com/ajax/danfe.aspx?nfe=26230140843179000163550010001005311713942552","Ver Danfe")</f>
        <v>Ver Danfe</v>
      </c>
      <c r="Q532" s="46" t="str">
        <f>HYPERLINK("https://cofre.sieg.com/ajax/xml.aspx?nfe=26230140843179000163550010001005311713942552","Baixar Xml")</f>
        <v>Baixar Xml</v>
      </c>
    </row>
    <row r="533" spans="1:17" x14ac:dyDescent="0.75">
      <c r="A533" s="5">
        <v>100532</v>
      </c>
      <c r="B533" s="55">
        <v>3152.39</v>
      </c>
      <c r="C533" s="5" t="s">
        <v>4846</v>
      </c>
      <c r="D533" s="45" t="s">
        <v>1120</v>
      </c>
      <c r="E533" s="45" t="s">
        <v>1133</v>
      </c>
      <c r="F533" s="45" t="s">
        <v>1133</v>
      </c>
      <c r="G533" s="45" t="s">
        <v>1120</v>
      </c>
      <c r="H533" s="45" t="s">
        <v>1121</v>
      </c>
      <c r="I533" s="45" t="s">
        <v>1121</v>
      </c>
      <c r="J533" s="45" t="s">
        <v>4850</v>
      </c>
      <c r="K533" s="45" t="s">
        <v>4860</v>
      </c>
      <c r="L533" s="45" t="s">
        <v>1122</v>
      </c>
      <c r="M533" s="45"/>
      <c r="N533" s="45"/>
      <c r="O533" s="45" t="s">
        <v>1123</v>
      </c>
      <c r="P533" s="46" t="str">
        <f>HYPERLINK("https://cofre.sieg.com/ajax/danfe.aspx?nfe=26230140843179000163550010001005321770769136","Ver Danfe")</f>
        <v>Ver Danfe</v>
      </c>
      <c r="Q533" s="46" t="str">
        <f>HYPERLINK("https://cofre.sieg.com/ajax/xml.aspx?nfe=26230140843179000163550010001005321770769136","Baixar Xml")</f>
        <v>Baixar Xml</v>
      </c>
    </row>
    <row r="534" spans="1:17" x14ac:dyDescent="0.75">
      <c r="A534" s="5">
        <v>100560</v>
      </c>
      <c r="B534" s="55">
        <v>189</v>
      </c>
      <c r="C534" s="5" t="s">
        <v>4857</v>
      </c>
      <c r="D534" s="45" t="s">
        <v>1120</v>
      </c>
      <c r="E534" s="45" t="s">
        <v>1133</v>
      </c>
      <c r="F534" s="45" t="s">
        <v>1133</v>
      </c>
      <c r="G534" s="45" t="s">
        <v>1120</v>
      </c>
      <c r="H534" s="45" t="s">
        <v>1121</v>
      </c>
      <c r="I534" s="45" t="s">
        <v>1121</v>
      </c>
      <c r="J534" s="45" t="s">
        <v>4861</v>
      </c>
      <c r="K534" s="45" t="s">
        <v>4863</v>
      </c>
      <c r="L534" s="45" t="s">
        <v>1122</v>
      </c>
      <c r="M534" s="45"/>
      <c r="N534" s="45"/>
      <c r="O534" s="45" t="s">
        <v>1123</v>
      </c>
      <c r="P534" s="46" t="str">
        <f>HYPERLINK("https://cofre.sieg.com/ajax/danfe.aspx?nfe=26230140843179000163550010001005601886003444","Ver Danfe")</f>
        <v>Ver Danfe</v>
      </c>
      <c r="Q534" s="46" t="str">
        <f>HYPERLINK("https://cofre.sieg.com/ajax/xml.aspx?nfe=26230140843179000163550010001005601886003444","Baixar Xml")</f>
        <v>Baixar Xml</v>
      </c>
    </row>
    <row r="535" spans="1:17" x14ac:dyDescent="0.75">
      <c r="A535" s="5">
        <v>100561</v>
      </c>
      <c r="B535" s="55">
        <v>442.71</v>
      </c>
      <c r="C535" s="5" t="s">
        <v>4857</v>
      </c>
      <c r="D535" s="45" t="s">
        <v>1120</v>
      </c>
      <c r="E535" s="45" t="s">
        <v>1133</v>
      </c>
      <c r="F535" s="45" t="s">
        <v>1133</v>
      </c>
      <c r="G535" s="45" t="s">
        <v>1120</v>
      </c>
      <c r="H535" s="45" t="s">
        <v>1121</v>
      </c>
      <c r="I535" s="45" t="s">
        <v>1121</v>
      </c>
      <c r="J535" s="45" t="s">
        <v>4862</v>
      </c>
      <c r="K535" s="45" t="s">
        <v>4864</v>
      </c>
      <c r="L535" s="45" t="s">
        <v>1122</v>
      </c>
      <c r="M535" s="45"/>
      <c r="N535" s="45"/>
      <c r="O535" s="45" t="s">
        <v>1123</v>
      </c>
      <c r="P535" s="46" t="str">
        <f>HYPERLINK("https://cofre.sieg.com/ajax/danfe.aspx?nfe=26230140843179000163550010001005611766451307","Ver Danfe")</f>
        <v>Ver Danfe</v>
      </c>
      <c r="Q535" s="46" t="str">
        <f>HYPERLINK("https://cofre.sieg.com/ajax/xml.aspx?nfe=26230140843179000163550010001005611766451307","Baixar Xml")</f>
        <v>Baixar Xml</v>
      </c>
    </row>
    <row r="536" spans="1:17" x14ac:dyDescent="0.75">
      <c r="A536" s="5">
        <v>100562</v>
      </c>
      <c r="B536" s="55">
        <v>526.76</v>
      </c>
      <c r="C536" s="5" t="s">
        <v>4857</v>
      </c>
      <c r="D536" s="45" t="s">
        <v>1120</v>
      </c>
      <c r="E536" s="45" t="s">
        <v>1133</v>
      </c>
      <c r="F536" s="45" t="s">
        <v>1133</v>
      </c>
      <c r="G536" s="45" t="s">
        <v>1120</v>
      </c>
      <c r="H536" s="45" t="s">
        <v>1121</v>
      </c>
      <c r="I536" s="45" t="s">
        <v>1121</v>
      </c>
      <c r="J536" s="45" t="s">
        <v>4861</v>
      </c>
      <c r="K536" s="45" t="s">
        <v>4865</v>
      </c>
      <c r="L536" s="45" t="s">
        <v>1122</v>
      </c>
      <c r="M536" s="45"/>
      <c r="N536" s="45"/>
      <c r="O536" s="45" t="s">
        <v>1123</v>
      </c>
      <c r="P536" s="46" t="str">
        <f>HYPERLINK("https://cofre.sieg.com/ajax/danfe.aspx?nfe=26230140843179000163550010001005621611537531","Ver Danfe")</f>
        <v>Ver Danfe</v>
      </c>
      <c r="Q536" s="46" t="str">
        <f>HYPERLINK("https://cofre.sieg.com/ajax/xml.aspx?nfe=26230140843179000163550010001005621611537531","Baixar Xml")</f>
        <v>Baixar Xml</v>
      </c>
    </row>
    <row r="537" spans="1:17" x14ac:dyDescent="0.75">
      <c r="A537" s="5">
        <v>100642</v>
      </c>
      <c r="B537" s="55">
        <v>75.260000000000005</v>
      </c>
      <c r="C537" s="5" t="s">
        <v>4861</v>
      </c>
      <c r="D537" s="45" t="s">
        <v>1120</v>
      </c>
      <c r="E537" s="45" t="s">
        <v>1133</v>
      </c>
      <c r="F537" s="45" t="s">
        <v>1133</v>
      </c>
      <c r="G537" s="45" t="s">
        <v>1120</v>
      </c>
      <c r="H537" s="45" t="s">
        <v>1121</v>
      </c>
      <c r="I537" s="45" t="s">
        <v>1121</v>
      </c>
      <c r="J537" s="45" t="s">
        <v>4862</v>
      </c>
      <c r="K537" s="45" t="s">
        <v>4867</v>
      </c>
      <c r="L537" s="45" t="s">
        <v>1122</v>
      </c>
      <c r="M537" s="45"/>
      <c r="N537" s="45"/>
      <c r="O537" s="45" t="s">
        <v>1123</v>
      </c>
      <c r="P537" s="46" t="str">
        <f>HYPERLINK("https://cofre.sieg.com/ajax/danfe.aspx?nfe=26230140843179000163550010001006421704039992","Ver Danfe")</f>
        <v>Ver Danfe</v>
      </c>
      <c r="Q537" s="46" t="str">
        <f>HYPERLINK("https://cofre.sieg.com/ajax/xml.aspx?nfe=26230140843179000163550010001006421704039992","Baixar Xml")</f>
        <v>Baixar Xml</v>
      </c>
    </row>
    <row r="538" spans="1:17" x14ac:dyDescent="0.75">
      <c r="A538" s="5">
        <v>100643</v>
      </c>
      <c r="B538" s="55">
        <v>260.95</v>
      </c>
      <c r="C538" s="5" t="s">
        <v>4861</v>
      </c>
      <c r="D538" s="45" t="s">
        <v>1120</v>
      </c>
      <c r="E538" s="45" t="s">
        <v>1133</v>
      </c>
      <c r="F538" s="45" t="s">
        <v>1133</v>
      </c>
      <c r="G538" s="45" t="s">
        <v>1120</v>
      </c>
      <c r="H538" s="45" t="s">
        <v>1121</v>
      </c>
      <c r="I538" s="45" t="s">
        <v>1121</v>
      </c>
      <c r="J538" s="45" t="s">
        <v>4866</v>
      </c>
      <c r="K538" s="45" t="s">
        <v>4868</v>
      </c>
      <c r="L538" s="45" t="s">
        <v>1122</v>
      </c>
      <c r="M538" s="45"/>
      <c r="N538" s="45"/>
      <c r="O538" s="45" t="s">
        <v>1123</v>
      </c>
      <c r="P538" s="46" t="str">
        <f>HYPERLINK("https://cofre.sieg.com/ajax/danfe.aspx?nfe=26230140843179000163550010001006431101730224","Ver Danfe")</f>
        <v>Ver Danfe</v>
      </c>
      <c r="Q538" s="46" t="str">
        <f>HYPERLINK("https://cofre.sieg.com/ajax/xml.aspx?nfe=26230140843179000163550010001006431101730224","Baixar Xml")</f>
        <v>Baixar Xml</v>
      </c>
    </row>
    <row r="539" spans="1:17" x14ac:dyDescent="0.75">
      <c r="A539" s="5">
        <v>100644</v>
      </c>
      <c r="B539" s="55">
        <v>174.3</v>
      </c>
      <c r="C539" s="5" t="s">
        <v>4861</v>
      </c>
      <c r="D539" s="45" t="s">
        <v>1120</v>
      </c>
      <c r="E539" s="45" t="s">
        <v>1133</v>
      </c>
      <c r="F539" s="45" t="s">
        <v>1133</v>
      </c>
      <c r="G539" s="45" t="s">
        <v>1120</v>
      </c>
      <c r="H539" s="45" t="s">
        <v>1121</v>
      </c>
      <c r="I539" s="45" t="s">
        <v>1121</v>
      </c>
      <c r="J539" s="45" t="s">
        <v>4866</v>
      </c>
      <c r="K539" s="45" t="s">
        <v>4869</v>
      </c>
      <c r="L539" s="45" t="s">
        <v>1122</v>
      </c>
      <c r="M539" s="45"/>
      <c r="N539" s="45"/>
      <c r="O539" s="45" t="s">
        <v>1123</v>
      </c>
      <c r="P539" s="46" t="str">
        <f>HYPERLINK("https://cofre.sieg.com/ajax/danfe.aspx?nfe=26230140843179000163550010001006441376334149","Ver Danfe")</f>
        <v>Ver Danfe</v>
      </c>
      <c r="Q539" s="46" t="str">
        <f>HYPERLINK("https://cofre.sieg.com/ajax/xml.aspx?nfe=26230140843179000163550010001006441376334149","Baixar Xml")</f>
        <v>Baixar Xml</v>
      </c>
    </row>
    <row r="540" spans="1:17" x14ac:dyDescent="0.75">
      <c r="A540" s="5">
        <v>100647</v>
      </c>
      <c r="B540" s="55">
        <v>470.05</v>
      </c>
      <c r="C540" s="5" t="s">
        <v>4861</v>
      </c>
      <c r="D540" s="45" t="s">
        <v>1120</v>
      </c>
      <c r="E540" s="45" t="s">
        <v>1133</v>
      </c>
      <c r="F540" s="45" t="s">
        <v>1133</v>
      </c>
      <c r="G540" s="45" t="s">
        <v>1120</v>
      </c>
      <c r="H540" s="45" t="s">
        <v>1121</v>
      </c>
      <c r="I540" s="45" t="s">
        <v>1121</v>
      </c>
      <c r="J540" s="45" t="s">
        <v>4862</v>
      </c>
      <c r="K540" s="45" t="s">
        <v>4870</v>
      </c>
      <c r="L540" s="45" t="s">
        <v>1122</v>
      </c>
      <c r="M540" s="45"/>
      <c r="N540" s="45"/>
      <c r="O540" s="45" t="s">
        <v>1123</v>
      </c>
      <c r="P540" s="46" t="str">
        <f>HYPERLINK("https://cofre.sieg.com/ajax/danfe.aspx?nfe=26230140843179000163550010001006471558771724","Ver Danfe")</f>
        <v>Ver Danfe</v>
      </c>
      <c r="Q540" s="46" t="str">
        <f>HYPERLINK("https://cofre.sieg.com/ajax/xml.aspx?nfe=26230140843179000163550010001006471558771724","Baixar Xml")</f>
        <v>Baixar Xml</v>
      </c>
    </row>
    <row r="541" spans="1:17" x14ac:dyDescent="0.75">
      <c r="A541" s="5">
        <v>100701</v>
      </c>
      <c r="B541" s="55">
        <v>305.5</v>
      </c>
      <c r="C541" s="5" t="s">
        <v>4862</v>
      </c>
      <c r="D541" s="45" t="s">
        <v>1120</v>
      </c>
      <c r="E541" s="45" t="s">
        <v>1133</v>
      </c>
      <c r="F541" s="45" t="s">
        <v>1133</v>
      </c>
      <c r="G541" s="45" t="s">
        <v>1120</v>
      </c>
      <c r="H541" s="45" t="s">
        <v>1121</v>
      </c>
      <c r="I541" s="45" t="s">
        <v>1121</v>
      </c>
      <c r="J541" s="45" t="s">
        <v>4866</v>
      </c>
      <c r="K541" s="45" t="s">
        <v>4871</v>
      </c>
      <c r="L541" s="45" t="s">
        <v>1122</v>
      </c>
      <c r="M541" s="45"/>
      <c r="N541" s="45"/>
      <c r="O541" s="45" t="s">
        <v>1123</v>
      </c>
      <c r="P541" s="46" t="str">
        <f>HYPERLINK("https://cofre.sieg.com/ajax/danfe.aspx?nfe=26230140843179000163550010001007011411097991","Ver Danfe")</f>
        <v>Ver Danfe</v>
      </c>
      <c r="Q541" s="46" t="str">
        <f>HYPERLINK("https://cofre.sieg.com/ajax/xml.aspx?nfe=26230140843179000163550010001007011411097991","Baixar Xml")</f>
        <v>Baixar Xml</v>
      </c>
    </row>
    <row r="542" spans="1:17" x14ac:dyDescent="0.75">
      <c r="A542" s="5">
        <v>100749</v>
      </c>
      <c r="B542" s="55">
        <v>119.9</v>
      </c>
      <c r="C542" s="5" t="s">
        <v>4866</v>
      </c>
      <c r="D542" s="45" t="s">
        <v>1120</v>
      </c>
      <c r="E542" s="45" t="s">
        <v>1133</v>
      </c>
      <c r="F542" s="45" t="s">
        <v>1133</v>
      </c>
      <c r="G542" s="45" t="s">
        <v>1120</v>
      </c>
      <c r="H542" s="45" t="s">
        <v>1121</v>
      </c>
      <c r="I542" s="45" t="s">
        <v>1121</v>
      </c>
      <c r="J542" s="45" t="s">
        <v>4873</v>
      </c>
      <c r="K542" s="45" t="s">
        <v>4874</v>
      </c>
      <c r="L542" s="45" t="s">
        <v>1122</v>
      </c>
      <c r="M542" s="45"/>
      <c r="N542" s="45"/>
      <c r="O542" s="45" t="s">
        <v>1123</v>
      </c>
      <c r="P542" s="46" t="str">
        <f>HYPERLINK("https://cofre.sieg.com/ajax/danfe.aspx?nfe=26230140843179000163550010001007491419908003","Ver Danfe")</f>
        <v>Ver Danfe</v>
      </c>
      <c r="Q542" s="46" t="str">
        <f>HYPERLINK("https://cofre.sieg.com/ajax/xml.aspx?nfe=26230140843179000163550010001007491419908003","Baixar Xml")</f>
        <v>Baixar Xml</v>
      </c>
    </row>
    <row r="543" spans="1:17" x14ac:dyDescent="0.75">
      <c r="A543" s="5">
        <v>100762</v>
      </c>
      <c r="B543" s="55">
        <v>294.47000000000003</v>
      </c>
      <c r="C543" s="5" t="s">
        <v>4866</v>
      </c>
      <c r="D543" s="45" t="s">
        <v>1120</v>
      </c>
      <c r="E543" s="45" t="s">
        <v>1133</v>
      </c>
      <c r="F543" s="45" t="s">
        <v>1133</v>
      </c>
      <c r="G543" s="45" t="s">
        <v>1120</v>
      </c>
      <c r="H543" s="45" t="s">
        <v>1121</v>
      </c>
      <c r="I543" s="45" t="s">
        <v>1121</v>
      </c>
      <c r="J543" s="45" t="s">
        <v>4873</v>
      </c>
      <c r="K543" s="45" t="s">
        <v>4875</v>
      </c>
      <c r="L543" s="45" t="s">
        <v>1122</v>
      </c>
      <c r="M543" s="45"/>
      <c r="N543" s="45"/>
      <c r="O543" s="45" t="s">
        <v>1123</v>
      </c>
      <c r="P543" s="46" t="str">
        <f>HYPERLINK("https://cofre.sieg.com/ajax/danfe.aspx?nfe=26230140843179000163550010001007621398719187","Ver Danfe")</f>
        <v>Ver Danfe</v>
      </c>
      <c r="Q543" s="46" t="str">
        <f>HYPERLINK("https://cofre.sieg.com/ajax/xml.aspx?nfe=26230140843179000163550010001007621398719187","Baixar Xml")</f>
        <v>Baixar Xml</v>
      </c>
    </row>
    <row r="544" spans="1:17" x14ac:dyDescent="0.75">
      <c r="A544" s="5">
        <v>100764</v>
      </c>
      <c r="B544" s="55">
        <v>288.48</v>
      </c>
      <c r="C544" s="5" t="s">
        <v>4866</v>
      </c>
      <c r="D544" s="45" t="s">
        <v>1120</v>
      </c>
      <c r="E544" s="45" t="s">
        <v>1133</v>
      </c>
      <c r="F544" s="45" t="s">
        <v>1133</v>
      </c>
      <c r="G544" s="45" t="s">
        <v>1120</v>
      </c>
      <c r="H544" s="45" t="s">
        <v>1121</v>
      </c>
      <c r="I544" s="45" t="s">
        <v>1121</v>
      </c>
      <c r="J544" s="45" t="s">
        <v>4873</v>
      </c>
      <c r="K544" s="45" t="s">
        <v>4876</v>
      </c>
      <c r="L544" s="45" t="s">
        <v>1122</v>
      </c>
      <c r="M544" s="45"/>
      <c r="N544" s="45"/>
      <c r="O544" s="45" t="s">
        <v>1123</v>
      </c>
      <c r="P544" s="46" t="str">
        <f>HYPERLINK("https://cofre.sieg.com/ajax/danfe.aspx?nfe=26230140843179000163550010001007641937234685","Ver Danfe")</f>
        <v>Ver Danfe</v>
      </c>
      <c r="Q544" s="46" t="str">
        <f>HYPERLINK("https://cofre.sieg.com/ajax/xml.aspx?nfe=26230140843179000163550010001007641937234685","Baixar Xml")</f>
        <v>Baixar Xml</v>
      </c>
    </row>
    <row r="545" spans="1:17" x14ac:dyDescent="0.75">
      <c r="A545" s="5">
        <v>100790</v>
      </c>
      <c r="B545" s="55">
        <v>1089.3</v>
      </c>
      <c r="C545" s="5" t="s">
        <v>4873</v>
      </c>
      <c r="D545" s="45" t="s">
        <v>1120</v>
      </c>
      <c r="E545" s="45" t="s">
        <v>1133</v>
      </c>
      <c r="F545" s="45" t="s">
        <v>1133</v>
      </c>
      <c r="G545" s="45" t="s">
        <v>1120</v>
      </c>
      <c r="H545" s="45" t="s">
        <v>1121</v>
      </c>
      <c r="I545" s="45" t="s">
        <v>1121</v>
      </c>
      <c r="J545" s="45" t="s">
        <v>4877</v>
      </c>
      <c r="K545" s="45" t="s">
        <v>4878</v>
      </c>
      <c r="L545" s="45" t="s">
        <v>1122</v>
      </c>
      <c r="M545" s="45"/>
      <c r="N545" s="45"/>
      <c r="O545" s="45" t="s">
        <v>1123</v>
      </c>
      <c r="P545" s="46" t="str">
        <f>HYPERLINK("https://cofre.sieg.com/ajax/danfe.aspx?nfe=26230140843179000163550010001007901483922859","Ver Danfe")</f>
        <v>Ver Danfe</v>
      </c>
      <c r="Q545" s="46" t="str">
        <f>HYPERLINK("https://cofre.sieg.com/ajax/xml.aspx?nfe=26230140843179000163550010001007901483922859","Baixar Xml")</f>
        <v>Baixar Xml</v>
      </c>
    </row>
    <row r="546" spans="1:17" x14ac:dyDescent="0.75">
      <c r="A546" s="5">
        <v>100813</v>
      </c>
      <c r="B546" s="55">
        <v>76</v>
      </c>
      <c r="C546" s="5" t="s">
        <v>4873</v>
      </c>
      <c r="D546" s="45" t="s">
        <v>1120</v>
      </c>
      <c r="E546" s="45" t="s">
        <v>1133</v>
      </c>
      <c r="F546" s="45" t="s">
        <v>1133</v>
      </c>
      <c r="G546" s="45" t="s">
        <v>1120</v>
      </c>
      <c r="H546" s="45" t="s">
        <v>1121</v>
      </c>
      <c r="I546" s="45" t="s">
        <v>1121</v>
      </c>
      <c r="J546" s="45" t="s">
        <v>4877</v>
      </c>
      <c r="K546" s="45" t="s">
        <v>4879</v>
      </c>
      <c r="L546" s="45" t="s">
        <v>1122</v>
      </c>
      <c r="M546" s="45"/>
      <c r="N546" s="45"/>
      <c r="O546" s="45" t="s">
        <v>1123</v>
      </c>
      <c r="P546" s="46" t="str">
        <f>HYPERLINK("https://cofre.sieg.com/ajax/danfe.aspx?nfe=26230140843179000163550010001008131899481699","Ver Danfe")</f>
        <v>Ver Danfe</v>
      </c>
      <c r="Q546" s="46" t="str">
        <f>HYPERLINK("https://cofre.sieg.com/ajax/xml.aspx?nfe=26230140843179000163550010001008131899481699","Baixar Xml")</f>
        <v>Baixar Xml</v>
      </c>
    </row>
    <row r="547" spans="1:17" x14ac:dyDescent="0.75">
      <c r="A547" s="5">
        <v>100855</v>
      </c>
      <c r="B547" s="55">
        <v>600.53</v>
      </c>
      <c r="C547" s="5" t="s">
        <v>4877</v>
      </c>
      <c r="D547" s="45" t="s">
        <v>1120</v>
      </c>
      <c r="E547" s="45" t="s">
        <v>1133</v>
      </c>
      <c r="F547" s="45" t="s">
        <v>1133</v>
      </c>
      <c r="G547" s="45" t="s">
        <v>1120</v>
      </c>
      <c r="H547" s="45" t="s">
        <v>1121</v>
      </c>
      <c r="I547" s="45" t="s">
        <v>1121</v>
      </c>
      <c r="J547" s="45" t="s">
        <v>4858</v>
      </c>
      <c r="K547" s="45" t="s">
        <v>4880</v>
      </c>
      <c r="L547" s="45" t="s">
        <v>1122</v>
      </c>
      <c r="M547" s="45"/>
      <c r="N547" s="45"/>
      <c r="O547" s="45" t="s">
        <v>1123</v>
      </c>
      <c r="P547" s="46" t="str">
        <f>HYPERLINK("https://cofre.sieg.com/ajax/danfe.aspx?nfe=26230140843179000163550010001008551920151834","Ver Danfe")</f>
        <v>Ver Danfe</v>
      </c>
      <c r="Q547" s="46" t="str">
        <f>HYPERLINK("https://cofre.sieg.com/ajax/xml.aspx?nfe=26230140843179000163550010001008551920151834","Baixar Xml")</f>
        <v>Baixar Xml</v>
      </c>
    </row>
    <row r="548" spans="1:17" x14ac:dyDescent="0.75">
      <c r="A548" s="5">
        <v>100861</v>
      </c>
      <c r="B548" s="55">
        <v>743.18</v>
      </c>
      <c r="C548" s="5" t="s">
        <v>4877</v>
      </c>
      <c r="D548" s="45" t="s">
        <v>1120</v>
      </c>
      <c r="E548" s="45" t="s">
        <v>1133</v>
      </c>
      <c r="F548" s="45" t="s">
        <v>1133</v>
      </c>
      <c r="G548" s="45" t="s">
        <v>1120</v>
      </c>
      <c r="H548" s="45" t="s">
        <v>1121</v>
      </c>
      <c r="I548" s="45" t="s">
        <v>1121</v>
      </c>
      <c r="J548" s="45" t="s">
        <v>4858</v>
      </c>
      <c r="K548" s="45" t="s">
        <v>4881</v>
      </c>
      <c r="L548" s="45" t="s">
        <v>1122</v>
      </c>
      <c r="M548" s="45"/>
      <c r="N548" s="45"/>
      <c r="O548" s="45" t="s">
        <v>1123</v>
      </c>
      <c r="P548" s="46" t="str">
        <f>HYPERLINK("https://cofre.sieg.com/ajax/danfe.aspx?nfe=26230140843179000163550010001008611154695180","Ver Danfe")</f>
        <v>Ver Danfe</v>
      </c>
      <c r="Q548" s="46" t="str">
        <f>HYPERLINK("https://cofre.sieg.com/ajax/xml.aspx?nfe=26230140843179000163550010001008611154695180","Baixar Xml")</f>
        <v>Baixar Xml</v>
      </c>
    </row>
    <row r="549" spans="1:17" x14ac:dyDescent="0.75">
      <c r="A549" s="5">
        <v>100877</v>
      </c>
      <c r="B549" s="55">
        <v>576.04999999999995</v>
      </c>
      <c r="C549" s="5" t="s">
        <v>4877</v>
      </c>
      <c r="D549" s="45" t="s">
        <v>1120</v>
      </c>
      <c r="E549" s="45" t="s">
        <v>1133</v>
      </c>
      <c r="F549" s="45" t="s">
        <v>1133</v>
      </c>
      <c r="G549" s="45" t="s">
        <v>1120</v>
      </c>
      <c r="H549" s="45" t="s">
        <v>1121</v>
      </c>
      <c r="I549" s="45" t="s">
        <v>1121</v>
      </c>
      <c r="J549" s="45" t="s">
        <v>4858</v>
      </c>
      <c r="K549" s="45" t="s">
        <v>4882</v>
      </c>
      <c r="L549" s="45" t="s">
        <v>1122</v>
      </c>
      <c r="M549" s="45"/>
      <c r="N549" s="45"/>
      <c r="O549" s="45" t="s">
        <v>1123</v>
      </c>
      <c r="P549" s="46" t="str">
        <f>HYPERLINK("https://cofre.sieg.com/ajax/danfe.aspx?nfe=26230140843179000163550010001008771887882232","Ver Danfe")</f>
        <v>Ver Danfe</v>
      </c>
      <c r="Q549" s="46" t="str">
        <f>HYPERLINK("https://cofre.sieg.com/ajax/xml.aspx?nfe=26230140843179000163550010001008771887882232","Baixar Xml")</f>
        <v>Baixar Xml</v>
      </c>
    </row>
    <row r="550" spans="1:17" x14ac:dyDescent="0.75">
      <c r="A550" s="5">
        <v>100927</v>
      </c>
      <c r="B550" s="55">
        <v>736.1</v>
      </c>
      <c r="C550" s="5" t="s">
        <v>4883</v>
      </c>
      <c r="D550" s="45" t="s">
        <v>1120</v>
      </c>
      <c r="E550" s="45" t="s">
        <v>1133</v>
      </c>
      <c r="F550" s="45" t="s">
        <v>1133</v>
      </c>
      <c r="G550" s="45" t="s">
        <v>1120</v>
      </c>
      <c r="H550" s="45" t="s">
        <v>1121</v>
      </c>
      <c r="I550" s="45" t="s">
        <v>1121</v>
      </c>
      <c r="J550" s="45" t="s">
        <v>4884</v>
      </c>
      <c r="K550" s="45" t="s">
        <v>4886</v>
      </c>
      <c r="L550" s="45" t="s">
        <v>1122</v>
      </c>
      <c r="M550" s="45"/>
      <c r="N550" s="45"/>
      <c r="O550" s="45" t="s">
        <v>1123</v>
      </c>
      <c r="P550" s="46" t="str">
        <f>HYPERLINK("https://cofre.sieg.com/ajax/danfe.aspx?nfe=26230140843179000163550010001009271510953842","Ver Danfe")</f>
        <v>Ver Danfe</v>
      </c>
      <c r="Q550" s="46" t="str">
        <f>HYPERLINK("https://cofre.sieg.com/ajax/xml.aspx?nfe=26230140843179000163550010001009271510953842","Baixar Xml")</f>
        <v>Baixar Xml</v>
      </c>
    </row>
    <row r="551" spans="1:17" x14ac:dyDescent="0.75">
      <c r="A551" s="5">
        <v>100991</v>
      </c>
      <c r="B551" s="55">
        <v>210.2</v>
      </c>
      <c r="C551" s="5" t="s">
        <v>4884</v>
      </c>
      <c r="D551" s="45" t="s">
        <v>1120</v>
      </c>
      <c r="E551" s="45" t="s">
        <v>1133</v>
      </c>
      <c r="F551" s="45" t="s">
        <v>1133</v>
      </c>
      <c r="G551" s="45" t="s">
        <v>1120</v>
      </c>
      <c r="H551" s="45" t="s">
        <v>1121</v>
      </c>
      <c r="I551" s="45" t="s">
        <v>1121</v>
      </c>
      <c r="J551" s="45" t="s">
        <v>4887</v>
      </c>
      <c r="K551" s="45" t="s">
        <v>4888</v>
      </c>
      <c r="L551" s="45" t="s">
        <v>1122</v>
      </c>
      <c r="M551" s="45"/>
      <c r="N551" s="45"/>
      <c r="O551" s="45" t="s">
        <v>1123</v>
      </c>
      <c r="P551" s="46" t="str">
        <f>HYPERLINK("https://cofre.sieg.com/ajax/danfe.aspx?nfe=26230140843179000163550010001009911662410265","Ver Danfe")</f>
        <v>Ver Danfe</v>
      </c>
      <c r="Q551" s="46" t="str">
        <f>HYPERLINK("https://cofre.sieg.com/ajax/xml.aspx?nfe=26230140843179000163550010001009911662410265","Baixar Xml")</f>
        <v>Baixar Xml</v>
      </c>
    </row>
    <row r="552" spans="1:17" x14ac:dyDescent="0.75">
      <c r="A552" s="5">
        <v>100992</v>
      </c>
      <c r="B552" s="55">
        <v>631.54</v>
      </c>
      <c r="C552" s="5" t="s">
        <v>4884</v>
      </c>
      <c r="D552" s="45" t="s">
        <v>1120</v>
      </c>
      <c r="E552" s="45" t="s">
        <v>1133</v>
      </c>
      <c r="F552" s="45" t="s">
        <v>1133</v>
      </c>
      <c r="G552" s="45" t="s">
        <v>1120</v>
      </c>
      <c r="H552" s="45" t="s">
        <v>1121</v>
      </c>
      <c r="I552" s="45" t="s">
        <v>1121</v>
      </c>
      <c r="J552" s="45" t="s">
        <v>4887</v>
      </c>
      <c r="K552" s="45" t="s">
        <v>4889</v>
      </c>
      <c r="L552" s="45" t="s">
        <v>1122</v>
      </c>
      <c r="M552" s="45"/>
      <c r="N552" s="45"/>
      <c r="O552" s="45" t="s">
        <v>1123</v>
      </c>
      <c r="P552" s="46" t="str">
        <f>HYPERLINK("https://cofre.sieg.com/ajax/danfe.aspx?nfe=26230140843179000163550010001009921008160767","Ver Danfe")</f>
        <v>Ver Danfe</v>
      </c>
      <c r="Q552" s="46" t="str">
        <f>HYPERLINK("https://cofre.sieg.com/ajax/xml.aspx?nfe=26230140843179000163550010001009921008160767","Baixar Xml")</f>
        <v>Baixar Xml</v>
      </c>
    </row>
    <row r="553" spans="1:17" x14ac:dyDescent="0.75">
      <c r="A553" s="5">
        <v>100993</v>
      </c>
      <c r="B553" s="55">
        <v>395.96</v>
      </c>
      <c r="C553" s="5" t="s">
        <v>4884</v>
      </c>
      <c r="D553" s="45" t="s">
        <v>1120</v>
      </c>
      <c r="E553" s="45" t="s">
        <v>1133</v>
      </c>
      <c r="F553" s="45" t="s">
        <v>1133</v>
      </c>
      <c r="G553" s="45" t="s">
        <v>1120</v>
      </c>
      <c r="H553" s="45" t="s">
        <v>1121</v>
      </c>
      <c r="I553" s="45" t="s">
        <v>1121</v>
      </c>
      <c r="J553" s="45" t="s">
        <v>4887</v>
      </c>
      <c r="K553" s="45" t="s">
        <v>4890</v>
      </c>
      <c r="L553" s="45" t="s">
        <v>1122</v>
      </c>
      <c r="M553" s="45"/>
      <c r="N553" s="45"/>
      <c r="O553" s="45" t="s">
        <v>1123</v>
      </c>
      <c r="P553" s="46" t="str">
        <f>HYPERLINK("https://cofre.sieg.com/ajax/danfe.aspx?nfe=26230140843179000163550010001009931962147904","Ver Danfe")</f>
        <v>Ver Danfe</v>
      </c>
      <c r="Q553" s="46" t="str">
        <f>HYPERLINK("https://cofre.sieg.com/ajax/xml.aspx?nfe=26230140843179000163550010001009931962147904","Baixar Xml")</f>
        <v>Baixar Xml</v>
      </c>
    </row>
    <row r="554" spans="1:17" x14ac:dyDescent="0.75">
      <c r="A554" s="5">
        <v>101033</v>
      </c>
      <c r="B554" s="55">
        <v>358.49</v>
      </c>
      <c r="C554" s="5" t="s">
        <v>4887</v>
      </c>
      <c r="D554" s="45" t="s">
        <v>1120</v>
      </c>
      <c r="E554" s="45" t="s">
        <v>1133</v>
      </c>
      <c r="F554" s="45" t="s">
        <v>1133</v>
      </c>
      <c r="G554" s="45" t="s">
        <v>1120</v>
      </c>
      <c r="H554" s="45" t="s">
        <v>1121</v>
      </c>
      <c r="I554" s="45" t="s">
        <v>1121</v>
      </c>
      <c r="J554" s="45" t="s">
        <v>4887</v>
      </c>
      <c r="K554" s="45" t="s">
        <v>4892</v>
      </c>
      <c r="L554" s="45" t="s">
        <v>1122</v>
      </c>
      <c r="M554" s="45"/>
      <c r="N554" s="45"/>
      <c r="O554" s="45" t="s">
        <v>1123</v>
      </c>
      <c r="P554" s="46" t="str">
        <f>HYPERLINK("https://cofre.sieg.com/ajax/danfe.aspx?nfe=26230140843179000163550010001010331397857572","Ver Danfe")</f>
        <v>Ver Danfe</v>
      </c>
      <c r="Q554" s="46" t="str">
        <f>HYPERLINK("https://cofre.sieg.com/ajax/xml.aspx?nfe=26230140843179000163550010001010331397857572","Baixar Xml")</f>
        <v>Baixar Xml</v>
      </c>
    </row>
    <row r="555" spans="1:17" x14ac:dyDescent="0.75">
      <c r="A555" s="5">
        <v>101034</v>
      </c>
      <c r="B555" s="55">
        <v>342.75</v>
      </c>
      <c r="C555" s="5" t="s">
        <v>4887</v>
      </c>
      <c r="D555" s="45" t="s">
        <v>1120</v>
      </c>
      <c r="E555" s="45" t="s">
        <v>1133</v>
      </c>
      <c r="F555" s="45" t="s">
        <v>1133</v>
      </c>
      <c r="G555" s="45" t="s">
        <v>1120</v>
      </c>
      <c r="H555" s="45" t="s">
        <v>1121</v>
      </c>
      <c r="I555" s="45" t="s">
        <v>1121</v>
      </c>
      <c r="J555" s="45" t="s">
        <v>4887</v>
      </c>
      <c r="K555" s="45" t="s">
        <v>4893</v>
      </c>
      <c r="L555" s="45" t="s">
        <v>1122</v>
      </c>
      <c r="M555" s="45"/>
      <c r="N555" s="45"/>
      <c r="O555" s="45" t="s">
        <v>1123</v>
      </c>
      <c r="P555" s="46" t="str">
        <f>HYPERLINK("https://cofre.sieg.com/ajax/danfe.aspx?nfe=26230140843179000163550010001010341692053699","Ver Danfe")</f>
        <v>Ver Danfe</v>
      </c>
      <c r="Q555" s="46" t="str">
        <f>HYPERLINK("https://cofre.sieg.com/ajax/xml.aspx?nfe=26230140843179000163550010001010341692053699","Baixar Xml")</f>
        <v>Baixar Xml</v>
      </c>
    </row>
    <row r="556" spans="1:17" x14ac:dyDescent="0.75">
      <c r="A556" s="5">
        <v>101039</v>
      </c>
      <c r="B556" s="55">
        <v>322.3</v>
      </c>
      <c r="C556" s="5" t="s">
        <v>4887</v>
      </c>
      <c r="D556" s="45" t="s">
        <v>1120</v>
      </c>
      <c r="E556" s="45" t="s">
        <v>1133</v>
      </c>
      <c r="F556" s="45" t="s">
        <v>1133</v>
      </c>
      <c r="G556" s="45" t="s">
        <v>1120</v>
      </c>
      <c r="H556" s="45" t="s">
        <v>1121</v>
      </c>
      <c r="I556" s="45" t="s">
        <v>1121</v>
      </c>
      <c r="J556" s="45" t="s">
        <v>4887</v>
      </c>
      <c r="K556" s="45" t="s">
        <v>4894</v>
      </c>
      <c r="L556" s="45" t="s">
        <v>1122</v>
      </c>
      <c r="M556" s="45"/>
      <c r="N556" s="45"/>
      <c r="O556" s="45" t="s">
        <v>1123</v>
      </c>
      <c r="P556" s="46" t="str">
        <f>HYPERLINK("https://cofre.sieg.com/ajax/danfe.aspx?nfe=26230140843179000163550010001010391233252108","Ver Danfe")</f>
        <v>Ver Danfe</v>
      </c>
      <c r="Q556" s="46" t="str">
        <f>HYPERLINK("https://cofre.sieg.com/ajax/xml.aspx?nfe=26230140843179000163550010001010391233252108","Baixar Xml")</f>
        <v>Baixar Xml</v>
      </c>
    </row>
    <row r="557" spans="1:17" x14ac:dyDescent="0.75">
      <c r="A557" s="5">
        <v>101080</v>
      </c>
      <c r="B557" s="55">
        <v>429.19</v>
      </c>
      <c r="C557" s="5" t="s">
        <v>4891</v>
      </c>
      <c r="D557" s="45" t="s">
        <v>1120</v>
      </c>
      <c r="E557" s="45" t="s">
        <v>1133</v>
      </c>
      <c r="F557" s="45" t="s">
        <v>1133</v>
      </c>
      <c r="G557" s="45" t="s">
        <v>1120</v>
      </c>
      <c r="H557" s="45" t="s">
        <v>1121</v>
      </c>
      <c r="I557" s="45" t="s">
        <v>1121</v>
      </c>
      <c r="J557" s="45" t="s">
        <v>4891</v>
      </c>
      <c r="K557" s="45" t="s">
        <v>4895</v>
      </c>
      <c r="L557" s="45" t="s">
        <v>1122</v>
      </c>
      <c r="M557" s="45"/>
      <c r="N557" s="45"/>
      <c r="O557" s="45" t="s">
        <v>1123</v>
      </c>
      <c r="P557" s="46" t="str">
        <f>HYPERLINK("https://cofre.sieg.com/ajax/danfe.aspx?nfe=26230140843179000163550010001010801122589240","Ver Danfe")</f>
        <v>Ver Danfe</v>
      </c>
      <c r="Q557" s="46" t="str">
        <f>HYPERLINK("https://cofre.sieg.com/ajax/xml.aspx?nfe=26230140843179000163550010001010801122589240","Baixar Xml")</f>
        <v>Baixar Xml</v>
      </c>
    </row>
    <row r="558" spans="1:17" x14ac:dyDescent="0.75">
      <c r="A558" s="5">
        <v>101081</v>
      </c>
      <c r="B558" s="55">
        <v>181.64</v>
      </c>
      <c r="C558" s="5" t="s">
        <v>4891</v>
      </c>
      <c r="D558" s="45" t="s">
        <v>1120</v>
      </c>
      <c r="E558" s="45" t="s">
        <v>1133</v>
      </c>
      <c r="F558" s="45" t="s">
        <v>1133</v>
      </c>
      <c r="G558" s="45" t="s">
        <v>1120</v>
      </c>
      <c r="H558" s="45" t="s">
        <v>1121</v>
      </c>
      <c r="I558" s="45" t="s">
        <v>1121</v>
      </c>
      <c r="J558" s="45" t="s">
        <v>4891</v>
      </c>
      <c r="K558" s="45" t="s">
        <v>4896</v>
      </c>
      <c r="L558" s="45" t="s">
        <v>1122</v>
      </c>
      <c r="M558" s="45"/>
      <c r="N558" s="45"/>
      <c r="O558" s="45" t="s">
        <v>1123</v>
      </c>
      <c r="P558" s="46" t="str">
        <f>HYPERLINK("https://cofre.sieg.com/ajax/danfe.aspx?nfe=26230140843179000163550010001010811859635637","Ver Danfe")</f>
        <v>Ver Danfe</v>
      </c>
      <c r="Q558" s="46" t="str">
        <f>HYPERLINK("https://cofre.sieg.com/ajax/xml.aspx?nfe=26230140843179000163550010001010811859635637","Baixar Xml")</f>
        <v>Baixar Xml</v>
      </c>
    </row>
    <row r="559" spans="1:17" x14ac:dyDescent="0.75">
      <c r="A559" s="5">
        <v>101101</v>
      </c>
      <c r="B559" s="55">
        <v>684.45</v>
      </c>
      <c r="C559" s="5" t="s">
        <v>4891</v>
      </c>
      <c r="D559" s="45" t="s">
        <v>1120</v>
      </c>
      <c r="E559" s="45" t="s">
        <v>1133</v>
      </c>
      <c r="F559" s="45" t="s">
        <v>1133</v>
      </c>
      <c r="G559" s="45" t="s">
        <v>1120</v>
      </c>
      <c r="H559" s="45" t="s">
        <v>1121</v>
      </c>
      <c r="I559" s="45" t="s">
        <v>1121</v>
      </c>
      <c r="J559" s="45" t="s">
        <v>4891</v>
      </c>
      <c r="K559" s="45" t="s">
        <v>4897</v>
      </c>
      <c r="L559" s="45" t="s">
        <v>1122</v>
      </c>
      <c r="M559" s="45"/>
      <c r="N559" s="45"/>
      <c r="O559" s="45" t="s">
        <v>1123</v>
      </c>
      <c r="P559" s="46" t="str">
        <f>HYPERLINK("https://cofre.sieg.com/ajax/danfe.aspx?nfe=26230140843179000163550010001011011203257240","Ver Danfe")</f>
        <v>Ver Danfe</v>
      </c>
      <c r="Q559" s="46" t="str">
        <f>HYPERLINK("https://cofre.sieg.com/ajax/xml.aspx?nfe=26230140843179000163550010001011011203257240","Baixar Xml")</f>
        <v>Baixar Xml</v>
      </c>
    </row>
    <row r="560" spans="1:17" x14ac:dyDescent="0.75">
      <c r="A560" s="5">
        <v>101102</v>
      </c>
      <c r="B560" s="55">
        <v>4.57</v>
      </c>
      <c r="C560" s="5" t="s">
        <v>4891</v>
      </c>
      <c r="D560" s="45" t="s">
        <v>1120</v>
      </c>
      <c r="E560" s="45" t="s">
        <v>1133</v>
      </c>
      <c r="F560" s="45" t="s">
        <v>1133</v>
      </c>
      <c r="G560" s="45" t="s">
        <v>1120</v>
      </c>
      <c r="H560" s="45" t="s">
        <v>1121</v>
      </c>
      <c r="I560" s="45" t="s">
        <v>1121</v>
      </c>
      <c r="J560" s="45" t="s">
        <v>4891</v>
      </c>
      <c r="K560" s="45" t="s">
        <v>4898</v>
      </c>
      <c r="L560" s="45" t="s">
        <v>1122</v>
      </c>
      <c r="M560" s="45"/>
      <c r="N560" s="45"/>
      <c r="O560" s="45" t="s">
        <v>1123</v>
      </c>
      <c r="P560" s="46" t="str">
        <f>HYPERLINK("https://cofre.sieg.com/ajax/danfe.aspx?nfe=26230140843179000163550010001011021328682270","Ver Danfe")</f>
        <v>Ver Danfe</v>
      </c>
      <c r="Q560" s="46" t="str">
        <f>HYPERLINK("https://cofre.sieg.com/ajax/xml.aspx?nfe=26230140843179000163550010001011021328682270","Baixar Xml")</f>
        <v>Baixar Xml</v>
      </c>
    </row>
    <row r="561" spans="1:17" x14ac:dyDescent="0.75">
      <c r="A561" s="5">
        <v>101128</v>
      </c>
      <c r="B561" s="55">
        <v>532.33000000000004</v>
      </c>
      <c r="C561" s="5" t="s">
        <v>4899</v>
      </c>
      <c r="D561" s="45" t="s">
        <v>1120</v>
      </c>
      <c r="E561" s="45" t="s">
        <v>1133</v>
      </c>
      <c r="F561" s="45" t="s">
        <v>1133</v>
      </c>
      <c r="G561" s="45" t="s">
        <v>1120</v>
      </c>
      <c r="H561" s="45" t="s">
        <v>1121</v>
      </c>
      <c r="I561" s="45" t="s">
        <v>1121</v>
      </c>
      <c r="J561" s="45" t="s">
        <v>4900</v>
      </c>
      <c r="K561" s="45" t="s">
        <v>4901</v>
      </c>
      <c r="L561" s="45" t="s">
        <v>1122</v>
      </c>
      <c r="M561" s="45"/>
      <c r="N561" s="45"/>
      <c r="O561" s="45" t="s">
        <v>1123</v>
      </c>
      <c r="P561" s="46" t="str">
        <f>HYPERLINK("https://cofre.sieg.com/ajax/danfe.aspx?nfe=26230140843179000163550010001011281796543810","Ver Danfe")</f>
        <v>Ver Danfe</v>
      </c>
      <c r="Q561" s="46" t="str">
        <f>HYPERLINK("https://cofre.sieg.com/ajax/xml.aspx?nfe=26230140843179000163550010001011281796543810","Baixar Xml")</f>
        <v>Baixar Xml</v>
      </c>
    </row>
    <row r="562" spans="1:17" x14ac:dyDescent="0.75">
      <c r="A562" s="5">
        <v>101129</v>
      </c>
      <c r="B562" s="55">
        <v>499.6</v>
      </c>
      <c r="C562" s="5" t="s">
        <v>4899</v>
      </c>
      <c r="D562" s="45" t="s">
        <v>1120</v>
      </c>
      <c r="E562" s="45" t="s">
        <v>1133</v>
      </c>
      <c r="F562" s="45" t="s">
        <v>1133</v>
      </c>
      <c r="G562" s="45" t="s">
        <v>1120</v>
      </c>
      <c r="H562" s="45" t="s">
        <v>1121</v>
      </c>
      <c r="I562" s="45" t="s">
        <v>1121</v>
      </c>
      <c r="J562" s="45" t="s">
        <v>4900</v>
      </c>
      <c r="K562" s="45" t="s">
        <v>4902</v>
      </c>
      <c r="L562" s="45" t="s">
        <v>1122</v>
      </c>
      <c r="M562" s="45"/>
      <c r="N562" s="45"/>
      <c r="O562" s="45" t="s">
        <v>1123</v>
      </c>
      <c r="P562" s="46" t="str">
        <f>HYPERLINK("https://cofre.sieg.com/ajax/danfe.aspx?nfe=26230140843179000163550010001011291838284962","Ver Danfe")</f>
        <v>Ver Danfe</v>
      </c>
      <c r="Q562" s="46" t="str">
        <f>HYPERLINK("https://cofre.sieg.com/ajax/xml.aspx?nfe=26230140843179000163550010001011291838284962","Baixar Xml")</f>
        <v>Baixar Xml</v>
      </c>
    </row>
    <row r="563" spans="1:17" x14ac:dyDescent="0.75">
      <c r="A563" s="5">
        <v>101203</v>
      </c>
      <c r="B563" s="55">
        <v>465.1</v>
      </c>
      <c r="C563" s="5" t="s">
        <v>4900</v>
      </c>
      <c r="D563" s="45" t="s">
        <v>1120</v>
      </c>
      <c r="E563" s="45" t="s">
        <v>1133</v>
      </c>
      <c r="F563" s="45" t="s">
        <v>1133</v>
      </c>
      <c r="G563" s="45" t="s">
        <v>1120</v>
      </c>
      <c r="H563" s="45" t="s">
        <v>1121</v>
      </c>
      <c r="I563" s="45" t="s">
        <v>1121</v>
      </c>
      <c r="J563" s="45" t="s">
        <v>4903</v>
      </c>
      <c r="K563" s="45" t="s">
        <v>4904</v>
      </c>
      <c r="L563" s="45" t="s">
        <v>1122</v>
      </c>
      <c r="M563" s="45"/>
      <c r="N563" s="45"/>
      <c r="O563" s="45" t="s">
        <v>1123</v>
      </c>
      <c r="P563" s="46" t="str">
        <f>HYPERLINK("https://cofre.sieg.com/ajax/danfe.aspx?nfe=26230140843179000163550010001012031258560513","Ver Danfe")</f>
        <v>Ver Danfe</v>
      </c>
      <c r="Q563" s="46" t="str">
        <f>HYPERLINK("https://cofre.sieg.com/ajax/xml.aspx?nfe=26230140843179000163550010001012031258560513","Baixar Xml")</f>
        <v>Baixar Xml</v>
      </c>
    </row>
    <row r="564" spans="1:17" x14ac:dyDescent="0.75">
      <c r="A564" s="5">
        <v>101204</v>
      </c>
      <c r="B564" s="55">
        <v>365.18</v>
      </c>
      <c r="C564" s="5" t="s">
        <v>4900</v>
      </c>
      <c r="D564" s="45" t="s">
        <v>1120</v>
      </c>
      <c r="E564" s="45" t="s">
        <v>1133</v>
      </c>
      <c r="F564" s="45" t="s">
        <v>1133</v>
      </c>
      <c r="G564" s="45" t="s">
        <v>1120</v>
      </c>
      <c r="H564" s="45" t="s">
        <v>1121</v>
      </c>
      <c r="I564" s="45" t="s">
        <v>1121</v>
      </c>
      <c r="J564" s="45" t="s">
        <v>4900</v>
      </c>
      <c r="K564" s="45" t="s">
        <v>4905</v>
      </c>
      <c r="L564" s="45" t="s">
        <v>1122</v>
      </c>
      <c r="M564" s="45"/>
      <c r="N564" s="45"/>
      <c r="O564" s="45" t="s">
        <v>1123</v>
      </c>
      <c r="P564" s="46" t="str">
        <f>HYPERLINK("https://cofre.sieg.com/ajax/danfe.aspx?nfe=26230140843179000163550010001012041674635861","Ver Danfe")</f>
        <v>Ver Danfe</v>
      </c>
      <c r="Q564" s="46" t="str">
        <f>HYPERLINK("https://cofre.sieg.com/ajax/xml.aspx?nfe=26230140843179000163550010001012041674635861","Baixar Xml")</f>
        <v>Baixar Xml</v>
      </c>
    </row>
    <row r="565" spans="1:17" x14ac:dyDescent="0.75">
      <c r="A565" s="5">
        <v>101205</v>
      </c>
      <c r="B565" s="55">
        <v>582.95000000000005</v>
      </c>
      <c r="C565" s="5" t="s">
        <v>4900</v>
      </c>
      <c r="D565" s="45" t="s">
        <v>1120</v>
      </c>
      <c r="E565" s="45" t="s">
        <v>1133</v>
      </c>
      <c r="F565" s="45" t="s">
        <v>1133</v>
      </c>
      <c r="G565" s="45" t="s">
        <v>1120</v>
      </c>
      <c r="H565" s="45" t="s">
        <v>1121</v>
      </c>
      <c r="I565" s="45" t="s">
        <v>1121</v>
      </c>
      <c r="J565" s="45" t="s">
        <v>4900</v>
      </c>
      <c r="K565" s="45" t="s">
        <v>4906</v>
      </c>
      <c r="L565" s="45" t="s">
        <v>1122</v>
      </c>
      <c r="M565" s="45"/>
      <c r="N565" s="45"/>
      <c r="O565" s="45" t="s">
        <v>1123</v>
      </c>
      <c r="P565" s="46" t="str">
        <f>HYPERLINK("https://cofre.sieg.com/ajax/danfe.aspx?nfe=26230140843179000163550010001012051279092106","Ver Danfe")</f>
        <v>Ver Danfe</v>
      </c>
      <c r="Q565" s="46" t="str">
        <f>HYPERLINK("https://cofre.sieg.com/ajax/xml.aspx?nfe=26230140843179000163550010001012051279092106","Baixar Xml")</f>
        <v>Baixar Xml</v>
      </c>
    </row>
    <row r="566" spans="1:17" x14ac:dyDescent="0.75">
      <c r="A566" s="5">
        <v>101237</v>
      </c>
      <c r="B566" s="55">
        <v>308.86</v>
      </c>
      <c r="C566" s="5" t="s">
        <v>4907</v>
      </c>
      <c r="D566" s="45" t="s">
        <v>1120</v>
      </c>
      <c r="E566" s="45" t="s">
        <v>1133</v>
      </c>
      <c r="F566" s="45" t="s">
        <v>1133</v>
      </c>
      <c r="G566" s="45" t="s">
        <v>1120</v>
      </c>
      <c r="H566" s="45" t="s">
        <v>1121</v>
      </c>
      <c r="I566" s="45" t="s">
        <v>1121</v>
      </c>
      <c r="J566" s="45" t="s">
        <v>4908</v>
      </c>
      <c r="K566" s="45" t="s">
        <v>4910</v>
      </c>
      <c r="L566" s="45" t="s">
        <v>1122</v>
      </c>
      <c r="M566" s="45"/>
      <c r="N566" s="45"/>
      <c r="O566" s="45" t="s">
        <v>1123</v>
      </c>
      <c r="P566" s="46" t="str">
        <f>HYPERLINK("https://cofre.sieg.com/ajax/danfe.aspx?nfe=26230140843179000163550010001012371499754470","Ver Danfe")</f>
        <v>Ver Danfe</v>
      </c>
      <c r="Q566" s="46" t="str">
        <f>HYPERLINK("https://cofre.sieg.com/ajax/xml.aspx?nfe=26230140843179000163550010001012371499754470","Baixar Xml")</f>
        <v>Baixar Xml</v>
      </c>
    </row>
    <row r="567" spans="1:17" x14ac:dyDescent="0.75">
      <c r="A567" s="5">
        <v>101244</v>
      </c>
      <c r="B567" s="55">
        <v>232.95</v>
      </c>
      <c r="C567" s="5" t="s">
        <v>4907</v>
      </c>
      <c r="D567" s="45" t="s">
        <v>1120</v>
      </c>
      <c r="E567" s="45" t="s">
        <v>1133</v>
      </c>
      <c r="F567" s="45" t="s">
        <v>1133</v>
      </c>
      <c r="G567" s="45" t="s">
        <v>1120</v>
      </c>
      <c r="H567" s="45" t="s">
        <v>1121</v>
      </c>
      <c r="I567" s="45" t="s">
        <v>1121</v>
      </c>
      <c r="J567" s="45" t="s">
        <v>4908</v>
      </c>
      <c r="K567" s="45" t="s">
        <v>4911</v>
      </c>
      <c r="L567" s="45" t="s">
        <v>1122</v>
      </c>
      <c r="M567" s="45"/>
      <c r="N567" s="45"/>
      <c r="O567" s="45" t="s">
        <v>1123</v>
      </c>
      <c r="P567" s="46" t="str">
        <f>HYPERLINK("https://cofre.sieg.com/ajax/danfe.aspx?nfe=26230140843179000163550010001012441719789205","Ver Danfe")</f>
        <v>Ver Danfe</v>
      </c>
      <c r="Q567" s="46" t="str">
        <f>HYPERLINK("https://cofre.sieg.com/ajax/xml.aspx?nfe=26230140843179000163550010001012441719789205","Baixar Xml")</f>
        <v>Baixar Xml</v>
      </c>
    </row>
    <row r="568" spans="1:17" x14ac:dyDescent="0.75">
      <c r="A568" s="5">
        <v>101304</v>
      </c>
      <c r="B568" s="55">
        <v>417.27</v>
      </c>
      <c r="C568" s="5" t="s">
        <v>4908</v>
      </c>
      <c r="D568" s="45" t="s">
        <v>1120</v>
      </c>
      <c r="E568" s="45" t="s">
        <v>1133</v>
      </c>
      <c r="F568" s="45" t="s">
        <v>1133</v>
      </c>
      <c r="G568" s="45" t="s">
        <v>1120</v>
      </c>
      <c r="H568" s="45" t="s">
        <v>1121</v>
      </c>
      <c r="I568" s="45" t="s">
        <v>1121</v>
      </c>
      <c r="J568" s="45" t="s">
        <v>4912</v>
      </c>
      <c r="K568" s="45" t="s">
        <v>4913</v>
      </c>
      <c r="L568" s="45" t="s">
        <v>1122</v>
      </c>
      <c r="M568" s="45"/>
      <c r="N568" s="45"/>
      <c r="O568" s="45" t="s">
        <v>1123</v>
      </c>
      <c r="P568" s="46" t="str">
        <f>HYPERLINK("https://cofre.sieg.com/ajax/danfe.aspx?nfe=26230140843179000163550010001013041005096188","Ver Danfe")</f>
        <v>Ver Danfe</v>
      </c>
      <c r="Q568" s="46" t="str">
        <f>HYPERLINK("https://cofre.sieg.com/ajax/xml.aspx?nfe=26230140843179000163550010001013041005096188","Baixar Xml")</f>
        <v>Baixar Xml</v>
      </c>
    </row>
    <row r="569" spans="1:17" x14ac:dyDescent="0.75">
      <c r="A569" s="5">
        <v>101305</v>
      </c>
      <c r="B569" s="55">
        <v>254.15</v>
      </c>
      <c r="C569" s="5" t="s">
        <v>4908</v>
      </c>
      <c r="D569" s="45" t="s">
        <v>1120</v>
      </c>
      <c r="E569" s="45" t="s">
        <v>1133</v>
      </c>
      <c r="F569" s="45" t="s">
        <v>1133</v>
      </c>
      <c r="G569" s="45" t="s">
        <v>1120</v>
      </c>
      <c r="H569" s="45" t="s">
        <v>1121</v>
      </c>
      <c r="I569" s="45" t="s">
        <v>1121</v>
      </c>
      <c r="J569" s="45" t="s">
        <v>4912</v>
      </c>
      <c r="K569" s="45" t="s">
        <v>4914</v>
      </c>
      <c r="L569" s="45" t="s">
        <v>1122</v>
      </c>
      <c r="M569" s="45"/>
      <c r="N569" s="45"/>
      <c r="O569" s="45" t="s">
        <v>1123</v>
      </c>
      <c r="P569" s="46" t="str">
        <f>HYPERLINK("https://cofre.sieg.com/ajax/danfe.aspx?nfe=26230140843179000163550010001013051669786159","Ver Danfe")</f>
        <v>Ver Danfe</v>
      </c>
      <c r="Q569" s="46" t="str">
        <f>HYPERLINK("https://cofre.sieg.com/ajax/xml.aspx?nfe=26230140843179000163550010001013051669786159","Baixar Xml")</f>
        <v>Baixar Xml</v>
      </c>
    </row>
    <row r="570" spans="1:17" x14ac:dyDescent="0.75">
      <c r="A570" s="5">
        <v>101306</v>
      </c>
      <c r="B570" s="55">
        <v>35</v>
      </c>
      <c r="C570" s="5" t="s">
        <v>4908</v>
      </c>
      <c r="D570" s="45" t="s">
        <v>1120</v>
      </c>
      <c r="E570" s="45" t="s">
        <v>1133</v>
      </c>
      <c r="F570" s="45" t="s">
        <v>1133</v>
      </c>
      <c r="G570" s="45" t="s">
        <v>1120</v>
      </c>
      <c r="H570" s="45" t="s">
        <v>1121</v>
      </c>
      <c r="I570" s="45" t="s">
        <v>1121</v>
      </c>
      <c r="J570" s="45" t="s">
        <v>4912</v>
      </c>
      <c r="K570" s="45" t="s">
        <v>4915</v>
      </c>
      <c r="L570" s="45" t="s">
        <v>1122</v>
      </c>
      <c r="M570" s="45"/>
      <c r="N570" s="45"/>
      <c r="O570" s="45" t="s">
        <v>1123</v>
      </c>
      <c r="P570" s="46" t="str">
        <f>HYPERLINK("https://cofre.sieg.com/ajax/danfe.aspx?nfe=26230140843179000163550010001013061188361549","Ver Danfe")</f>
        <v>Ver Danfe</v>
      </c>
      <c r="Q570" s="46" t="str">
        <f>HYPERLINK("https://cofre.sieg.com/ajax/xml.aspx?nfe=26230140843179000163550010001013061188361549","Baixar Xml")</f>
        <v>Baixar Xml</v>
      </c>
    </row>
    <row r="571" spans="1:17" x14ac:dyDescent="0.75">
      <c r="A571" s="5">
        <v>101326</v>
      </c>
      <c r="B571" s="55">
        <v>2.08</v>
      </c>
      <c r="C571" s="5" t="s">
        <v>4908</v>
      </c>
      <c r="D571" s="45" t="s">
        <v>1120</v>
      </c>
      <c r="E571" s="45" t="s">
        <v>1133</v>
      </c>
      <c r="F571" s="45" t="s">
        <v>1133</v>
      </c>
      <c r="G571" s="45" t="s">
        <v>1120</v>
      </c>
      <c r="H571" s="45" t="s">
        <v>1121</v>
      </c>
      <c r="I571" s="45" t="s">
        <v>1121</v>
      </c>
      <c r="J571" s="45" t="s">
        <v>4912</v>
      </c>
      <c r="K571" s="45" t="s">
        <v>4916</v>
      </c>
      <c r="L571" s="45" t="s">
        <v>1122</v>
      </c>
      <c r="M571" s="45"/>
      <c r="N571" s="45"/>
      <c r="O571" s="45" t="s">
        <v>1123</v>
      </c>
      <c r="P571" s="46" t="str">
        <f>HYPERLINK("https://cofre.sieg.com/ajax/danfe.aspx?nfe=26230140843179000163550010001013261868626941","Ver Danfe")</f>
        <v>Ver Danfe</v>
      </c>
      <c r="Q571" s="46" t="str">
        <f>HYPERLINK("https://cofre.sieg.com/ajax/xml.aspx?nfe=26230140843179000163550010001013261868626941","Baixar Xml")</f>
        <v>Baixar Xml</v>
      </c>
    </row>
    <row r="572" spans="1:17" x14ac:dyDescent="0.75">
      <c r="A572" s="5">
        <v>101330</v>
      </c>
      <c r="B572" s="55">
        <v>665.95</v>
      </c>
      <c r="C572" s="5" t="s">
        <v>4908</v>
      </c>
      <c r="D572" s="45" t="s">
        <v>1120</v>
      </c>
      <c r="E572" s="45" t="s">
        <v>1133</v>
      </c>
      <c r="F572" s="45" t="s">
        <v>1133</v>
      </c>
      <c r="G572" s="45" t="s">
        <v>1120</v>
      </c>
      <c r="H572" s="45" t="s">
        <v>1121</v>
      </c>
      <c r="I572" s="45" t="s">
        <v>1121</v>
      </c>
      <c r="J572" s="45" t="s">
        <v>4912</v>
      </c>
      <c r="K572" s="45" t="s">
        <v>4917</v>
      </c>
      <c r="L572" s="45" t="s">
        <v>1122</v>
      </c>
      <c r="M572" s="45"/>
      <c r="N572" s="45"/>
      <c r="O572" s="45" t="s">
        <v>1123</v>
      </c>
      <c r="P572" s="46" t="str">
        <f>HYPERLINK("https://cofre.sieg.com/ajax/danfe.aspx?nfe=26230140843179000163550010001013301769386953","Ver Danfe")</f>
        <v>Ver Danfe</v>
      </c>
      <c r="Q572" s="46" t="str">
        <f>HYPERLINK("https://cofre.sieg.com/ajax/xml.aspx?nfe=26230140843179000163550010001013301769386953","Baixar Xml")</f>
        <v>Baixar Xml</v>
      </c>
    </row>
    <row r="573" spans="1:17" x14ac:dyDescent="0.75">
      <c r="A573" s="5">
        <v>101334</v>
      </c>
      <c r="B573" s="55">
        <v>261.14999999999998</v>
      </c>
      <c r="C573" s="5" t="s">
        <v>4908</v>
      </c>
      <c r="D573" s="45" t="s">
        <v>1120</v>
      </c>
      <c r="E573" s="45" t="s">
        <v>1133</v>
      </c>
      <c r="F573" s="45" t="s">
        <v>1133</v>
      </c>
      <c r="G573" s="45" t="s">
        <v>1120</v>
      </c>
      <c r="H573" s="45" t="s">
        <v>1121</v>
      </c>
      <c r="I573" s="45" t="s">
        <v>1121</v>
      </c>
      <c r="J573" s="45" t="s">
        <v>4912</v>
      </c>
      <c r="K573" s="45" t="s">
        <v>4918</v>
      </c>
      <c r="L573" s="45" t="s">
        <v>1122</v>
      </c>
      <c r="M573" s="45"/>
      <c r="N573" s="45"/>
      <c r="O573" s="45" t="s">
        <v>1123</v>
      </c>
      <c r="P573" s="46" t="str">
        <f>HYPERLINK("https://cofre.sieg.com/ajax/danfe.aspx?nfe=26230140843179000163550010001013341754624364","Ver Danfe")</f>
        <v>Ver Danfe</v>
      </c>
      <c r="Q573" s="46" t="str">
        <f>HYPERLINK("https://cofre.sieg.com/ajax/xml.aspx?nfe=26230140843179000163550010001013341754624364","Baixar Xml")</f>
        <v>Baixar Xml</v>
      </c>
    </row>
    <row r="574" spans="1:17" x14ac:dyDescent="0.75">
      <c r="A574" s="5">
        <v>101367</v>
      </c>
      <c r="B574" s="55">
        <v>222.5</v>
      </c>
      <c r="C574" s="5" t="s">
        <v>4912</v>
      </c>
      <c r="D574" s="45" t="s">
        <v>1120</v>
      </c>
      <c r="E574" s="45" t="s">
        <v>1133</v>
      </c>
      <c r="F574" s="45" t="s">
        <v>1133</v>
      </c>
      <c r="G574" s="45" t="s">
        <v>1120</v>
      </c>
      <c r="H574" s="45" t="s">
        <v>1121</v>
      </c>
      <c r="I574" s="45" t="s">
        <v>1121</v>
      </c>
      <c r="J574" s="45" t="s">
        <v>4919</v>
      </c>
      <c r="K574" s="45" t="s">
        <v>4920</v>
      </c>
      <c r="L574" s="45" t="s">
        <v>1122</v>
      </c>
      <c r="M574" s="45"/>
      <c r="N574" s="45"/>
      <c r="O574" s="45" t="s">
        <v>1123</v>
      </c>
      <c r="P574" s="46" t="str">
        <f>HYPERLINK("https://cofre.sieg.com/ajax/danfe.aspx?nfe=26230140843179000163550010001013671354268189","Ver Danfe")</f>
        <v>Ver Danfe</v>
      </c>
      <c r="Q574" s="46" t="str">
        <f>HYPERLINK("https://cofre.sieg.com/ajax/xml.aspx?nfe=26230140843179000163550010001013671354268189","Baixar Xml")</f>
        <v>Baixar Xml</v>
      </c>
    </row>
    <row r="575" spans="1:17" x14ac:dyDescent="0.75">
      <c r="A575" s="5">
        <v>101369</v>
      </c>
      <c r="B575" s="55">
        <v>108.41</v>
      </c>
      <c r="C575" s="5" t="s">
        <v>4912</v>
      </c>
      <c r="D575" s="45" t="s">
        <v>1120</v>
      </c>
      <c r="E575" s="45" t="s">
        <v>1133</v>
      </c>
      <c r="F575" s="45" t="s">
        <v>1133</v>
      </c>
      <c r="G575" s="45" t="s">
        <v>1120</v>
      </c>
      <c r="H575" s="45" t="s">
        <v>1121</v>
      </c>
      <c r="I575" s="45" t="s">
        <v>1121</v>
      </c>
      <c r="J575" s="45" t="s">
        <v>4919</v>
      </c>
      <c r="K575" s="45" t="s">
        <v>4921</v>
      </c>
      <c r="L575" s="45" t="s">
        <v>1122</v>
      </c>
      <c r="M575" s="45"/>
      <c r="N575" s="45"/>
      <c r="O575" s="45" t="s">
        <v>1123</v>
      </c>
      <c r="P575" s="46" t="str">
        <f>HYPERLINK("https://cofre.sieg.com/ajax/danfe.aspx?nfe=26230140843179000163550010001013691849301495","Ver Danfe")</f>
        <v>Ver Danfe</v>
      </c>
      <c r="Q575" s="46" t="str">
        <f>HYPERLINK("https://cofre.sieg.com/ajax/xml.aspx?nfe=26230140843179000163550010001013691849301495","Baixar Xml")</f>
        <v>Baixar Xml</v>
      </c>
    </row>
    <row r="576" spans="1:17" x14ac:dyDescent="0.75">
      <c r="A576" s="5">
        <v>101374</v>
      </c>
      <c r="B576" s="55">
        <v>531.85</v>
      </c>
      <c r="C576" s="5" t="s">
        <v>4912</v>
      </c>
      <c r="D576" s="45" t="s">
        <v>1120</v>
      </c>
      <c r="E576" s="45" t="s">
        <v>1133</v>
      </c>
      <c r="F576" s="45" t="s">
        <v>1133</v>
      </c>
      <c r="G576" s="45" t="s">
        <v>1120</v>
      </c>
      <c r="H576" s="45" t="s">
        <v>1121</v>
      </c>
      <c r="I576" s="45" t="s">
        <v>1121</v>
      </c>
      <c r="J576" s="45" t="s">
        <v>4919</v>
      </c>
      <c r="K576" s="45" t="s">
        <v>4922</v>
      </c>
      <c r="L576" s="45" t="s">
        <v>1122</v>
      </c>
      <c r="M576" s="45"/>
      <c r="N576" s="45"/>
      <c r="O576" s="45" t="s">
        <v>1123</v>
      </c>
      <c r="P576" s="46" t="str">
        <f>HYPERLINK("https://cofre.sieg.com/ajax/danfe.aspx?nfe=26230140843179000163550010001013741015402502","Ver Danfe")</f>
        <v>Ver Danfe</v>
      </c>
      <c r="Q576" s="46" t="str">
        <f>HYPERLINK("https://cofre.sieg.com/ajax/xml.aspx?nfe=26230140843179000163550010001013741015402502","Baixar Xml")</f>
        <v>Baixar Xml</v>
      </c>
    </row>
    <row r="577" spans="1:17" x14ac:dyDescent="0.75">
      <c r="A577" s="5">
        <v>101416</v>
      </c>
      <c r="B577" s="55">
        <v>88.5</v>
      </c>
      <c r="C577" s="5" t="s">
        <v>4919</v>
      </c>
      <c r="D577" s="45" t="s">
        <v>1120</v>
      </c>
      <c r="E577" s="45" t="s">
        <v>1133</v>
      </c>
      <c r="F577" s="45" t="s">
        <v>1133</v>
      </c>
      <c r="G577" s="45" t="s">
        <v>1120</v>
      </c>
      <c r="H577" s="45" t="s">
        <v>1121</v>
      </c>
      <c r="I577" s="45" t="s">
        <v>1121</v>
      </c>
      <c r="J577" s="45" t="s">
        <v>4923</v>
      </c>
      <c r="K577" s="45" t="s">
        <v>4924</v>
      </c>
      <c r="L577" s="45" t="s">
        <v>1122</v>
      </c>
      <c r="M577" s="45"/>
      <c r="N577" s="45"/>
      <c r="O577" s="45" t="s">
        <v>1123</v>
      </c>
      <c r="P577" s="46" t="str">
        <f>HYPERLINK("https://cofre.sieg.com/ajax/danfe.aspx?nfe=26230140843179000163550010001014161868722001","Ver Danfe")</f>
        <v>Ver Danfe</v>
      </c>
      <c r="Q577" s="46" t="str">
        <f>HYPERLINK("https://cofre.sieg.com/ajax/xml.aspx?nfe=26230140843179000163550010001014161868722001","Baixar Xml")</f>
        <v>Baixar Xml</v>
      </c>
    </row>
    <row r="578" spans="1:17" x14ac:dyDescent="0.75">
      <c r="A578" s="5">
        <v>101417</v>
      </c>
      <c r="B578" s="55">
        <v>135.75</v>
      </c>
      <c r="C578" s="5" t="s">
        <v>4919</v>
      </c>
      <c r="D578" s="45" t="s">
        <v>1120</v>
      </c>
      <c r="E578" s="45" t="s">
        <v>1133</v>
      </c>
      <c r="F578" s="45" t="s">
        <v>1133</v>
      </c>
      <c r="G578" s="45" t="s">
        <v>1120</v>
      </c>
      <c r="H578" s="45" t="s">
        <v>1121</v>
      </c>
      <c r="I578" s="45" t="s">
        <v>1121</v>
      </c>
      <c r="J578" s="45" t="s">
        <v>4923</v>
      </c>
      <c r="K578" s="45" t="s">
        <v>4925</v>
      </c>
      <c r="L578" s="45" t="s">
        <v>1122</v>
      </c>
      <c r="M578" s="45"/>
      <c r="N578" s="45"/>
      <c r="O578" s="45" t="s">
        <v>1123</v>
      </c>
      <c r="P578" s="46" t="str">
        <f>HYPERLINK("https://cofre.sieg.com/ajax/danfe.aspx?nfe=26230140843179000163550010001014171526001367","Ver Danfe")</f>
        <v>Ver Danfe</v>
      </c>
      <c r="Q578" s="46" t="str">
        <f>HYPERLINK("https://cofre.sieg.com/ajax/xml.aspx?nfe=26230140843179000163550010001014171526001367","Baixar Xml")</f>
        <v>Baixar Xml</v>
      </c>
    </row>
    <row r="579" spans="1:17" x14ac:dyDescent="0.75">
      <c r="A579" s="5">
        <v>101423</v>
      </c>
      <c r="B579" s="55">
        <v>2.88</v>
      </c>
      <c r="C579" s="5" t="s">
        <v>4919</v>
      </c>
      <c r="D579" s="45" t="s">
        <v>1120</v>
      </c>
      <c r="E579" s="45" t="s">
        <v>1133</v>
      </c>
      <c r="F579" s="45" t="s">
        <v>1133</v>
      </c>
      <c r="G579" s="45" t="s">
        <v>1120</v>
      </c>
      <c r="H579" s="45" t="s">
        <v>1121</v>
      </c>
      <c r="I579" s="45" t="s">
        <v>1121</v>
      </c>
      <c r="J579" s="45" t="s">
        <v>4923</v>
      </c>
      <c r="K579" s="45" t="s">
        <v>4926</v>
      </c>
      <c r="L579" s="45" t="s">
        <v>1122</v>
      </c>
      <c r="M579" s="45"/>
      <c r="N579" s="45"/>
      <c r="O579" s="45" t="s">
        <v>1123</v>
      </c>
      <c r="P579" s="46" t="str">
        <f>HYPERLINK("https://cofre.sieg.com/ajax/danfe.aspx?nfe=26230140843179000163550010001014231141699744","Ver Danfe")</f>
        <v>Ver Danfe</v>
      </c>
      <c r="Q579" s="46" t="str">
        <f>HYPERLINK("https://cofre.sieg.com/ajax/xml.aspx?nfe=26230140843179000163550010001014231141699744","Baixar Xml")</f>
        <v>Baixar Xml</v>
      </c>
    </row>
    <row r="580" spans="1:17" x14ac:dyDescent="0.75">
      <c r="A580" s="5">
        <v>101425</v>
      </c>
      <c r="B580" s="55">
        <v>80.5</v>
      </c>
      <c r="C580" s="5" t="s">
        <v>4919</v>
      </c>
      <c r="D580" s="45" t="s">
        <v>1120</v>
      </c>
      <c r="E580" s="45" t="s">
        <v>1133</v>
      </c>
      <c r="F580" s="45" t="s">
        <v>1133</v>
      </c>
      <c r="G580" s="45" t="s">
        <v>1120</v>
      </c>
      <c r="H580" s="45" t="s">
        <v>1121</v>
      </c>
      <c r="I580" s="45" t="s">
        <v>1121</v>
      </c>
      <c r="J580" s="45" t="s">
        <v>4923</v>
      </c>
      <c r="K580" s="45" t="s">
        <v>4927</v>
      </c>
      <c r="L580" s="45" t="s">
        <v>1122</v>
      </c>
      <c r="M580" s="45"/>
      <c r="N580" s="45"/>
      <c r="O580" s="45" t="s">
        <v>1123</v>
      </c>
      <c r="P580" s="46" t="str">
        <f>HYPERLINK("https://cofre.sieg.com/ajax/danfe.aspx?nfe=26230140843179000163550010001014251859431732","Ver Danfe")</f>
        <v>Ver Danfe</v>
      </c>
      <c r="Q580" s="46" t="str">
        <f>HYPERLINK("https://cofre.sieg.com/ajax/xml.aspx?nfe=26230140843179000163550010001014251859431732","Baixar Xml")</f>
        <v>Baixar Xml</v>
      </c>
    </row>
    <row r="581" spans="1:17" x14ac:dyDescent="0.75">
      <c r="A581" s="5">
        <v>101427</v>
      </c>
      <c r="B581" s="55">
        <v>263.88</v>
      </c>
      <c r="C581" s="5" t="s">
        <v>4919</v>
      </c>
      <c r="D581" s="45" t="s">
        <v>1120</v>
      </c>
      <c r="E581" s="45" t="s">
        <v>1133</v>
      </c>
      <c r="F581" s="45" t="s">
        <v>1133</v>
      </c>
      <c r="G581" s="45" t="s">
        <v>1120</v>
      </c>
      <c r="H581" s="45" t="s">
        <v>1121</v>
      </c>
      <c r="I581" s="45" t="s">
        <v>1121</v>
      </c>
      <c r="J581" s="45" t="s">
        <v>4923</v>
      </c>
      <c r="K581" s="45" t="s">
        <v>4928</v>
      </c>
      <c r="L581" s="45" t="s">
        <v>1122</v>
      </c>
      <c r="M581" s="45"/>
      <c r="N581" s="45"/>
      <c r="O581" s="45" t="s">
        <v>1123</v>
      </c>
      <c r="P581" s="46" t="str">
        <f>HYPERLINK("https://cofre.sieg.com/ajax/danfe.aspx?nfe=26230140843179000163550010001014271141562551","Ver Danfe")</f>
        <v>Ver Danfe</v>
      </c>
      <c r="Q581" s="46" t="str">
        <f>HYPERLINK("https://cofre.sieg.com/ajax/xml.aspx?nfe=26230140843179000163550010001014271141562551","Baixar Xml")</f>
        <v>Baixar Xml</v>
      </c>
    </row>
    <row r="582" spans="1:17" x14ac:dyDescent="0.75">
      <c r="A582" s="5">
        <v>101441</v>
      </c>
      <c r="B582" s="55">
        <v>348</v>
      </c>
      <c r="C582" s="5" t="s">
        <v>4919</v>
      </c>
      <c r="D582" s="45" t="s">
        <v>1120</v>
      </c>
      <c r="E582" s="45" t="s">
        <v>1133</v>
      </c>
      <c r="F582" s="45" t="s">
        <v>1133</v>
      </c>
      <c r="G582" s="45" t="s">
        <v>1120</v>
      </c>
      <c r="H582" s="45" t="s">
        <v>1121</v>
      </c>
      <c r="I582" s="45" t="s">
        <v>1121</v>
      </c>
      <c r="J582" s="45" t="s">
        <v>4923</v>
      </c>
      <c r="K582" s="45" t="s">
        <v>4929</v>
      </c>
      <c r="L582" s="45" t="s">
        <v>1122</v>
      </c>
      <c r="M582" s="45"/>
      <c r="N582" s="45"/>
      <c r="O582" s="45" t="s">
        <v>1123</v>
      </c>
      <c r="P582" s="46" t="str">
        <f>HYPERLINK("https://cofre.sieg.com/ajax/danfe.aspx?nfe=26230140843179000163550010001014411635242352","Ver Danfe")</f>
        <v>Ver Danfe</v>
      </c>
      <c r="Q582" s="46" t="str">
        <f>HYPERLINK("https://cofre.sieg.com/ajax/xml.aspx?nfe=26230140843179000163550010001014411635242352","Baixar Xml")</f>
        <v>Baixar Xml</v>
      </c>
    </row>
    <row r="583" spans="1:17" x14ac:dyDescent="0.75">
      <c r="A583" s="5">
        <v>101488</v>
      </c>
      <c r="B583" s="55">
        <v>590.20000000000005</v>
      </c>
      <c r="C583" s="5" t="s">
        <v>4923</v>
      </c>
      <c r="D583" s="45" t="s">
        <v>1120</v>
      </c>
      <c r="E583" s="45" t="s">
        <v>1133</v>
      </c>
      <c r="F583" s="45" t="s">
        <v>1133</v>
      </c>
      <c r="G583" s="45" t="s">
        <v>1120</v>
      </c>
      <c r="H583" s="45" t="s">
        <v>1121</v>
      </c>
      <c r="I583" s="45" t="s">
        <v>1121</v>
      </c>
      <c r="J583" s="45" t="s">
        <v>4930</v>
      </c>
      <c r="K583" s="45" t="s">
        <v>4932</v>
      </c>
      <c r="L583" s="45" t="s">
        <v>1122</v>
      </c>
      <c r="M583" s="45"/>
      <c r="N583" s="45"/>
      <c r="O583" s="45" t="s">
        <v>1123</v>
      </c>
      <c r="P583" s="46" t="str">
        <f>HYPERLINK("https://cofre.sieg.com/ajax/danfe.aspx?nfe=26230140843179000163550010001014881068616877","Ver Danfe")</f>
        <v>Ver Danfe</v>
      </c>
      <c r="Q583" s="46" t="str">
        <f>HYPERLINK("https://cofre.sieg.com/ajax/xml.aspx?nfe=26230140843179000163550010001014881068616877","Baixar Xml")</f>
        <v>Baixar Xml</v>
      </c>
    </row>
    <row r="584" spans="1:17" x14ac:dyDescent="0.75">
      <c r="A584" s="5">
        <v>101537</v>
      </c>
      <c r="B584" s="55">
        <v>431.65</v>
      </c>
      <c r="C584" s="5" t="s">
        <v>4930</v>
      </c>
      <c r="D584" s="45" t="s">
        <v>1120</v>
      </c>
      <c r="E584" s="45" t="s">
        <v>1133</v>
      </c>
      <c r="F584" s="45" t="s">
        <v>1133</v>
      </c>
      <c r="G584" s="45" t="s">
        <v>1120</v>
      </c>
      <c r="H584" s="45" t="s">
        <v>1121</v>
      </c>
      <c r="I584" s="45" t="s">
        <v>1121</v>
      </c>
      <c r="J584" s="45" t="s">
        <v>4930</v>
      </c>
      <c r="K584" s="45" t="s">
        <v>4934</v>
      </c>
      <c r="L584" s="45" t="s">
        <v>1122</v>
      </c>
      <c r="M584" s="45"/>
      <c r="N584" s="45"/>
      <c r="O584" s="45" t="s">
        <v>1123</v>
      </c>
      <c r="P584" s="46" t="str">
        <f>HYPERLINK("https://cofre.sieg.com/ajax/danfe.aspx?nfe=26230140843179000163550010001015371269802887","Ver Danfe")</f>
        <v>Ver Danfe</v>
      </c>
      <c r="Q584" s="46" t="str">
        <f>HYPERLINK("https://cofre.sieg.com/ajax/xml.aspx?nfe=26230140843179000163550010001015371269802887","Baixar Xml")</f>
        <v>Baixar Xml</v>
      </c>
    </row>
    <row r="585" spans="1:17" x14ac:dyDescent="0.75">
      <c r="A585" s="5">
        <v>101539</v>
      </c>
      <c r="B585" s="55">
        <v>656.85</v>
      </c>
      <c r="C585" s="5" t="s">
        <v>4930</v>
      </c>
      <c r="D585" s="45" t="s">
        <v>1120</v>
      </c>
      <c r="E585" s="45" t="s">
        <v>1133</v>
      </c>
      <c r="F585" s="45" t="s">
        <v>1133</v>
      </c>
      <c r="G585" s="45" t="s">
        <v>1120</v>
      </c>
      <c r="H585" s="45" t="s">
        <v>1121</v>
      </c>
      <c r="I585" s="45" t="s">
        <v>1121</v>
      </c>
      <c r="J585" s="45" t="s">
        <v>4930</v>
      </c>
      <c r="K585" s="45" t="s">
        <v>4935</v>
      </c>
      <c r="L585" s="45" t="s">
        <v>1122</v>
      </c>
      <c r="M585" s="45"/>
      <c r="N585" s="45"/>
      <c r="O585" s="45" t="s">
        <v>1123</v>
      </c>
      <c r="P585" s="46" t="str">
        <f>HYPERLINK("https://cofre.sieg.com/ajax/danfe.aspx?nfe=26230140843179000163550010001015391392169920","Ver Danfe")</f>
        <v>Ver Danfe</v>
      </c>
      <c r="Q585" s="46" t="str">
        <f>HYPERLINK("https://cofre.sieg.com/ajax/xml.aspx?nfe=26230140843179000163550010001015391392169920","Baixar Xml")</f>
        <v>Baixar Xml</v>
      </c>
    </row>
    <row r="586" spans="1:17" x14ac:dyDescent="0.75">
      <c r="A586" s="5">
        <v>101540</v>
      </c>
      <c r="B586" s="55">
        <v>706.6</v>
      </c>
      <c r="C586" s="5" t="s">
        <v>4930</v>
      </c>
      <c r="D586" s="45" t="s">
        <v>1120</v>
      </c>
      <c r="E586" s="45" t="s">
        <v>1133</v>
      </c>
      <c r="F586" s="45" t="s">
        <v>1133</v>
      </c>
      <c r="G586" s="45" t="s">
        <v>1120</v>
      </c>
      <c r="H586" s="45" t="s">
        <v>1121</v>
      </c>
      <c r="I586" s="45" t="s">
        <v>1121</v>
      </c>
      <c r="J586" s="45" t="s">
        <v>4930</v>
      </c>
      <c r="K586" s="45" t="s">
        <v>4936</v>
      </c>
      <c r="L586" s="45" t="s">
        <v>1122</v>
      </c>
      <c r="M586" s="45"/>
      <c r="N586" s="45"/>
      <c r="O586" s="45" t="s">
        <v>1123</v>
      </c>
      <c r="P586" s="46" t="str">
        <f>HYPERLINK("https://cofre.sieg.com/ajax/danfe.aspx?nfe=26230140843179000163550010001015401172947410","Ver Danfe")</f>
        <v>Ver Danfe</v>
      </c>
      <c r="Q586" s="46" t="str">
        <f>HYPERLINK("https://cofre.sieg.com/ajax/xml.aspx?nfe=26230140843179000163550010001015401172947410","Baixar Xml")</f>
        <v>Baixar Xml</v>
      </c>
    </row>
    <row r="587" spans="1:17" x14ac:dyDescent="0.75">
      <c r="A587" s="5">
        <v>101592</v>
      </c>
      <c r="B587" s="55">
        <v>475.58</v>
      </c>
      <c r="C587" s="5" t="s">
        <v>4937</v>
      </c>
      <c r="D587" s="45" t="s">
        <v>1120</v>
      </c>
      <c r="E587" s="45" t="s">
        <v>1133</v>
      </c>
      <c r="F587" s="45" t="s">
        <v>1133</v>
      </c>
      <c r="G587" s="45" t="s">
        <v>1120</v>
      </c>
      <c r="H587" s="45" t="s">
        <v>1121</v>
      </c>
      <c r="I587" s="45" t="s">
        <v>1121</v>
      </c>
      <c r="J587" s="45" t="s">
        <v>4938</v>
      </c>
      <c r="K587" s="45" t="s">
        <v>4939</v>
      </c>
      <c r="L587" s="45" t="s">
        <v>1122</v>
      </c>
      <c r="M587" s="45"/>
      <c r="N587" s="45"/>
      <c r="O587" s="45" t="s">
        <v>1123</v>
      </c>
      <c r="P587" s="46" t="str">
        <f>HYPERLINK("https://cofre.sieg.com/ajax/danfe.aspx?nfe=26230140843179000163550010001015921632834687","Ver Danfe")</f>
        <v>Ver Danfe</v>
      </c>
      <c r="Q587" s="46" t="str">
        <f>HYPERLINK("https://cofre.sieg.com/ajax/xml.aspx?nfe=26230140843179000163550010001015921632834687","Baixar Xml")</f>
        <v>Baixar Xml</v>
      </c>
    </row>
    <row r="588" spans="1:17" x14ac:dyDescent="0.75">
      <c r="A588" s="5">
        <v>101630</v>
      </c>
      <c r="B588" s="55">
        <v>28.5</v>
      </c>
      <c r="C588" s="5" t="s">
        <v>4938</v>
      </c>
      <c r="D588" s="45" t="s">
        <v>1120</v>
      </c>
      <c r="E588" s="45" t="s">
        <v>1133</v>
      </c>
      <c r="F588" s="45" t="s">
        <v>1133</v>
      </c>
      <c r="G588" s="45" t="s">
        <v>1120</v>
      </c>
      <c r="H588" s="45" t="s">
        <v>1121</v>
      </c>
      <c r="I588" s="45" t="s">
        <v>1121</v>
      </c>
      <c r="J588" s="45" t="s">
        <v>4940</v>
      </c>
      <c r="K588" s="45" t="s">
        <v>4941</v>
      </c>
      <c r="L588" s="45" t="s">
        <v>1122</v>
      </c>
      <c r="M588" s="45"/>
      <c r="N588" s="45"/>
      <c r="O588" s="45" t="s">
        <v>1123</v>
      </c>
      <c r="P588" s="46" t="str">
        <f>HYPERLINK("https://cofre.sieg.com/ajax/danfe.aspx?nfe=26230140843179000163550010001016301361454517","Ver Danfe")</f>
        <v>Ver Danfe</v>
      </c>
      <c r="Q588" s="46" t="str">
        <f>HYPERLINK("https://cofre.sieg.com/ajax/xml.aspx?nfe=26230140843179000163550010001016301361454517","Baixar Xml")</f>
        <v>Baixar Xml</v>
      </c>
    </row>
    <row r="589" spans="1:17" x14ac:dyDescent="0.75">
      <c r="A589" s="5">
        <v>101635</v>
      </c>
      <c r="B589" s="55">
        <v>218.2</v>
      </c>
      <c r="C589" s="5" t="s">
        <v>4938</v>
      </c>
      <c r="D589" s="45" t="s">
        <v>1120</v>
      </c>
      <c r="E589" s="45" t="s">
        <v>1133</v>
      </c>
      <c r="F589" s="45" t="s">
        <v>1133</v>
      </c>
      <c r="G589" s="45" t="s">
        <v>1120</v>
      </c>
      <c r="H589" s="45" t="s">
        <v>1121</v>
      </c>
      <c r="I589" s="45" t="s">
        <v>1121</v>
      </c>
      <c r="J589" s="45" t="s">
        <v>4940</v>
      </c>
      <c r="K589" s="45" t="s">
        <v>4942</v>
      </c>
      <c r="L589" s="45" t="s">
        <v>1122</v>
      </c>
      <c r="M589" s="45"/>
      <c r="N589" s="45"/>
      <c r="O589" s="45" t="s">
        <v>1123</v>
      </c>
      <c r="P589" s="46" t="str">
        <f>HYPERLINK("https://cofre.sieg.com/ajax/danfe.aspx?nfe=26230140843179000163550010001016351449387293","Ver Danfe")</f>
        <v>Ver Danfe</v>
      </c>
      <c r="Q589" s="46" t="str">
        <f>HYPERLINK("https://cofre.sieg.com/ajax/xml.aspx?nfe=26230140843179000163550010001016351449387293","Baixar Xml")</f>
        <v>Baixar Xml</v>
      </c>
    </row>
    <row r="590" spans="1:17" x14ac:dyDescent="0.75">
      <c r="A590" s="5">
        <v>101645</v>
      </c>
      <c r="B590" s="55">
        <v>60</v>
      </c>
      <c r="C590" s="5" t="s">
        <v>4938</v>
      </c>
      <c r="D590" s="45" t="s">
        <v>1120</v>
      </c>
      <c r="E590" s="45" t="s">
        <v>1133</v>
      </c>
      <c r="F590" s="45" t="s">
        <v>1133</v>
      </c>
      <c r="G590" s="45" t="s">
        <v>1120</v>
      </c>
      <c r="H590" s="45" t="s">
        <v>1121</v>
      </c>
      <c r="I590" s="45" t="s">
        <v>1121</v>
      </c>
      <c r="J590" s="45" t="s">
        <v>4940</v>
      </c>
      <c r="K590" s="45" t="s">
        <v>4943</v>
      </c>
      <c r="L590" s="45" t="s">
        <v>1122</v>
      </c>
      <c r="M590" s="45"/>
      <c r="N590" s="45"/>
      <c r="O590" s="45" t="s">
        <v>1123</v>
      </c>
      <c r="P590" s="46" t="str">
        <f>HYPERLINK("https://cofre.sieg.com/ajax/danfe.aspx?nfe=26230140843179000163550010001016451170841209","Ver Danfe")</f>
        <v>Ver Danfe</v>
      </c>
      <c r="Q590" s="46" t="str">
        <f>HYPERLINK("https://cofre.sieg.com/ajax/xml.aspx?nfe=26230140843179000163550010001016451170841209","Baixar Xml")</f>
        <v>Baixar Xml</v>
      </c>
    </row>
    <row r="591" spans="1:17" x14ac:dyDescent="0.75">
      <c r="A591" s="5">
        <v>101646</v>
      </c>
      <c r="B591" s="55">
        <v>44.8</v>
      </c>
      <c r="C591" s="5" t="s">
        <v>4938</v>
      </c>
      <c r="D591" s="45" t="s">
        <v>1120</v>
      </c>
      <c r="E591" s="45" t="s">
        <v>1133</v>
      </c>
      <c r="F591" s="45" t="s">
        <v>1133</v>
      </c>
      <c r="G591" s="45" t="s">
        <v>1120</v>
      </c>
      <c r="H591" s="45" t="s">
        <v>1121</v>
      </c>
      <c r="I591" s="45" t="s">
        <v>1121</v>
      </c>
      <c r="J591" s="45" t="s">
        <v>4940</v>
      </c>
      <c r="K591" s="45" t="s">
        <v>4944</v>
      </c>
      <c r="L591" s="45" t="s">
        <v>1122</v>
      </c>
      <c r="M591" s="45"/>
      <c r="N591" s="45"/>
      <c r="O591" s="45" t="s">
        <v>1123</v>
      </c>
      <c r="P591" s="46" t="str">
        <f>HYPERLINK("https://cofre.sieg.com/ajax/danfe.aspx?nfe=26230140843179000163550010001016461479306600","Ver Danfe")</f>
        <v>Ver Danfe</v>
      </c>
      <c r="Q591" s="46" t="str">
        <f>HYPERLINK("https://cofre.sieg.com/ajax/xml.aspx?nfe=26230140843179000163550010001016461479306600","Baixar Xml")</f>
        <v>Baixar Xml</v>
      </c>
    </row>
    <row r="592" spans="1:17" x14ac:dyDescent="0.75">
      <c r="A592" s="5">
        <v>101656</v>
      </c>
      <c r="B592" s="55">
        <v>809.48</v>
      </c>
      <c r="C592" s="5" t="s">
        <v>4938</v>
      </c>
      <c r="D592" s="45" t="s">
        <v>1120</v>
      </c>
      <c r="E592" s="45" t="s">
        <v>1133</v>
      </c>
      <c r="F592" s="45" t="s">
        <v>1133</v>
      </c>
      <c r="G592" s="45" t="s">
        <v>1120</v>
      </c>
      <c r="H592" s="45" t="s">
        <v>1121</v>
      </c>
      <c r="I592" s="45" t="s">
        <v>1121</v>
      </c>
      <c r="J592" s="45" t="s">
        <v>4940</v>
      </c>
      <c r="K592" s="45" t="s">
        <v>4945</v>
      </c>
      <c r="L592" s="45" t="s">
        <v>1122</v>
      </c>
      <c r="M592" s="45"/>
      <c r="N592" s="45"/>
      <c r="O592" s="45" t="s">
        <v>1123</v>
      </c>
      <c r="P592" s="46" t="str">
        <f>HYPERLINK("https://cofre.sieg.com/ajax/danfe.aspx?nfe=26230140843179000163550010001016561112426982","Ver Danfe")</f>
        <v>Ver Danfe</v>
      </c>
      <c r="Q592" s="46" t="str">
        <f>HYPERLINK("https://cofre.sieg.com/ajax/xml.aspx?nfe=26230140843179000163550010001016561112426982","Baixar Xml")</f>
        <v>Baixar Xml</v>
      </c>
    </row>
    <row r="593" spans="1:17" x14ac:dyDescent="0.75">
      <c r="A593" s="5">
        <v>101671</v>
      </c>
      <c r="B593" s="55">
        <v>572.28</v>
      </c>
      <c r="C593" s="5" t="s">
        <v>4938</v>
      </c>
      <c r="D593" s="45" t="s">
        <v>1120</v>
      </c>
      <c r="E593" s="45" t="s">
        <v>1133</v>
      </c>
      <c r="F593" s="45" t="s">
        <v>1133</v>
      </c>
      <c r="G593" s="45" t="s">
        <v>1120</v>
      </c>
      <c r="H593" s="45" t="s">
        <v>1121</v>
      </c>
      <c r="I593" s="45" t="s">
        <v>1121</v>
      </c>
      <c r="J593" s="45" t="s">
        <v>4940</v>
      </c>
      <c r="K593" s="45" t="s">
        <v>4946</v>
      </c>
      <c r="L593" s="45" t="s">
        <v>1122</v>
      </c>
      <c r="M593" s="45"/>
      <c r="N593" s="45"/>
      <c r="O593" s="45" t="s">
        <v>1123</v>
      </c>
      <c r="P593" s="46" t="str">
        <f>HYPERLINK("https://cofre.sieg.com/ajax/danfe.aspx?nfe=26230140843179000163550010001016711545897546","Ver Danfe")</f>
        <v>Ver Danfe</v>
      </c>
      <c r="Q593" s="46" t="str">
        <f>HYPERLINK("https://cofre.sieg.com/ajax/xml.aspx?nfe=26230140843179000163550010001016711545897546","Baixar Xml")</f>
        <v>Baixar Xml</v>
      </c>
    </row>
    <row r="594" spans="1:17" x14ac:dyDescent="0.75">
      <c r="A594" s="5">
        <v>101672</v>
      </c>
      <c r="B594" s="55">
        <v>85.48</v>
      </c>
      <c r="C594" s="5" t="s">
        <v>4938</v>
      </c>
      <c r="D594" s="45" t="s">
        <v>1120</v>
      </c>
      <c r="E594" s="45" t="s">
        <v>1133</v>
      </c>
      <c r="F594" s="45" t="s">
        <v>1133</v>
      </c>
      <c r="G594" s="45" t="s">
        <v>1120</v>
      </c>
      <c r="H594" s="45" t="s">
        <v>1121</v>
      </c>
      <c r="I594" s="45" t="s">
        <v>1121</v>
      </c>
      <c r="J594" s="45" t="s">
        <v>4940</v>
      </c>
      <c r="K594" s="45" t="s">
        <v>4947</v>
      </c>
      <c r="L594" s="45" t="s">
        <v>1122</v>
      </c>
      <c r="M594" s="45"/>
      <c r="N594" s="45"/>
      <c r="O594" s="45" t="s">
        <v>1123</v>
      </c>
      <c r="P594" s="46" t="str">
        <f>HYPERLINK("https://cofre.sieg.com/ajax/danfe.aspx?nfe=26230140843179000163550010001016721608529767","Ver Danfe")</f>
        <v>Ver Danfe</v>
      </c>
      <c r="Q594" s="46" t="str">
        <f>HYPERLINK("https://cofre.sieg.com/ajax/xml.aspx?nfe=26230140843179000163550010001016721608529767","Baixar Xml")</f>
        <v>Baixar Xml</v>
      </c>
    </row>
    <row r="595" spans="1:17" x14ac:dyDescent="0.75">
      <c r="A595" s="5">
        <v>101673</v>
      </c>
      <c r="B595" s="55">
        <v>8993.57</v>
      </c>
      <c r="C595" s="5" t="s">
        <v>4938</v>
      </c>
      <c r="D595" s="45" t="s">
        <v>1120</v>
      </c>
      <c r="E595" s="45" t="s">
        <v>1133</v>
      </c>
      <c r="F595" s="45" t="s">
        <v>1133</v>
      </c>
      <c r="G595" s="45" t="s">
        <v>1120</v>
      </c>
      <c r="H595" s="45" t="s">
        <v>1121</v>
      </c>
      <c r="I595" s="45" t="s">
        <v>1121</v>
      </c>
      <c r="J595" s="45" t="s">
        <v>4948</v>
      </c>
      <c r="K595" s="45" t="s">
        <v>4949</v>
      </c>
      <c r="L595" s="45" t="s">
        <v>1122</v>
      </c>
      <c r="M595" s="45"/>
      <c r="N595" s="45"/>
      <c r="O595" s="45" t="s">
        <v>1123</v>
      </c>
      <c r="P595" s="46" t="str">
        <f>HYPERLINK("https://cofre.sieg.com/ajax/danfe.aspx?nfe=26230140843179000163550010001016731306962244","Ver Danfe")</f>
        <v>Ver Danfe</v>
      </c>
      <c r="Q595" s="46" t="str">
        <f>HYPERLINK("https://cofre.sieg.com/ajax/xml.aspx?nfe=26230140843179000163550010001016731306962244","Baixar Xml")</f>
        <v>Baixar Xml</v>
      </c>
    </row>
    <row r="596" spans="1:17" x14ac:dyDescent="0.75">
      <c r="A596" s="5">
        <v>101674</v>
      </c>
      <c r="B596" s="55">
        <v>6285.31</v>
      </c>
      <c r="C596" s="5" t="s">
        <v>4938</v>
      </c>
      <c r="D596" s="45" t="s">
        <v>1120</v>
      </c>
      <c r="E596" s="45" t="s">
        <v>1133</v>
      </c>
      <c r="F596" s="45" t="s">
        <v>1133</v>
      </c>
      <c r="G596" s="45" t="s">
        <v>1120</v>
      </c>
      <c r="H596" s="45" t="s">
        <v>1121</v>
      </c>
      <c r="I596" s="45" t="s">
        <v>1121</v>
      </c>
      <c r="J596" s="45" t="s">
        <v>4948</v>
      </c>
      <c r="K596" s="45" t="s">
        <v>4950</v>
      </c>
      <c r="L596" s="45" t="s">
        <v>1122</v>
      </c>
      <c r="M596" s="45"/>
      <c r="N596" s="45"/>
      <c r="O596" s="45" t="s">
        <v>1123</v>
      </c>
      <c r="P596" s="46" t="str">
        <f>HYPERLINK("https://cofre.sieg.com/ajax/danfe.aspx?nfe=26230140843179000163550010001016741002204495","Ver Danfe")</f>
        <v>Ver Danfe</v>
      </c>
      <c r="Q596" s="46" t="str">
        <f>HYPERLINK("https://cofre.sieg.com/ajax/xml.aspx?nfe=26230140843179000163550010001016741002204495","Baixar Xml")</f>
        <v>Baixar Xml</v>
      </c>
    </row>
    <row r="597" spans="1:17" x14ac:dyDescent="0.75">
      <c r="A597" s="5">
        <v>13682</v>
      </c>
      <c r="B597" s="55">
        <v>57</v>
      </c>
      <c r="C597" s="5" t="s">
        <v>4908</v>
      </c>
      <c r="D597" s="45" t="s">
        <v>1186</v>
      </c>
      <c r="E597" s="45" t="s">
        <v>1187</v>
      </c>
      <c r="F597" s="45" t="s">
        <v>1188</v>
      </c>
      <c r="G597" s="45" t="s">
        <v>1120</v>
      </c>
      <c r="H597" s="45" t="s">
        <v>1130</v>
      </c>
      <c r="I597" s="45" t="s">
        <v>1130</v>
      </c>
      <c r="J597" s="45" t="s">
        <v>4908</v>
      </c>
      <c r="K597" s="45" t="s">
        <v>5487</v>
      </c>
      <c r="L597" s="45" t="s">
        <v>1122</v>
      </c>
      <c r="M597" s="45" t="s">
        <v>1311</v>
      </c>
      <c r="N597" s="45" t="s">
        <v>1312</v>
      </c>
      <c r="O597" s="45" t="s">
        <v>1123</v>
      </c>
      <c r="P597" s="46" t="str">
        <f>HYPERLINK("https://cofre.sieg.com/ajax/danfe.aspx?nfe=26230141185455001773550010000136821016286822","Ver Danfe")</f>
        <v>Ver Danfe</v>
      </c>
      <c r="Q597" s="46" t="str">
        <f>HYPERLINK("https://cofre.sieg.com/ajax/xml.aspx?nfe=26230141185455001773550010000136821016286822","Baixar Xml")</f>
        <v>Baixar Xml</v>
      </c>
    </row>
    <row r="598" spans="1:17" x14ac:dyDescent="0.75">
      <c r="A598" s="5">
        <v>552</v>
      </c>
      <c r="B598" s="55">
        <v>373.7</v>
      </c>
      <c r="C598" s="5" t="s">
        <v>4825</v>
      </c>
      <c r="D598" s="45" t="s">
        <v>1189</v>
      </c>
      <c r="E598" s="45" t="s">
        <v>1190</v>
      </c>
      <c r="F598" s="45" t="s">
        <v>452</v>
      </c>
      <c r="G598" s="45" t="s">
        <v>1120</v>
      </c>
      <c r="H598" s="45" t="s">
        <v>1126</v>
      </c>
      <c r="I598" s="45" t="s">
        <v>1126</v>
      </c>
      <c r="J598" s="45" t="s">
        <v>4825</v>
      </c>
      <c r="K598" s="45" t="s">
        <v>5488</v>
      </c>
      <c r="L598" s="45" t="s">
        <v>1122</v>
      </c>
      <c r="M598" s="45"/>
      <c r="N598" s="45"/>
      <c r="O598" s="45" t="s">
        <v>1123</v>
      </c>
      <c r="P598" s="46" t="str">
        <f>HYPERLINK("https://cofre.sieg.com/ajax/danfe.aspx?nfe=26230142102316000134550010000005521000066683","Ver Danfe")</f>
        <v>Ver Danfe</v>
      </c>
      <c r="Q598" s="46" t="str">
        <f>HYPERLINK("https://cofre.sieg.com/ajax/xml.aspx?nfe=26230142102316000134550010000005521000066683","Baixar Xml")</f>
        <v>Baixar Xml</v>
      </c>
    </row>
    <row r="599" spans="1:17" x14ac:dyDescent="0.75">
      <c r="A599" s="5">
        <v>553</v>
      </c>
      <c r="B599" s="55">
        <v>110</v>
      </c>
      <c r="C599" s="5" t="s">
        <v>4826</v>
      </c>
      <c r="D599" s="45" t="s">
        <v>1189</v>
      </c>
      <c r="E599" s="45" t="s">
        <v>1190</v>
      </c>
      <c r="F599" s="45" t="s">
        <v>452</v>
      </c>
      <c r="G599" s="45" t="s">
        <v>1120</v>
      </c>
      <c r="H599" s="45" t="s">
        <v>1126</v>
      </c>
      <c r="I599" s="45" t="s">
        <v>1126</v>
      </c>
      <c r="J599" s="45" t="s">
        <v>4826</v>
      </c>
      <c r="K599" s="45" t="s">
        <v>5489</v>
      </c>
      <c r="L599" s="45" t="s">
        <v>1122</v>
      </c>
      <c r="M599" s="45"/>
      <c r="N599" s="45"/>
      <c r="O599" s="45" t="s">
        <v>1123</v>
      </c>
      <c r="P599" s="46" t="str">
        <f>HYPERLINK("https://cofre.sieg.com/ajax/danfe.aspx?nfe=26230142102316000134550010000005531000066699","Ver Danfe")</f>
        <v>Ver Danfe</v>
      </c>
      <c r="Q599" s="46" t="str">
        <f>HYPERLINK("https://cofre.sieg.com/ajax/xml.aspx?nfe=26230142102316000134550010000005531000066699","Baixar Xml")</f>
        <v>Baixar Xml</v>
      </c>
    </row>
    <row r="600" spans="1:17" x14ac:dyDescent="0.75">
      <c r="A600" s="5">
        <v>554</v>
      </c>
      <c r="B600" s="55">
        <v>232.2</v>
      </c>
      <c r="C600" s="5" t="s">
        <v>4834</v>
      </c>
      <c r="D600" s="45" t="s">
        <v>1189</v>
      </c>
      <c r="E600" s="45" t="s">
        <v>1190</v>
      </c>
      <c r="F600" s="45" t="s">
        <v>452</v>
      </c>
      <c r="G600" s="45" t="s">
        <v>1120</v>
      </c>
      <c r="H600" s="45" t="s">
        <v>1126</v>
      </c>
      <c r="I600" s="45" t="s">
        <v>1126</v>
      </c>
      <c r="J600" s="45" t="s">
        <v>4834</v>
      </c>
      <c r="K600" s="45" t="s">
        <v>5490</v>
      </c>
      <c r="L600" s="45" t="s">
        <v>1122</v>
      </c>
      <c r="M600" s="45" t="s">
        <v>1311</v>
      </c>
      <c r="N600" s="45" t="s">
        <v>1312</v>
      </c>
      <c r="O600" s="45" t="s">
        <v>1123</v>
      </c>
      <c r="P600" s="46" t="str">
        <f>HYPERLINK("https://cofre.sieg.com/ajax/danfe.aspx?nfe=26230142102316000134550010000005541000067021","Ver Danfe")</f>
        <v>Ver Danfe</v>
      </c>
      <c r="Q600" s="46" t="str">
        <f>HYPERLINK("https://cofre.sieg.com/ajax/xml.aspx?nfe=26230142102316000134550010000005541000067021","Baixar Xml")</f>
        <v>Baixar Xml</v>
      </c>
    </row>
    <row r="601" spans="1:17" x14ac:dyDescent="0.75">
      <c r="A601" s="5">
        <v>555</v>
      </c>
      <c r="B601" s="55">
        <v>251</v>
      </c>
      <c r="C601" s="5" t="s">
        <v>4839</v>
      </c>
      <c r="D601" s="45" t="s">
        <v>1189</v>
      </c>
      <c r="E601" s="45" t="s">
        <v>1190</v>
      </c>
      <c r="F601" s="45" t="s">
        <v>452</v>
      </c>
      <c r="G601" s="45" t="s">
        <v>1120</v>
      </c>
      <c r="H601" s="45" t="s">
        <v>1126</v>
      </c>
      <c r="I601" s="45" t="s">
        <v>1126</v>
      </c>
      <c r="J601" s="45" t="s">
        <v>4839</v>
      </c>
      <c r="K601" s="45" t="s">
        <v>5491</v>
      </c>
      <c r="L601" s="45" t="s">
        <v>1122</v>
      </c>
      <c r="M601" s="45"/>
      <c r="N601" s="45"/>
      <c r="O601" s="45" t="s">
        <v>1123</v>
      </c>
      <c r="P601" s="46" t="str">
        <f>HYPERLINK("https://cofre.sieg.com/ajax/danfe.aspx?nfe=26230142102316000134550010000005551000067037","Ver Danfe")</f>
        <v>Ver Danfe</v>
      </c>
      <c r="Q601" s="46" t="str">
        <f>HYPERLINK("https://cofre.sieg.com/ajax/xml.aspx?nfe=26230142102316000134550010000005551000067037","Baixar Xml")</f>
        <v>Baixar Xml</v>
      </c>
    </row>
    <row r="602" spans="1:17" x14ac:dyDescent="0.75">
      <c r="A602" s="5">
        <v>556</v>
      </c>
      <c r="B602" s="55">
        <v>259.2</v>
      </c>
      <c r="C602" s="5" t="s">
        <v>4844</v>
      </c>
      <c r="D602" s="45" t="s">
        <v>1189</v>
      </c>
      <c r="E602" s="45" t="s">
        <v>1190</v>
      </c>
      <c r="F602" s="45" t="s">
        <v>452</v>
      </c>
      <c r="G602" s="45" t="s">
        <v>1120</v>
      </c>
      <c r="H602" s="45" t="s">
        <v>1126</v>
      </c>
      <c r="I602" s="45" t="s">
        <v>1126</v>
      </c>
      <c r="J602" s="45" t="s">
        <v>4844</v>
      </c>
      <c r="K602" s="45" t="s">
        <v>5492</v>
      </c>
      <c r="L602" s="45" t="s">
        <v>1122</v>
      </c>
      <c r="M602" s="45" t="s">
        <v>1311</v>
      </c>
      <c r="N602" s="45" t="s">
        <v>1312</v>
      </c>
      <c r="O602" s="45" t="s">
        <v>1123</v>
      </c>
      <c r="P602" s="46" t="str">
        <f>HYPERLINK("https://cofre.sieg.com/ajax/danfe.aspx?nfe=26230142102316000134550010000005561000067042","Ver Danfe")</f>
        <v>Ver Danfe</v>
      </c>
      <c r="Q602" s="46" t="str">
        <f>HYPERLINK("https://cofre.sieg.com/ajax/xml.aspx?nfe=26230142102316000134550010000005561000067042","Baixar Xml")</f>
        <v>Baixar Xml</v>
      </c>
    </row>
    <row r="603" spans="1:17" x14ac:dyDescent="0.75">
      <c r="A603" s="5">
        <v>557</v>
      </c>
      <c r="B603" s="55">
        <v>282</v>
      </c>
      <c r="C603" s="5" t="s">
        <v>4846</v>
      </c>
      <c r="D603" s="45" t="s">
        <v>1189</v>
      </c>
      <c r="E603" s="45" t="s">
        <v>1190</v>
      </c>
      <c r="F603" s="45" t="s">
        <v>452</v>
      </c>
      <c r="G603" s="45" t="s">
        <v>1120</v>
      </c>
      <c r="H603" s="45" t="s">
        <v>1126</v>
      </c>
      <c r="I603" s="45" t="s">
        <v>1126</v>
      </c>
      <c r="J603" s="45" t="s">
        <v>4846</v>
      </c>
      <c r="K603" s="45" t="s">
        <v>5493</v>
      </c>
      <c r="L603" s="45" t="s">
        <v>1122</v>
      </c>
      <c r="M603" s="45" t="s">
        <v>1311</v>
      </c>
      <c r="N603" s="45" t="s">
        <v>1312</v>
      </c>
      <c r="O603" s="45" t="s">
        <v>1123</v>
      </c>
      <c r="P603" s="46" t="str">
        <f>HYPERLINK("https://cofre.sieg.com/ajax/danfe.aspx?nfe=26230142102316000134550010000005571000067058","Ver Danfe")</f>
        <v>Ver Danfe</v>
      </c>
      <c r="Q603" s="46" t="str">
        <f>HYPERLINK("https://cofre.sieg.com/ajax/xml.aspx?nfe=26230142102316000134550010000005571000067058","Baixar Xml")</f>
        <v>Baixar Xml</v>
      </c>
    </row>
    <row r="604" spans="1:17" x14ac:dyDescent="0.75">
      <c r="A604" s="5">
        <v>558</v>
      </c>
      <c r="B604" s="55">
        <v>289.25</v>
      </c>
      <c r="C604" s="5" t="s">
        <v>4857</v>
      </c>
      <c r="D604" s="45" t="s">
        <v>1189</v>
      </c>
      <c r="E604" s="45" t="s">
        <v>1190</v>
      </c>
      <c r="F604" s="45" t="s">
        <v>452</v>
      </c>
      <c r="G604" s="45" t="s">
        <v>1120</v>
      </c>
      <c r="H604" s="45" t="s">
        <v>1126</v>
      </c>
      <c r="I604" s="45" t="s">
        <v>1126</v>
      </c>
      <c r="J604" s="45" t="s">
        <v>4857</v>
      </c>
      <c r="K604" s="45" t="s">
        <v>5494</v>
      </c>
      <c r="L604" s="45" t="s">
        <v>1122</v>
      </c>
      <c r="M604" s="45" t="s">
        <v>1311</v>
      </c>
      <c r="N604" s="45" t="s">
        <v>1312</v>
      </c>
      <c r="O604" s="45" t="s">
        <v>1123</v>
      </c>
      <c r="P604" s="46" t="str">
        <f>HYPERLINK("https://cofre.sieg.com/ajax/danfe.aspx?nfe=26230142102316000134550010000005581000067063","Ver Danfe")</f>
        <v>Ver Danfe</v>
      </c>
      <c r="Q604" s="46" t="str">
        <f>HYPERLINK("https://cofre.sieg.com/ajax/xml.aspx?nfe=26230142102316000134550010000005581000067063","Baixar Xml")</f>
        <v>Baixar Xml</v>
      </c>
    </row>
    <row r="605" spans="1:17" x14ac:dyDescent="0.75">
      <c r="A605" s="5">
        <v>559</v>
      </c>
      <c r="B605" s="55">
        <v>187.75</v>
      </c>
      <c r="C605" s="5" t="s">
        <v>4861</v>
      </c>
      <c r="D605" s="45" t="s">
        <v>1189</v>
      </c>
      <c r="E605" s="45" t="s">
        <v>1190</v>
      </c>
      <c r="F605" s="45" t="s">
        <v>452</v>
      </c>
      <c r="G605" s="45" t="s">
        <v>1120</v>
      </c>
      <c r="H605" s="45" t="s">
        <v>1126</v>
      </c>
      <c r="I605" s="45" t="s">
        <v>1126</v>
      </c>
      <c r="J605" s="45" t="s">
        <v>4861</v>
      </c>
      <c r="K605" s="45" t="s">
        <v>5495</v>
      </c>
      <c r="L605" s="45" t="s">
        <v>1122</v>
      </c>
      <c r="M605" s="45"/>
      <c r="N605" s="45"/>
      <c r="O605" s="45" t="s">
        <v>1123</v>
      </c>
      <c r="P605" s="46" t="str">
        <f>HYPERLINK("https://cofre.sieg.com/ajax/danfe.aspx?nfe=26230142102316000134550010000005591000067079","Ver Danfe")</f>
        <v>Ver Danfe</v>
      </c>
      <c r="Q605" s="46" t="str">
        <f>HYPERLINK("https://cofre.sieg.com/ajax/xml.aspx?nfe=26230142102316000134550010000005591000067079","Baixar Xml")</f>
        <v>Baixar Xml</v>
      </c>
    </row>
    <row r="606" spans="1:17" x14ac:dyDescent="0.75">
      <c r="A606" s="5">
        <v>560</v>
      </c>
      <c r="B606" s="55">
        <v>127.5</v>
      </c>
      <c r="C606" s="5" t="s">
        <v>4866</v>
      </c>
      <c r="D606" s="45" t="s">
        <v>1189</v>
      </c>
      <c r="E606" s="45" t="s">
        <v>1190</v>
      </c>
      <c r="F606" s="45" t="s">
        <v>452</v>
      </c>
      <c r="G606" s="45" t="s">
        <v>1120</v>
      </c>
      <c r="H606" s="45" t="s">
        <v>1126</v>
      </c>
      <c r="I606" s="45" t="s">
        <v>1126</v>
      </c>
      <c r="J606" s="45" t="s">
        <v>4873</v>
      </c>
      <c r="K606" s="45" t="s">
        <v>5496</v>
      </c>
      <c r="L606" s="45" t="s">
        <v>1122</v>
      </c>
      <c r="M606" s="45"/>
      <c r="N606" s="45"/>
      <c r="O606" s="45" t="s">
        <v>1123</v>
      </c>
      <c r="P606" s="46" t="str">
        <f>HYPERLINK("https://cofre.sieg.com/ajax/danfe.aspx?nfe=26230142102316000134550010000005601000067088","Ver Danfe")</f>
        <v>Ver Danfe</v>
      </c>
      <c r="Q606" s="46" t="str">
        <f>HYPERLINK("https://cofre.sieg.com/ajax/xml.aspx?nfe=26230142102316000134550010000005601000067088","Baixar Xml")</f>
        <v>Baixar Xml</v>
      </c>
    </row>
    <row r="607" spans="1:17" x14ac:dyDescent="0.75">
      <c r="A607" s="5">
        <v>561</v>
      </c>
      <c r="B607" s="55">
        <v>60</v>
      </c>
      <c r="C607" s="5" t="s">
        <v>4873</v>
      </c>
      <c r="D607" s="45" t="s">
        <v>1189</v>
      </c>
      <c r="E607" s="45" t="s">
        <v>1190</v>
      </c>
      <c r="F607" s="45" t="s">
        <v>452</v>
      </c>
      <c r="G607" s="45" t="s">
        <v>1120</v>
      </c>
      <c r="H607" s="45" t="s">
        <v>1126</v>
      </c>
      <c r="I607" s="45" t="s">
        <v>1126</v>
      </c>
      <c r="J607" s="45" t="s">
        <v>4873</v>
      </c>
      <c r="K607" s="45" t="s">
        <v>5497</v>
      </c>
      <c r="L607" s="45" t="s">
        <v>1122</v>
      </c>
      <c r="M607" s="45" t="s">
        <v>1311</v>
      </c>
      <c r="N607" s="45" t="s">
        <v>1312</v>
      </c>
      <c r="O607" s="45" t="s">
        <v>1123</v>
      </c>
      <c r="P607" s="46" t="str">
        <f>HYPERLINK("https://cofre.sieg.com/ajax/danfe.aspx?nfe=26230142102316000134550010000005611000067093","Ver Danfe")</f>
        <v>Ver Danfe</v>
      </c>
      <c r="Q607" s="46" t="str">
        <f>HYPERLINK("https://cofre.sieg.com/ajax/xml.aspx?nfe=26230142102316000134550010000005611000067093","Baixar Xml")</f>
        <v>Baixar Xml</v>
      </c>
    </row>
    <row r="608" spans="1:17" x14ac:dyDescent="0.75">
      <c r="A608" s="5">
        <v>562</v>
      </c>
      <c r="B608" s="55">
        <v>279.5</v>
      </c>
      <c r="C608" s="5" t="s">
        <v>4877</v>
      </c>
      <c r="D608" s="45" t="s">
        <v>1189</v>
      </c>
      <c r="E608" s="45" t="s">
        <v>1190</v>
      </c>
      <c r="F608" s="45" t="s">
        <v>452</v>
      </c>
      <c r="G608" s="45" t="s">
        <v>1120</v>
      </c>
      <c r="H608" s="45" t="s">
        <v>1126</v>
      </c>
      <c r="I608" s="45" t="s">
        <v>1126</v>
      </c>
      <c r="J608" s="45" t="s">
        <v>4877</v>
      </c>
      <c r="K608" s="45" t="s">
        <v>5498</v>
      </c>
      <c r="L608" s="45" t="s">
        <v>1122</v>
      </c>
      <c r="M608" s="45"/>
      <c r="N608" s="45"/>
      <c r="O608" s="45" t="s">
        <v>1123</v>
      </c>
      <c r="P608" s="46" t="str">
        <f>HYPERLINK("https://cofre.sieg.com/ajax/danfe.aspx?nfe=26230142102316000134550010000005621000067104","Ver Danfe")</f>
        <v>Ver Danfe</v>
      </c>
      <c r="Q608" s="46" t="str">
        <f>HYPERLINK("https://cofre.sieg.com/ajax/xml.aspx?nfe=26230142102316000134550010000005621000067104","Baixar Xml")</f>
        <v>Baixar Xml</v>
      </c>
    </row>
    <row r="609" spans="1:17" x14ac:dyDescent="0.75">
      <c r="A609" s="5">
        <v>563</v>
      </c>
      <c r="B609" s="55">
        <v>507</v>
      </c>
      <c r="C609" s="5" t="s">
        <v>4883</v>
      </c>
      <c r="D609" s="45" t="s">
        <v>1189</v>
      </c>
      <c r="E609" s="45" t="s">
        <v>1190</v>
      </c>
      <c r="F609" s="45" t="s">
        <v>452</v>
      </c>
      <c r="G609" s="45" t="s">
        <v>1120</v>
      </c>
      <c r="H609" s="45" t="s">
        <v>1126</v>
      </c>
      <c r="I609" s="45" t="s">
        <v>1126</v>
      </c>
      <c r="J609" s="45" t="s">
        <v>4883</v>
      </c>
      <c r="K609" s="45" t="s">
        <v>5499</v>
      </c>
      <c r="L609" s="45" t="s">
        <v>1122</v>
      </c>
      <c r="M609" s="45" t="s">
        <v>1311</v>
      </c>
      <c r="N609" s="45" t="s">
        <v>1312</v>
      </c>
      <c r="O609" s="45" t="s">
        <v>1123</v>
      </c>
      <c r="P609" s="46" t="str">
        <f>HYPERLINK("https://cofre.sieg.com/ajax/danfe.aspx?nfe=26230142102316000134550010000005631000067110","Ver Danfe")</f>
        <v>Ver Danfe</v>
      </c>
      <c r="Q609" s="46" t="str">
        <f>HYPERLINK("https://cofre.sieg.com/ajax/xml.aspx?nfe=26230142102316000134550010000005631000067110","Baixar Xml")</f>
        <v>Baixar Xml</v>
      </c>
    </row>
    <row r="610" spans="1:17" x14ac:dyDescent="0.75">
      <c r="A610" s="5">
        <v>564</v>
      </c>
      <c r="B610" s="55">
        <v>202.45</v>
      </c>
      <c r="C610" s="5" t="s">
        <v>4884</v>
      </c>
      <c r="D610" s="45" t="s">
        <v>1189</v>
      </c>
      <c r="E610" s="45" t="s">
        <v>1190</v>
      </c>
      <c r="F610" s="45" t="s">
        <v>452</v>
      </c>
      <c r="G610" s="45" t="s">
        <v>1120</v>
      </c>
      <c r="H610" s="45" t="s">
        <v>1126</v>
      </c>
      <c r="I610" s="45" t="s">
        <v>1126</v>
      </c>
      <c r="J610" s="45" t="s">
        <v>4884</v>
      </c>
      <c r="K610" s="45" t="s">
        <v>5500</v>
      </c>
      <c r="L610" s="45" t="s">
        <v>1122</v>
      </c>
      <c r="M610" s="45" t="s">
        <v>1311</v>
      </c>
      <c r="N610" s="45" t="s">
        <v>1312</v>
      </c>
      <c r="O610" s="45" t="s">
        <v>1123</v>
      </c>
      <c r="P610" s="46" t="str">
        <f>HYPERLINK("https://cofre.sieg.com/ajax/danfe.aspx?nfe=26230142102316000134550010000005641000067125","Ver Danfe")</f>
        <v>Ver Danfe</v>
      </c>
      <c r="Q610" s="46" t="str">
        <f>HYPERLINK("https://cofre.sieg.com/ajax/xml.aspx?nfe=26230142102316000134550010000005641000067125","Baixar Xml")</f>
        <v>Baixar Xml</v>
      </c>
    </row>
    <row r="611" spans="1:17" x14ac:dyDescent="0.75">
      <c r="A611" s="5">
        <v>565</v>
      </c>
      <c r="B611" s="55">
        <v>195</v>
      </c>
      <c r="C611" s="5" t="s">
        <v>4887</v>
      </c>
      <c r="D611" s="45" t="s">
        <v>1189</v>
      </c>
      <c r="E611" s="45" t="s">
        <v>1190</v>
      </c>
      <c r="F611" s="45" t="s">
        <v>452</v>
      </c>
      <c r="G611" s="45" t="s">
        <v>1120</v>
      </c>
      <c r="H611" s="45" t="s">
        <v>1126</v>
      </c>
      <c r="I611" s="45" t="s">
        <v>1126</v>
      </c>
      <c r="J611" s="45" t="s">
        <v>4887</v>
      </c>
      <c r="K611" s="45" t="s">
        <v>5501</v>
      </c>
      <c r="L611" s="45" t="s">
        <v>1122</v>
      </c>
      <c r="M611" s="45"/>
      <c r="N611" s="45"/>
      <c r="O611" s="45" t="s">
        <v>1123</v>
      </c>
      <c r="P611" s="46" t="str">
        <f>HYPERLINK("https://cofre.sieg.com/ajax/danfe.aspx?nfe=26230142102316000134550010000005651000067130","Ver Danfe")</f>
        <v>Ver Danfe</v>
      </c>
      <c r="Q611" s="46" t="str">
        <f>HYPERLINK("https://cofre.sieg.com/ajax/xml.aspx?nfe=26230142102316000134550010000005651000067130","Baixar Xml")</f>
        <v>Baixar Xml</v>
      </c>
    </row>
    <row r="612" spans="1:17" x14ac:dyDescent="0.75">
      <c r="A612" s="5">
        <v>566</v>
      </c>
      <c r="B612" s="55">
        <v>322</v>
      </c>
      <c r="C612" s="5" t="s">
        <v>4891</v>
      </c>
      <c r="D612" s="45" t="s">
        <v>1189</v>
      </c>
      <c r="E612" s="45" t="s">
        <v>1190</v>
      </c>
      <c r="F612" s="45" t="s">
        <v>452</v>
      </c>
      <c r="G612" s="45" t="s">
        <v>1120</v>
      </c>
      <c r="H612" s="45" t="s">
        <v>1126</v>
      </c>
      <c r="I612" s="45" t="s">
        <v>1126</v>
      </c>
      <c r="J612" s="45" t="s">
        <v>4891</v>
      </c>
      <c r="K612" s="45" t="s">
        <v>5502</v>
      </c>
      <c r="L612" s="45" t="s">
        <v>1122</v>
      </c>
      <c r="M612" s="45" t="s">
        <v>1311</v>
      </c>
      <c r="N612" s="45" t="s">
        <v>1312</v>
      </c>
      <c r="O612" s="45" t="s">
        <v>1123</v>
      </c>
      <c r="P612" s="46" t="str">
        <f>HYPERLINK("https://cofre.sieg.com/ajax/danfe.aspx?nfe=26230142102316000134550010000005661000067146","Ver Danfe")</f>
        <v>Ver Danfe</v>
      </c>
      <c r="Q612" s="46" t="str">
        <f>HYPERLINK("https://cofre.sieg.com/ajax/xml.aspx?nfe=26230142102316000134550010000005661000067146","Baixar Xml")</f>
        <v>Baixar Xml</v>
      </c>
    </row>
    <row r="613" spans="1:17" x14ac:dyDescent="0.75">
      <c r="A613" s="5">
        <v>567</v>
      </c>
      <c r="B613" s="55">
        <v>339</v>
      </c>
      <c r="C613" s="5" t="s">
        <v>4899</v>
      </c>
      <c r="D613" s="45" t="s">
        <v>1189</v>
      </c>
      <c r="E613" s="45" t="s">
        <v>1190</v>
      </c>
      <c r="F613" s="45" t="s">
        <v>452</v>
      </c>
      <c r="G613" s="45" t="s">
        <v>1120</v>
      </c>
      <c r="H613" s="45" t="s">
        <v>1126</v>
      </c>
      <c r="I613" s="45" t="s">
        <v>1126</v>
      </c>
      <c r="J613" s="45" t="s">
        <v>4899</v>
      </c>
      <c r="K613" s="45" t="s">
        <v>5503</v>
      </c>
      <c r="L613" s="45" t="s">
        <v>1122</v>
      </c>
      <c r="M613" s="45"/>
      <c r="N613" s="45"/>
      <c r="O613" s="45" t="s">
        <v>1123</v>
      </c>
      <c r="P613" s="46" t="str">
        <f>HYPERLINK("https://cofre.sieg.com/ajax/danfe.aspx?nfe=26230142102316000134550010000005671000067151","Ver Danfe")</f>
        <v>Ver Danfe</v>
      </c>
      <c r="Q613" s="46" t="str">
        <f>HYPERLINK("https://cofre.sieg.com/ajax/xml.aspx?nfe=26230142102316000134550010000005671000067151","Baixar Xml")</f>
        <v>Baixar Xml</v>
      </c>
    </row>
    <row r="614" spans="1:17" x14ac:dyDescent="0.75">
      <c r="A614" s="5">
        <v>568</v>
      </c>
      <c r="B614" s="55">
        <v>494.5</v>
      </c>
      <c r="C614" s="5" t="s">
        <v>4900</v>
      </c>
      <c r="D614" s="45" t="s">
        <v>1189</v>
      </c>
      <c r="E614" s="45" t="s">
        <v>1190</v>
      </c>
      <c r="F614" s="45" t="s">
        <v>452</v>
      </c>
      <c r="G614" s="45" t="s">
        <v>1120</v>
      </c>
      <c r="H614" s="45" t="s">
        <v>1126</v>
      </c>
      <c r="I614" s="45" t="s">
        <v>1126</v>
      </c>
      <c r="J614" s="45" t="s">
        <v>4900</v>
      </c>
      <c r="K614" s="45" t="s">
        <v>5504</v>
      </c>
      <c r="L614" s="45" t="s">
        <v>1122</v>
      </c>
      <c r="M614" s="45"/>
      <c r="N614" s="45"/>
      <c r="O614" s="45" t="s">
        <v>1123</v>
      </c>
      <c r="P614" s="46" t="str">
        <f>HYPERLINK("https://cofre.sieg.com/ajax/danfe.aspx?nfe=26230142102316000134550010000005681000067167","Ver Danfe")</f>
        <v>Ver Danfe</v>
      </c>
      <c r="Q614" s="46" t="str">
        <f>HYPERLINK("https://cofre.sieg.com/ajax/xml.aspx?nfe=26230142102316000134550010000005681000067167","Baixar Xml")</f>
        <v>Baixar Xml</v>
      </c>
    </row>
    <row r="615" spans="1:17" x14ac:dyDescent="0.75">
      <c r="A615" s="5">
        <v>569</v>
      </c>
      <c r="B615" s="55">
        <v>580.75</v>
      </c>
      <c r="C615" s="5" t="s">
        <v>4907</v>
      </c>
      <c r="D615" s="45" t="s">
        <v>1189</v>
      </c>
      <c r="E615" s="45" t="s">
        <v>1190</v>
      </c>
      <c r="F615" s="45" t="s">
        <v>452</v>
      </c>
      <c r="G615" s="45" t="s">
        <v>1120</v>
      </c>
      <c r="H615" s="45" t="s">
        <v>1126</v>
      </c>
      <c r="I615" s="45" t="s">
        <v>1126</v>
      </c>
      <c r="J615" s="45" t="s">
        <v>4907</v>
      </c>
      <c r="K615" s="45" t="s">
        <v>5505</v>
      </c>
      <c r="L615" s="45" t="s">
        <v>1122</v>
      </c>
      <c r="M615" s="45" t="s">
        <v>1148</v>
      </c>
      <c r="N615" s="45" t="s">
        <v>1149</v>
      </c>
      <c r="O615" s="45" t="s">
        <v>1150</v>
      </c>
      <c r="P615" s="46" t="str">
        <f>HYPERLINK("https://cofre.sieg.com/ajax/danfe.aspx?nfe=26230142102316000134550010000005691000067172","Ver Danfe")</f>
        <v>Ver Danfe</v>
      </c>
      <c r="Q615" s="46" t="str">
        <f>HYPERLINK("https://cofre.sieg.com/ajax/xml.aspx?nfe=26230142102316000134550010000005691000067172","Baixar Xml")</f>
        <v>Baixar Xml</v>
      </c>
    </row>
    <row r="616" spans="1:17" x14ac:dyDescent="0.75">
      <c r="A616" s="5">
        <v>570</v>
      </c>
      <c r="B616" s="55">
        <v>570.75</v>
      </c>
      <c r="C616" s="5" t="s">
        <v>4908</v>
      </c>
      <c r="D616" s="45" t="s">
        <v>1189</v>
      </c>
      <c r="E616" s="45" t="s">
        <v>1190</v>
      </c>
      <c r="F616" s="45" t="s">
        <v>452</v>
      </c>
      <c r="G616" s="45" t="s">
        <v>1120</v>
      </c>
      <c r="H616" s="45" t="s">
        <v>1126</v>
      </c>
      <c r="I616" s="45" t="s">
        <v>1126</v>
      </c>
      <c r="J616" s="45" t="s">
        <v>4908</v>
      </c>
      <c r="K616" s="45" t="s">
        <v>5506</v>
      </c>
      <c r="L616" s="45" t="s">
        <v>1122</v>
      </c>
      <c r="M616" s="45" t="s">
        <v>1311</v>
      </c>
      <c r="N616" s="45" t="s">
        <v>1312</v>
      </c>
      <c r="O616" s="45" t="s">
        <v>1123</v>
      </c>
      <c r="P616" s="46" t="str">
        <f>HYPERLINK("https://cofre.sieg.com/ajax/danfe.aspx?nfe=26230142102316000134550010000005701000067190","Ver Danfe")</f>
        <v>Ver Danfe</v>
      </c>
      <c r="Q616" s="46" t="str">
        <f>HYPERLINK("https://cofre.sieg.com/ajax/xml.aspx?nfe=26230142102316000134550010000005701000067190","Baixar Xml")</f>
        <v>Baixar Xml</v>
      </c>
    </row>
    <row r="617" spans="1:17" x14ac:dyDescent="0.75">
      <c r="A617" s="5">
        <v>571</v>
      </c>
      <c r="B617" s="55">
        <v>261.75</v>
      </c>
      <c r="C617" s="5" t="s">
        <v>4908</v>
      </c>
      <c r="D617" s="45" t="s">
        <v>1189</v>
      </c>
      <c r="E617" s="45" t="s">
        <v>1190</v>
      </c>
      <c r="F617" s="45" t="s">
        <v>452</v>
      </c>
      <c r="G617" s="45" t="s">
        <v>1120</v>
      </c>
      <c r="H617" s="45" t="s">
        <v>1126</v>
      </c>
      <c r="I617" s="45" t="s">
        <v>1126</v>
      </c>
      <c r="J617" s="45" t="s">
        <v>4908</v>
      </c>
      <c r="K617" s="45" t="s">
        <v>5507</v>
      </c>
      <c r="L617" s="45" t="s">
        <v>1122</v>
      </c>
      <c r="M617" s="45" t="s">
        <v>1311</v>
      </c>
      <c r="N617" s="45" t="s">
        <v>1312</v>
      </c>
      <c r="O617" s="45" t="s">
        <v>1123</v>
      </c>
      <c r="P617" s="46" t="str">
        <f>HYPERLINK("https://cofre.sieg.com/ajax/danfe.aspx?nfe=26230142102316000134550010000005711000067200","Ver Danfe")</f>
        <v>Ver Danfe</v>
      </c>
      <c r="Q617" s="46" t="str">
        <f>HYPERLINK("https://cofre.sieg.com/ajax/xml.aspx?nfe=26230142102316000134550010000005711000067200","Baixar Xml")</f>
        <v>Baixar Xml</v>
      </c>
    </row>
    <row r="618" spans="1:17" x14ac:dyDescent="0.75">
      <c r="A618" s="5">
        <v>572</v>
      </c>
      <c r="B618" s="55">
        <v>255</v>
      </c>
      <c r="C618" s="5" t="s">
        <v>4912</v>
      </c>
      <c r="D618" s="45" t="s">
        <v>1189</v>
      </c>
      <c r="E618" s="45" t="s">
        <v>1190</v>
      </c>
      <c r="F618" s="45" t="s">
        <v>452</v>
      </c>
      <c r="G618" s="45" t="s">
        <v>1120</v>
      </c>
      <c r="H618" s="45" t="s">
        <v>1126</v>
      </c>
      <c r="I618" s="45" t="s">
        <v>1126</v>
      </c>
      <c r="J618" s="45" t="s">
        <v>4919</v>
      </c>
      <c r="K618" s="45" t="s">
        <v>5508</v>
      </c>
      <c r="L618" s="45" t="s">
        <v>1122</v>
      </c>
      <c r="M618" s="45"/>
      <c r="N618" s="45"/>
      <c r="O618" s="45" t="s">
        <v>1123</v>
      </c>
      <c r="P618" s="46" t="str">
        <f>HYPERLINK("https://cofre.sieg.com/ajax/danfe.aspx?nfe=26230142102316000134550010000005721000067216","Ver Danfe")</f>
        <v>Ver Danfe</v>
      </c>
      <c r="Q618" s="46" t="str">
        <f>HYPERLINK("https://cofre.sieg.com/ajax/xml.aspx?nfe=26230142102316000134550010000005721000067216","Baixar Xml")</f>
        <v>Baixar Xml</v>
      </c>
    </row>
    <row r="619" spans="1:17" x14ac:dyDescent="0.75">
      <c r="A619" s="5">
        <v>573</v>
      </c>
      <c r="B619" s="55">
        <v>244.5</v>
      </c>
      <c r="C619" s="5" t="s">
        <v>4919</v>
      </c>
      <c r="D619" s="45" t="s">
        <v>1189</v>
      </c>
      <c r="E619" s="45" t="s">
        <v>1190</v>
      </c>
      <c r="F619" s="45" t="s">
        <v>452</v>
      </c>
      <c r="G619" s="45" t="s">
        <v>1120</v>
      </c>
      <c r="H619" s="45" t="s">
        <v>1126</v>
      </c>
      <c r="I619" s="45" t="s">
        <v>1126</v>
      </c>
      <c r="J619" s="45" t="s">
        <v>4919</v>
      </c>
      <c r="K619" s="45" t="s">
        <v>5509</v>
      </c>
      <c r="L619" s="45" t="s">
        <v>1122</v>
      </c>
      <c r="M619" s="45" t="s">
        <v>1311</v>
      </c>
      <c r="N619" s="45" t="s">
        <v>1312</v>
      </c>
      <c r="O619" s="45" t="s">
        <v>1123</v>
      </c>
      <c r="P619" s="46" t="str">
        <f>HYPERLINK("https://cofre.sieg.com/ajax/danfe.aspx?nfe=26230142102316000134550010000005731000067221","Ver Danfe")</f>
        <v>Ver Danfe</v>
      </c>
      <c r="Q619" s="46" t="str">
        <f>HYPERLINK("https://cofre.sieg.com/ajax/xml.aspx?nfe=26230142102316000134550010000005731000067221","Baixar Xml")</f>
        <v>Baixar Xml</v>
      </c>
    </row>
    <row r="620" spans="1:17" x14ac:dyDescent="0.75">
      <c r="A620" s="5">
        <v>574</v>
      </c>
      <c r="B620" s="55">
        <v>210</v>
      </c>
      <c r="C620" s="5" t="s">
        <v>4923</v>
      </c>
      <c r="D620" s="45" t="s">
        <v>1189</v>
      </c>
      <c r="E620" s="45" t="s">
        <v>1190</v>
      </c>
      <c r="F620" s="45" t="s">
        <v>452</v>
      </c>
      <c r="G620" s="45" t="s">
        <v>1120</v>
      </c>
      <c r="H620" s="45" t="s">
        <v>1126</v>
      </c>
      <c r="I620" s="45" t="s">
        <v>1126</v>
      </c>
      <c r="J620" s="45" t="s">
        <v>4923</v>
      </c>
      <c r="K620" s="45" t="s">
        <v>5510</v>
      </c>
      <c r="L620" s="45" t="s">
        <v>1122</v>
      </c>
      <c r="M620" s="45"/>
      <c r="N620" s="45"/>
      <c r="O620" s="45" t="s">
        <v>1123</v>
      </c>
      <c r="P620" s="46" t="str">
        <f>HYPERLINK("https://cofre.sieg.com/ajax/danfe.aspx?nfe=26230142102316000134550010000005741000067555","Ver Danfe")</f>
        <v>Ver Danfe</v>
      </c>
      <c r="Q620" s="46" t="str">
        <f>HYPERLINK("https://cofre.sieg.com/ajax/xml.aspx?nfe=26230142102316000134550010000005741000067555","Baixar Xml")</f>
        <v>Baixar Xml</v>
      </c>
    </row>
    <row r="621" spans="1:17" x14ac:dyDescent="0.75">
      <c r="A621" s="5">
        <v>575</v>
      </c>
      <c r="B621" s="55">
        <v>228.75</v>
      </c>
      <c r="C621" s="5" t="s">
        <v>4930</v>
      </c>
      <c r="D621" s="45" t="s">
        <v>1189</v>
      </c>
      <c r="E621" s="45" t="s">
        <v>1190</v>
      </c>
      <c r="F621" s="45" t="s">
        <v>452</v>
      </c>
      <c r="G621" s="45" t="s">
        <v>1120</v>
      </c>
      <c r="H621" s="45" t="s">
        <v>1126</v>
      </c>
      <c r="I621" s="45" t="s">
        <v>1126</v>
      </c>
      <c r="J621" s="45" t="s">
        <v>4930</v>
      </c>
      <c r="K621" s="45" t="s">
        <v>5511</v>
      </c>
      <c r="L621" s="45" t="s">
        <v>1122</v>
      </c>
      <c r="M621" s="45"/>
      <c r="N621" s="45"/>
      <c r="O621" s="45" t="s">
        <v>1123</v>
      </c>
      <c r="P621" s="46" t="str">
        <f>HYPERLINK("https://cofre.sieg.com/ajax/danfe.aspx?nfe=26230142102316000134550010000005751000067560","Ver Danfe")</f>
        <v>Ver Danfe</v>
      </c>
      <c r="Q621" s="46" t="str">
        <f>HYPERLINK("https://cofre.sieg.com/ajax/xml.aspx?nfe=26230142102316000134550010000005751000067560","Baixar Xml")</f>
        <v>Baixar Xml</v>
      </c>
    </row>
    <row r="622" spans="1:17" x14ac:dyDescent="0.75">
      <c r="A622" s="5">
        <v>576</v>
      </c>
      <c r="B622" s="55">
        <v>361.7</v>
      </c>
      <c r="C622" s="5" t="s">
        <v>4937</v>
      </c>
      <c r="D622" s="45" t="s">
        <v>1189</v>
      </c>
      <c r="E622" s="45" t="s">
        <v>1190</v>
      </c>
      <c r="F622" s="45" t="s">
        <v>452</v>
      </c>
      <c r="G622" s="45" t="s">
        <v>1120</v>
      </c>
      <c r="H622" s="45" t="s">
        <v>1126</v>
      </c>
      <c r="I622" s="45" t="s">
        <v>1126</v>
      </c>
      <c r="J622" s="45" t="s">
        <v>4937</v>
      </c>
      <c r="K622" s="45" t="s">
        <v>5512</v>
      </c>
      <c r="L622" s="45" t="s">
        <v>1122</v>
      </c>
      <c r="M622" s="45"/>
      <c r="N622" s="45"/>
      <c r="O622" s="45" t="s">
        <v>1123</v>
      </c>
      <c r="P622" s="46" t="str">
        <f>HYPERLINK("https://cofre.sieg.com/ajax/danfe.aspx?nfe=26230142102316000134550010000005761000067584","Ver Danfe")</f>
        <v>Ver Danfe</v>
      </c>
      <c r="Q622" s="46" t="str">
        <f>HYPERLINK("https://cofre.sieg.com/ajax/xml.aspx?nfe=26230142102316000134550010000005761000067584","Baixar Xml")</f>
        <v>Baixar Xml</v>
      </c>
    </row>
    <row r="623" spans="1:17" x14ac:dyDescent="0.75">
      <c r="A623" s="5">
        <v>577</v>
      </c>
      <c r="B623" s="55">
        <v>239.35</v>
      </c>
      <c r="C623" s="5" t="s">
        <v>4938</v>
      </c>
      <c r="D623" s="45" t="s">
        <v>1189</v>
      </c>
      <c r="E623" s="45" t="s">
        <v>1190</v>
      </c>
      <c r="F623" s="45" t="s">
        <v>452</v>
      </c>
      <c r="G623" s="45" t="s">
        <v>1120</v>
      </c>
      <c r="H623" s="45" t="s">
        <v>1126</v>
      </c>
      <c r="I623" s="45" t="s">
        <v>1126</v>
      </c>
      <c r="J623" s="45" t="s">
        <v>4938</v>
      </c>
      <c r="K623" s="45" t="s">
        <v>5513</v>
      </c>
      <c r="L623" s="45" t="s">
        <v>1122</v>
      </c>
      <c r="M623" s="45" t="s">
        <v>1311</v>
      </c>
      <c r="N623" s="45" t="s">
        <v>1312</v>
      </c>
      <c r="O623" s="45" t="s">
        <v>1123</v>
      </c>
      <c r="P623" s="46" t="str">
        <f>HYPERLINK("https://cofre.sieg.com/ajax/danfe.aspx?nfe=26230142102316000134550010000005771000067590","Ver Danfe")</f>
        <v>Ver Danfe</v>
      </c>
      <c r="Q623" s="46" t="str">
        <f>HYPERLINK("https://cofre.sieg.com/ajax/xml.aspx?nfe=26230142102316000134550010000005771000067590","Baixar Xml")</f>
        <v>Baixar Xml</v>
      </c>
    </row>
    <row r="624" spans="1:17" x14ac:dyDescent="0.75">
      <c r="A624" s="5">
        <v>229</v>
      </c>
      <c r="B624" s="55">
        <v>58.05</v>
      </c>
      <c r="C624" s="5" t="s">
        <v>4825</v>
      </c>
      <c r="D624" s="45" t="s">
        <v>1191</v>
      </c>
      <c r="E624" s="45" t="s">
        <v>1192</v>
      </c>
      <c r="F624" s="45" t="s">
        <v>1193</v>
      </c>
      <c r="G624" s="45" t="s">
        <v>1120</v>
      </c>
      <c r="H624" s="45" t="s">
        <v>1130</v>
      </c>
      <c r="I624" s="45" t="s">
        <v>1130</v>
      </c>
      <c r="J624" s="45" t="s">
        <v>4825</v>
      </c>
      <c r="K624" s="45" t="s">
        <v>5514</v>
      </c>
      <c r="L624" s="45" t="s">
        <v>1122</v>
      </c>
      <c r="M624" s="45" t="s">
        <v>1311</v>
      </c>
      <c r="N624" s="45" t="s">
        <v>1312</v>
      </c>
      <c r="O624" s="45" t="s">
        <v>1123</v>
      </c>
      <c r="P624" s="46" t="str">
        <f>HYPERLINK("https://cofre.sieg.com/ajax/danfe.aspx?nfe=26230142673834002313550010000002291000660405","Ver Danfe")</f>
        <v>Ver Danfe</v>
      </c>
      <c r="Q624" s="46" t="str">
        <f>HYPERLINK("https://cofre.sieg.com/ajax/xml.aspx?nfe=26230142673834002313550010000002291000660405","Baixar Xml")</f>
        <v>Baixar Xml</v>
      </c>
    </row>
    <row r="625" spans="1:17" x14ac:dyDescent="0.75">
      <c r="A625" s="5">
        <v>231</v>
      </c>
      <c r="B625" s="55">
        <v>102.08</v>
      </c>
      <c r="C625" s="5" t="s">
        <v>4846</v>
      </c>
      <c r="D625" s="45" t="s">
        <v>1191</v>
      </c>
      <c r="E625" s="45" t="s">
        <v>1192</v>
      </c>
      <c r="F625" s="45" t="s">
        <v>1193</v>
      </c>
      <c r="G625" s="45" t="s">
        <v>1120</v>
      </c>
      <c r="H625" s="45" t="s">
        <v>1130</v>
      </c>
      <c r="I625" s="45" t="s">
        <v>1130</v>
      </c>
      <c r="J625" s="45" t="s">
        <v>4846</v>
      </c>
      <c r="K625" s="45" t="s">
        <v>5515</v>
      </c>
      <c r="L625" s="45" t="s">
        <v>1122</v>
      </c>
      <c r="M625" s="45" t="s">
        <v>1311</v>
      </c>
      <c r="N625" s="45" t="s">
        <v>1312</v>
      </c>
      <c r="O625" s="45" t="s">
        <v>1123</v>
      </c>
      <c r="P625" s="46" t="str">
        <f>HYPERLINK("https://cofre.sieg.com/ajax/danfe.aspx?nfe=26230142673834002313550010000002311000688952","Ver Danfe")</f>
        <v>Ver Danfe</v>
      </c>
      <c r="Q625" s="46" t="str">
        <f>HYPERLINK("https://cofre.sieg.com/ajax/xml.aspx?nfe=26230142673834002313550010000002311000688952","Baixar Xml")</f>
        <v>Baixar Xml</v>
      </c>
    </row>
    <row r="626" spans="1:17" x14ac:dyDescent="0.75">
      <c r="A626" s="5">
        <v>232</v>
      </c>
      <c r="B626" s="55">
        <v>10.45</v>
      </c>
      <c r="C626" s="5" t="s">
        <v>4857</v>
      </c>
      <c r="D626" s="45" t="s">
        <v>1191</v>
      </c>
      <c r="E626" s="45" t="s">
        <v>1192</v>
      </c>
      <c r="F626" s="45" t="s">
        <v>1193</v>
      </c>
      <c r="G626" s="45" t="s">
        <v>1120</v>
      </c>
      <c r="H626" s="45" t="s">
        <v>1130</v>
      </c>
      <c r="I626" s="45" t="s">
        <v>1130</v>
      </c>
      <c r="J626" s="45" t="s">
        <v>4857</v>
      </c>
      <c r="K626" s="45" t="s">
        <v>5516</v>
      </c>
      <c r="L626" s="45" t="s">
        <v>1122</v>
      </c>
      <c r="M626" s="45"/>
      <c r="N626" s="45"/>
      <c r="O626" s="45" t="s">
        <v>1123</v>
      </c>
      <c r="P626" s="46" t="str">
        <f>HYPERLINK("https://cofre.sieg.com/ajax/danfe.aspx?nfe=26230142673834002313550010000002321000694330","Ver Danfe")</f>
        <v>Ver Danfe</v>
      </c>
      <c r="Q626" s="46" t="str">
        <f>HYPERLINK("https://cofre.sieg.com/ajax/xml.aspx?nfe=26230142673834002313550010000002321000694330","Baixar Xml")</f>
        <v>Baixar Xml</v>
      </c>
    </row>
    <row r="627" spans="1:17" x14ac:dyDescent="0.75">
      <c r="A627" s="5">
        <v>78199</v>
      </c>
      <c r="B627" s="55">
        <v>686.11</v>
      </c>
      <c r="C627" s="5" t="s">
        <v>4884</v>
      </c>
      <c r="D627" s="45" t="s">
        <v>5517</v>
      </c>
      <c r="E627" s="45" t="s">
        <v>5518</v>
      </c>
      <c r="F627" s="45" t="s">
        <v>5518</v>
      </c>
      <c r="G627" s="45" t="s">
        <v>1120</v>
      </c>
      <c r="H627" s="45" t="s">
        <v>5519</v>
      </c>
      <c r="I627" s="45" t="s">
        <v>5519</v>
      </c>
      <c r="J627" s="45" t="s">
        <v>4887</v>
      </c>
      <c r="K627" s="45" t="s">
        <v>5520</v>
      </c>
      <c r="L627" s="45" t="s">
        <v>1122</v>
      </c>
      <c r="M627" s="45" t="s">
        <v>1311</v>
      </c>
      <c r="N627" s="45" t="s">
        <v>1312</v>
      </c>
      <c r="O627" s="45" t="s">
        <v>1123</v>
      </c>
      <c r="P627" s="46" t="str">
        <f>HYPERLINK("https://cofre.sieg.com/ajax/danfe.aspx?nfe=26230143283811015858550010000781991604498527","Ver Danfe")</f>
        <v>Ver Danfe</v>
      </c>
      <c r="Q627" s="46" t="str">
        <f>HYPERLINK("https://cofre.sieg.com/ajax/xml.aspx?nfe=26230143283811015858550010000781991604498527","Baixar Xml")</f>
        <v>Baixar Xml</v>
      </c>
    </row>
    <row r="628" spans="1:17" x14ac:dyDescent="0.75">
      <c r="A628" s="5">
        <v>78200</v>
      </c>
      <c r="B628" s="55">
        <v>686.11</v>
      </c>
      <c r="C628" s="5" t="s">
        <v>4884</v>
      </c>
      <c r="D628" s="45" t="s">
        <v>5517</v>
      </c>
      <c r="E628" s="45" t="s">
        <v>5518</v>
      </c>
      <c r="F628" s="45" t="s">
        <v>5518</v>
      </c>
      <c r="G628" s="45" t="s">
        <v>1120</v>
      </c>
      <c r="H628" s="45" t="s">
        <v>5519</v>
      </c>
      <c r="I628" s="45" t="s">
        <v>5519</v>
      </c>
      <c r="J628" s="45" t="s">
        <v>4887</v>
      </c>
      <c r="K628" s="45" t="s">
        <v>5521</v>
      </c>
      <c r="L628" s="45" t="s">
        <v>1122</v>
      </c>
      <c r="M628" s="45" t="s">
        <v>1311</v>
      </c>
      <c r="N628" s="45" t="s">
        <v>1312</v>
      </c>
      <c r="O628" s="45" t="s">
        <v>1123</v>
      </c>
      <c r="P628" s="46" t="str">
        <f>HYPERLINK("https://cofre.sieg.com/ajax/danfe.aspx?nfe=26230143283811015858550010000782001604499160","Ver Danfe")</f>
        <v>Ver Danfe</v>
      </c>
      <c r="Q628" s="46" t="str">
        <f>HYPERLINK("https://cofre.sieg.com/ajax/xml.aspx?nfe=26230143283811015858550010000782001604499160","Baixar Xml")</f>
        <v>Baixar Xml</v>
      </c>
    </row>
    <row r="629" spans="1:17" x14ac:dyDescent="0.75">
      <c r="A629" s="5">
        <v>23532</v>
      </c>
      <c r="B629" s="55">
        <v>686.11</v>
      </c>
      <c r="C629" s="5" t="s">
        <v>4887</v>
      </c>
      <c r="D629" s="45" t="s">
        <v>5522</v>
      </c>
      <c r="E629" s="45" t="s">
        <v>5518</v>
      </c>
      <c r="F629" s="45" t="s">
        <v>5518</v>
      </c>
      <c r="G629" s="45" t="s">
        <v>1120</v>
      </c>
      <c r="H629" s="45" t="s">
        <v>5519</v>
      </c>
      <c r="I629" s="45" t="s">
        <v>5519</v>
      </c>
      <c r="J629" s="45" t="s">
        <v>4887</v>
      </c>
      <c r="K629" s="45" t="s">
        <v>5523</v>
      </c>
      <c r="L629" s="45" t="s">
        <v>1122</v>
      </c>
      <c r="M629" s="45" t="s">
        <v>1311</v>
      </c>
      <c r="N629" s="45" t="s">
        <v>1312</v>
      </c>
      <c r="O629" s="45" t="s">
        <v>1123</v>
      </c>
      <c r="P629" s="46" t="str">
        <f>HYPERLINK("https://cofre.sieg.com/ajax/danfe.aspx?nfe=26230143283811019250550010000235321604702913","Ver Danfe")</f>
        <v>Ver Danfe</v>
      </c>
      <c r="Q629" s="46" t="str">
        <f>HYPERLINK("https://cofre.sieg.com/ajax/xml.aspx?nfe=26230143283811019250550010000235321604702913","Baixar Xml")</f>
        <v>Baixar Xml</v>
      </c>
    </row>
    <row r="630" spans="1:17" x14ac:dyDescent="0.75">
      <c r="A630" s="5">
        <v>1396</v>
      </c>
      <c r="B630" s="55">
        <v>1405</v>
      </c>
      <c r="C630" s="5" t="s">
        <v>4825</v>
      </c>
      <c r="D630" s="45" t="s">
        <v>1194</v>
      </c>
      <c r="E630" s="45" t="s">
        <v>470</v>
      </c>
      <c r="F630" s="45" t="s">
        <v>470</v>
      </c>
      <c r="G630" s="45" t="s">
        <v>1120</v>
      </c>
      <c r="H630" s="45" t="s">
        <v>1121</v>
      </c>
      <c r="I630" s="45" t="s">
        <v>1121</v>
      </c>
      <c r="J630" s="45" t="s">
        <v>4825</v>
      </c>
      <c r="K630" s="45" t="s">
        <v>5524</v>
      </c>
      <c r="L630" s="45" t="s">
        <v>1122</v>
      </c>
      <c r="M630" s="45" t="s">
        <v>1311</v>
      </c>
      <c r="N630" s="45" t="s">
        <v>1312</v>
      </c>
      <c r="O630" s="45" t="s">
        <v>1123</v>
      </c>
      <c r="P630" s="46" t="str">
        <f>HYPERLINK("https://cofre.sieg.com/ajax/danfe.aspx?nfe=26230143919839000130550020000013961330299855","Ver Danfe")</f>
        <v>Ver Danfe</v>
      </c>
      <c r="Q630" s="46" t="str">
        <f>HYPERLINK("https://cofre.sieg.com/ajax/xml.aspx?nfe=26230143919839000130550020000013961330299855","Baixar Xml")</f>
        <v>Baixar Xml</v>
      </c>
    </row>
    <row r="631" spans="1:17" x14ac:dyDescent="0.75">
      <c r="A631" s="5">
        <v>1398</v>
      </c>
      <c r="B631" s="55">
        <v>1475</v>
      </c>
      <c r="C631" s="5" t="s">
        <v>4826</v>
      </c>
      <c r="D631" s="45" t="s">
        <v>1194</v>
      </c>
      <c r="E631" s="45" t="s">
        <v>470</v>
      </c>
      <c r="F631" s="45" t="s">
        <v>470</v>
      </c>
      <c r="G631" s="45" t="s">
        <v>1120</v>
      </c>
      <c r="H631" s="45" t="s">
        <v>1121</v>
      </c>
      <c r="I631" s="45" t="s">
        <v>1121</v>
      </c>
      <c r="J631" s="45" t="s">
        <v>4826</v>
      </c>
      <c r="K631" s="45" t="s">
        <v>5525</v>
      </c>
      <c r="L631" s="45" t="s">
        <v>1122</v>
      </c>
      <c r="M631" s="45"/>
      <c r="N631" s="45"/>
      <c r="O631" s="45" t="s">
        <v>1123</v>
      </c>
      <c r="P631" s="46" t="str">
        <f>HYPERLINK("https://cofre.sieg.com/ajax/danfe.aspx?nfe=26230143919839000130550020000013981368244750","Ver Danfe")</f>
        <v>Ver Danfe</v>
      </c>
      <c r="Q631" s="46" t="str">
        <f>HYPERLINK("https://cofre.sieg.com/ajax/xml.aspx?nfe=26230143919839000130550020000013981368244750","Baixar Xml")</f>
        <v>Baixar Xml</v>
      </c>
    </row>
    <row r="632" spans="1:17" x14ac:dyDescent="0.75">
      <c r="A632" s="5">
        <v>1409</v>
      </c>
      <c r="B632" s="55">
        <v>2385</v>
      </c>
      <c r="C632" s="5" t="s">
        <v>4839</v>
      </c>
      <c r="D632" s="45" t="s">
        <v>1194</v>
      </c>
      <c r="E632" s="45" t="s">
        <v>470</v>
      </c>
      <c r="F632" s="45" t="s">
        <v>470</v>
      </c>
      <c r="G632" s="45" t="s">
        <v>1120</v>
      </c>
      <c r="H632" s="45" t="s">
        <v>1121</v>
      </c>
      <c r="I632" s="45" t="s">
        <v>1121</v>
      </c>
      <c r="J632" s="45" t="s">
        <v>4839</v>
      </c>
      <c r="K632" s="45" t="s">
        <v>5526</v>
      </c>
      <c r="L632" s="45" t="s">
        <v>1122</v>
      </c>
      <c r="M632" s="45"/>
      <c r="N632" s="45"/>
      <c r="O632" s="45" t="s">
        <v>1123</v>
      </c>
      <c r="P632" s="46" t="str">
        <f>HYPERLINK("https://cofre.sieg.com/ajax/danfe.aspx?nfe=26230143919839000130550020000014091136982154","Ver Danfe")</f>
        <v>Ver Danfe</v>
      </c>
      <c r="Q632" s="46" t="str">
        <f>HYPERLINK("https://cofre.sieg.com/ajax/xml.aspx?nfe=26230143919839000130550020000014091136982154","Baixar Xml")</f>
        <v>Baixar Xml</v>
      </c>
    </row>
    <row r="633" spans="1:17" x14ac:dyDescent="0.75">
      <c r="A633" s="5">
        <v>1414</v>
      </c>
      <c r="B633" s="55">
        <v>1515</v>
      </c>
      <c r="C633" s="5" t="s">
        <v>4844</v>
      </c>
      <c r="D633" s="45" t="s">
        <v>1194</v>
      </c>
      <c r="E633" s="45" t="s">
        <v>470</v>
      </c>
      <c r="F633" s="45" t="s">
        <v>470</v>
      </c>
      <c r="G633" s="45" t="s">
        <v>1120</v>
      </c>
      <c r="H633" s="45" t="s">
        <v>1121</v>
      </c>
      <c r="I633" s="45" t="s">
        <v>1121</v>
      </c>
      <c r="J633" s="45" t="s">
        <v>4844</v>
      </c>
      <c r="K633" s="45" t="s">
        <v>5527</v>
      </c>
      <c r="L633" s="45" t="s">
        <v>1122</v>
      </c>
      <c r="M633" s="45"/>
      <c r="N633" s="45"/>
      <c r="O633" s="45" t="s">
        <v>1123</v>
      </c>
      <c r="P633" s="46" t="str">
        <f>HYPERLINK("https://cofre.sieg.com/ajax/danfe.aspx?nfe=26230143919839000130550020000014141313628218","Ver Danfe")</f>
        <v>Ver Danfe</v>
      </c>
      <c r="Q633" s="46" t="str">
        <f>HYPERLINK("https://cofre.sieg.com/ajax/xml.aspx?nfe=26230143919839000130550020000014141313628218","Baixar Xml")</f>
        <v>Baixar Xml</v>
      </c>
    </row>
    <row r="634" spans="1:17" x14ac:dyDescent="0.75">
      <c r="A634" s="5">
        <v>1418</v>
      </c>
      <c r="B634" s="55">
        <v>765</v>
      </c>
      <c r="C634" s="5" t="s">
        <v>4846</v>
      </c>
      <c r="D634" s="45" t="s">
        <v>1194</v>
      </c>
      <c r="E634" s="45" t="s">
        <v>470</v>
      </c>
      <c r="F634" s="45" t="s">
        <v>470</v>
      </c>
      <c r="G634" s="45" t="s">
        <v>1120</v>
      </c>
      <c r="H634" s="45" t="s">
        <v>1121</v>
      </c>
      <c r="I634" s="45" t="s">
        <v>1121</v>
      </c>
      <c r="J634" s="45" t="s">
        <v>4846</v>
      </c>
      <c r="K634" s="45" t="s">
        <v>5528</v>
      </c>
      <c r="L634" s="45" t="s">
        <v>1122</v>
      </c>
      <c r="M634" s="45" t="s">
        <v>1311</v>
      </c>
      <c r="N634" s="45" t="s">
        <v>1312</v>
      </c>
      <c r="O634" s="45" t="s">
        <v>1123</v>
      </c>
      <c r="P634" s="46" t="str">
        <f>HYPERLINK("https://cofre.sieg.com/ajax/danfe.aspx?nfe=26230143919839000130550020000014181138581865","Ver Danfe")</f>
        <v>Ver Danfe</v>
      </c>
      <c r="Q634" s="46" t="str">
        <f>HYPERLINK("https://cofre.sieg.com/ajax/xml.aspx?nfe=26230143919839000130550020000014181138581865","Baixar Xml")</f>
        <v>Baixar Xml</v>
      </c>
    </row>
    <row r="635" spans="1:17" x14ac:dyDescent="0.75">
      <c r="A635" s="5">
        <v>1424</v>
      </c>
      <c r="B635" s="55">
        <v>1215</v>
      </c>
      <c r="C635" s="5" t="s">
        <v>4857</v>
      </c>
      <c r="D635" s="45" t="s">
        <v>1194</v>
      </c>
      <c r="E635" s="45" t="s">
        <v>470</v>
      </c>
      <c r="F635" s="45" t="s">
        <v>470</v>
      </c>
      <c r="G635" s="45" t="s">
        <v>1120</v>
      </c>
      <c r="H635" s="45" t="s">
        <v>1121</v>
      </c>
      <c r="I635" s="45" t="s">
        <v>1121</v>
      </c>
      <c r="J635" s="45" t="s">
        <v>4857</v>
      </c>
      <c r="K635" s="45" t="s">
        <v>5529</v>
      </c>
      <c r="L635" s="45" t="s">
        <v>1122</v>
      </c>
      <c r="M635" s="45" t="s">
        <v>1311</v>
      </c>
      <c r="N635" s="45" t="s">
        <v>1312</v>
      </c>
      <c r="O635" s="45" t="s">
        <v>1123</v>
      </c>
      <c r="P635" s="46" t="str">
        <f>HYPERLINK("https://cofre.sieg.com/ajax/danfe.aspx?nfe=26230143919839000130550020000014241105160400","Ver Danfe")</f>
        <v>Ver Danfe</v>
      </c>
      <c r="Q635" s="46" t="str">
        <f>HYPERLINK("https://cofre.sieg.com/ajax/xml.aspx?nfe=26230143919839000130550020000014241105160400","Baixar Xml")</f>
        <v>Baixar Xml</v>
      </c>
    </row>
    <row r="636" spans="1:17" x14ac:dyDescent="0.75">
      <c r="A636" s="5">
        <v>1427</v>
      </c>
      <c r="B636" s="55">
        <v>1215</v>
      </c>
      <c r="C636" s="5" t="s">
        <v>4857</v>
      </c>
      <c r="D636" s="45" t="s">
        <v>1194</v>
      </c>
      <c r="E636" s="45" t="s">
        <v>470</v>
      </c>
      <c r="F636" s="45" t="s">
        <v>470</v>
      </c>
      <c r="G636" s="45" t="s">
        <v>1120</v>
      </c>
      <c r="H636" s="45" t="s">
        <v>1121</v>
      </c>
      <c r="I636" s="45" t="s">
        <v>1121</v>
      </c>
      <c r="J636" s="45" t="s">
        <v>4857</v>
      </c>
      <c r="K636" s="45" t="s">
        <v>5530</v>
      </c>
      <c r="L636" s="45" t="s">
        <v>1122</v>
      </c>
      <c r="M636" s="45" t="s">
        <v>1311</v>
      </c>
      <c r="N636" s="45" t="s">
        <v>1312</v>
      </c>
      <c r="O636" s="45" t="s">
        <v>1123</v>
      </c>
      <c r="P636" s="46" t="str">
        <f>HYPERLINK("https://cofre.sieg.com/ajax/danfe.aspx?nfe=26230143919839000130550020000014271573578014","Ver Danfe")</f>
        <v>Ver Danfe</v>
      </c>
      <c r="Q636" s="46" t="str">
        <f>HYPERLINK("https://cofre.sieg.com/ajax/xml.aspx?nfe=26230143919839000130550020000014271573578014","Baixar Xml")</f>
        <v>Baixar Xml</v>
      </c>
    </row>
    <row r="637" spans="1:17" x14ac:dyDescent="0.75">
      <c r="A637" s="5">
        <v>1434</v>
      </c>
      <c r="B637" s="55">
        <v>1310</v>
      </c>
      <c r="C637" s="5" t="s">
        <v>4861</v>
      </c>
      <c r="D637" s="45" t="s">
        <v>1194</v>
      </c>
      <c r="E637" s="45" t="s">
        <v>470</v>
      </c>
      <c r="F637" s="45" t="s">
        <v>470</v>
      </c>
      <c r="G637" s="45" t="s">
        <v>1120</v>
      </c>
      <c r="H637" s="45" t="s">
        <v>1121</v>
      </c>
      <c r="I637" s="45" t="s">
        <v>1121</v>
      </c>
      <c r="J637" s="45" t="s">
        <v>4873</v>
      </c>
      <c r="K637" s="45" t="s">
        <v>5531</v>
      </c>
      <c r="L637" s="45" t="s">
        <v>1122</v>
      </c>
      <c r="M637" s="45" t="s">
        <v>1311</v>
      </c>
      <c r="N637" s="45" t="s">
        <v>1312</v>
      </c>
      <c r="O637" s="45" t="s">
        <v>1123</v>
      </c>
      <c r="P637" s="46" t="str">
        <f>HYPERLINK("https://cofre.sieg.com/ajax/danfe.aspx?nfe=26230143919839000130550020000014341647487828","Ver Danfe")</f>
        <v>Ver Danfe</v>
      </c>
      <c r="Q637" s="46" t="str">
        <f>HYPERLINK("https://cofre.sieg.com/ajax/xml.aspx?nfe=26230143919839000130550020000014341647487828","Baixar Xml")</f>
        <v>Baixar Xml</v>
      </c>
    </row>
    <row r="638" spans="1:17" x14ac:dyDescent="0.75">
      <c r="A638" s="5">
        <v>1447</v>
      </c>
      <c r="B638" s="55">
        <v>390</v>
      </c>
      <c r="C638" s="5" t="s">
        <v>4862</v>
      </c>
      <c r="D638" s="45" t="s">
        <v>1194</v>
      </c>
      <c r="E638" s="45" t="s">
        <v>470</v>
      </c>
      <c r="F638" s="45" t="s">
        <v>470</v>
      </c>
      <c r="G638" s="45" t="s">
        <v>1120</v>
      </c>
      <c r="H638" s="45" t="s">
        <v>1121</v>
      </c>
      <c r="I638" s="45" t="s">
        <v>1121</v>
      </c>
      <c r="J638" s="45" t="s">
        <v>4862</v>
      </c>
      <c r="K638" s="45" t="s">
        <v>5532</v>
      </c>
      <c r="L638" s="45" t="s">
        <v>1122</v>
      </c>
      <c r="M638" s="45"/>
      <c r="N638" s="45"/>
      <c r="O638" s="45" t="s">
        <v>1123</v>
      </c>
      <c r="P638" s="46" t="str">
        <f>HYPERLINK("https://cofre.sieg.com/ajax/danfe.aspx?nfe=26230143919839000130550020000014471536675241","Ver Danfe")</f>
        <v>Ver Danfe</v>
      </c>
      <c r="Q638" s="46" t="str">
        <f>HYPERLINK("https://cofre.sieg.com/ajax/xml.aspx?nfe=26230143919839000130550020000014471536675241","Baixar Xml")</f>
        <v>Baixar Xml</v>
      </c>
    </row>
    <row r="639" spans="1:17" x14ac:dyDescent="0.75">
      <c r="A639" s="5">
        <v>1449</v>
      </c>
      <c r="B639" s="55">
        <v>975</v>
      </c>
      <c r="C639" s="5" t="s">
        <v>4866</v>
      </c>
      <c r="D639" s="45" t="s">
        <v>1194</v>
      </c>
      <c r="E639" s="45" t="s">
        <v>470</v>
      </c>
      <c r="F639" s="45" t="s">
        <v>470</v>
      </c>
      <c r="G639" s="45" t="s">
        <v>1120</v>
      </c>
      <c r="H639" s="45" t="s">
        <v>1121</v>
      </c>
      <c r="I639" s="45" t="s">
        <v>1121</v>
      </c>
      <c r="J639" s="45" t="s">
        <v>4866</v>
      </c>
      <c r="K639" s="45" t="s">
        <v>5533</v>
      </c>
      <c r="L639" s="45" t="s">
        <v>1122</v>
      </c>
      <c r="M639" s="45" t="s">
        <v>1311</v>
      </c>
      <c r="N639" s="45" t="s">
        <v>1312</v>
      </c>
      <c r="O639" s="45" t="s">
        <v>1123</v>
      </c>
      <c r="P639" s="46" t="str">
        <f>HYPERLINK("https://cofre.sieg.com/ajax/danfe.aspx?nfe=26230143919839000130550020000014491087321191","Ver Danfe")</f>
        <v>Ver Danfe</v>
      </c>
      <c r="Q639" s="46" t="str">
        <f>HYPERLINK("https://cofre.sieg.com/ajax/xml.aspx?nfe=26230143919839000130550020000014491087321191","Baixar Xml")</f>
        <v>Baixar Xml</v>
      </c>
    </row>
    <row r="640" spans="1:17" x14ac:dyDescent="0.75">
      <c r="A640" s="5">
        <v>1459</v>
      </c>
      <c r="B640" s="55">
        <v>800</v>
      </c>
      <c r="C640" s="5" t="s">
        <v>4873</v>
      </c>
      <c r="D640" s="45" t="s">
        <v>1194</v>
      </c>
      <c r="E640" s="45" t="s">
        <v>470</v>
      </c>
      <c r="F640" s="45" t="s">
        <v>470</v>
      </c>
      <c r="G640" s="45" t="s">
        <v>1120</v>
      </c>
      <c r="H640" s="45" t="s">
        <v>1121</v>
      </c>
      <c r="I640" s="45" t="s">
        <v>1121</v>
      </c>
      <c r="J640" s="45" t="s">
        <v>4873</v>
      </c>
      <c r="K640" s="45" t="s">
        <v>5534</v>
      </c>
      <c r="L640" s="45" t="s">
        <v>1122</v>
      </c>
      <c r="M640" s="45"/>
      <c r="N640" s="45"/>
      <c r="O640" s="45" t="s">
        <v>1123</v>
      </c>
      <c r="P640" s="46" t="str">
        <f>HYPERLINK("https://cofre.sieg.com/ajax/danfe.aspx?nfe=26230143919839000130550020000014591031629740","Ver Danfe")</f>
        <v>Ver Danfe</v>
      </c>
      <c r="Q640" s="46" t="str">
        <f>HYPERLINK("https://cofre.sieg.com/ajax/xml.aspx?nfe=26230143919839000130550020000014591031629740","Baixar Xml")</f>
        <v>Baixar Xml</v>
      </c>
    </row>
    <row r="641" spans="1:17" x14ac:dyDescent="0.75">
      <c r="A641" s="5">
        <v>1465</v>
      </c>
      <c r="B641" s="55">
        <v>1108</v>
      </c>
      <c r="C641" s="5" t="s">
        <v>4877</v>
      </c>
      <c r="D641" s="45" t="s">
        <v>1194</v>
      </c>
      <c r="E641" s="45" t="s">
        <v>470</v>
      </c>
      <c r="F641" s="45" t="s">
        <v>470</v>
      </c>
      <c r="G641" s="45" t="s">
        <v>1120</v>
      </c>
      <c r="H641" s="45" t="s">
        <v>1121</v>
      </c>
      <c r="I641" s="45" t="s">
        <v>1121</v>
      </c>
      <c r="J641" s="45" t="s">
        <v>4877</v>
      </c>
      <c r="K641" s="45" t="s">
        <v>5535</v>
      </c>
      <c r="L641" s="45" t="s">
        <v>1122</v>
      </c>
      <c r="M641" s="45" t="s">
        <v>1311</v>
      </c>
      <c r="N641" s="45" t="s">
        <v>1312</v>
      </c>
      <c r="O641" s="45" t="s">
        <v>1123</v>
      </c>
      <c r="P641" s="46" t="str">
        <f>HYPERLINK("https://cofre.sieg.com/ajax/danfe.aspx?nfe=26230143919839000130550020000014651016279897","Ver Danfe")</f>
        <v>Ver Danfe</v>
      </c>
      <c r="Q641" s="46" t="str">
        <f>HYPERLINK("https://cofre.sieg.com/ajax/xml.aspx?nfe=26230143919839000130550020000014651016279897","Baixar Xml")</f>
        <v>Baixar Xml</v>
      </c>
    </row>
    <row r="642" spans="1:17" x14ac:dyDescent="0.75">
      <c r="A642" s="5">
        <v>1473</v>
      </c>
      <c r="B642" s="55">
        <v>960</v>
      </c>
      <c r="C642" s="5" t="s">
        <v>4883</v>
      </c>
      <c r="D642" s="45" t="s">
        <v>1194</v>
      </c>
      <c r="E642" s="45" t="s">
        <v>470</v>
      </c>
      <c r="F642" s="45" t="s">
        <v>470</v>
      </c>
      <c r="G642" s="45" t="s">
        <v>1120</v>
      </c>
      <c r="H642" s="45" t="s">
        <v>1121</v>
      </c>
      <c r="I642" s="45" t="s">
        <v>1121</v>
      </c>
      <c r="J642" s="45" t="s">
        <v>4883</v>
      </c>
      <c r="K642" s="45" t="s">
        <v>5536</v>
      </c>
      <c r="L642" s="45" t="s">
        <v>1122</v>
      </c>
      <c r="M642" s="45"/>
      <c r="N642" s="45"/>
      <c r="O642" s="45" t="s">
        <v>1123</v>
      </c>
      <c r="P642" s="46" t="str">
        <f>HYPERLINK("https://cofre.sieg.com/ajax/danfe.aspx?nfe=26230143919839000130550020000014731472112993","Ver Danfe")</f>
        <v>Ver Danfe</v>
      </c>
      <c r="Q642" s="46" t="str">
        <f>HYPERLINK("https://cofre.sieg.com/ajax/xml.aspx?nfe=26230143919839000130550020000014731472112993","Baixar Xml")</f>
        <v>Baixar Xml</v>
      </c>
    </row>
    <row r="643" spans="1:17" x14ac:dyDescent="0.75">
      <c r="A643" s="5">
        <v>1480</v>
      </c>
      <c r="B643" s="55">
        <v>1089</v>
      </c>
      <c r="C643" s="5" t="s">
        <v>4884</v>
      </c>
      <c r="D643" s="45" t="s">
        <v>1194</v>
      </c>
      <c r="E643" s="45" t="s">
        <v>470</v>
      </c>
      <c r="F643" s="45" t="s">
        <v>470</v>
      </c>
      <c r="G643" s="45" t="s">
        <v>1120</v>
      </c>
      <c r="H643" s="45" t="s">
        <v>1121</v>
      </c>
      <c r="I643" s="45" t="s">
        <v>1121</v>
      </c>
      <c r="J643" s="45" t="s">
        <v>4884</v>
      </c>
      <c r="K643" s="45" t="s">
        <v>5537</v>
      </c>
      <c r="L643" s="45" t="s">
        <v>1122</v>
      </c>
      <c r="M643" s="45"/>
      <c r="N643" s="45"/>
      <c r="O643" s="45" t="s">
        <v>1123</v>
      </c>
      <c r="P643" s="46" t="str">
        <f>HYPERLINK("https://cofre.sieg.com/ajax/danfe.aspx?nfe=26230143919839000130550020000014801693289874","Ver Danfe")</f>
        <v>Ver Danfe</v>
      </c>
      <c r="Q643" s="46" t="str">
        <f>HYPERLINK("https://cofre.sieg.com/ajax/xml.aspx?nfe=26230143919839000130550020000014801693289874","Baixar Xml")</f>
        <v>Baixar Xml</v>
      </c>
    </row>
    <row r="644" spans="1:17" x14ac:dyDescent="0.75">
      <c r="A644" s="5">
        <v>1489</v>
      </c>
      <c r="B644" s="55">
        <v>268</v>
      </c>
      <c r="C644" s="5" t="s">
        <v>4887</v>
      </c>
      <c r="D644" s="45" t="s">
        <v>1194</v>
      </c>
      <c r="E644" s="45" t="s">
        <v>470</v>
      </c>
      <c r="F644" s="45" t="s">
        <v>470</v>
      </c>
      <c r="G644" s="45" t="s">
        <v>1120</v>
      </c>
      <c r="H644" s="45" t="s">
        <v>1121</v>
      </c>
      <c r="I644" s="45" t="s">
        <v>1121</v>
      </c>
      <c r="J644" s="45" t="s">
        <v>4887</v>
      </c>
      <c r="K644" s="45" t="s">
        <v>5538</v>
      </c>
      <c r="L644" s="45" t="s">
        <v>1122</v>
      </c>
      <c r="M644" s="45"/>
      <c r="N644" s="45"/>
      <c r="O644" s="45" t="s">
        <v>1123</v>
      </c>
      <c r="P644" s="46" t="str">
        <f>HYPERLINK("https://cofre.sieg.com/ajax/danfe.aspx?nfe=26230143919839000130550020000014891113882359","Ver Danfe")</f>
        <v>Ver Danfe</v>
      </c>
      <c r="Q644" s="46" t="str">
        <f>HYPERLINK("https://cofre.sieg.com/ajax/xml.aspx?nfe=26230143919839000130550020000014891113882359","Baixar Xml")</f>
        <v>Baixar Xml</v>
      </c>
    </row>
    <row r="645" spans="1:17" x14ac:dyDescent="0.75">
      <c r="A645" s="5">
        <v>1497</v>
      </c>
      <c r="B645" s="55">
        <v>1072</v>
      </c>
      <c r="C645" s="5" t="s">
        <v>4891</v>
      </c>
      <c r="D645" s="45" t="s">
        <v>1194</v>
      </c>
      <c r="E645" s="45" t="s">
        <v>470</v>
      </c>
      <c r="F645" s="45" t="s">
        <v>470</v>
      </c>
      <c r="G645" s="45" t="s">
        <v>1120</v>
      </c>
      <c r="H645" s="45" t="s">
        <v>1121</v>
      </c>
      <c r="I645" s="45" t="s">
        <v>1121</v>
      </c>
      <c r="J645" s="45" t="s">
        <v>4891</v>
      </c>
      <c r="K645" s="45" t="s">
        <v>5539</v>
      </c>
      <c r="L645" s="45" t="s">
        <v>1122</v>
      </c>
      <c r="M645" s="45" t="s">
        <v>1311</v>
      </c>
      <c r="N645" s="45" t="s">
        <v>1312</v>
      </c>
      <c r="O645" s="45" t="s">
        <v>1123</v>
      </c>
      <c r="P645" s="46" t="str">
        <f>HYPERLINK("https://cofre.sieg.com/ajax/danfe.aspx?nfe=26230143919839000130550020000014971913725551","Ver Danfe")</f>
        <v>Ver Danfe</v>
      </c>
      <c r="Q645" s="46" t="str">
        <f>HYPERLINK("https://cofre.sieg.com/ajax/xml.aspx?nfe=26230143919839000130550020000014971913725551","Baixar Xml")</f>
        <v>Baixar Xml</v>
      </c>
    </row>
    <row r="646" spans="1:17" x14ac:dyDescent="0.75">
      <c r="A646" s="5">
        <v>1500</v>
      </c>
      <c r="B646" s="55">
        <v>500</v>
      </c>
      <c r="C646" s="5" t="s">
        <v>4891</v>
      </c>
      <c r="D646" s="45" t="s">
        <v>1194</v>
      </c>
      <c r="E646" s="45" t="s">
        <v>470</v>
      </c>
      <c r="F646" s="45" t="s">
        <v>470</v>
      </c>
      <c r="G646" s="45" t="s">
        <v>1120</v>
      </c>
      <c r="H646" s="45" t="s">
        <v>1121</v>
      </c>
      <c r="I646" s="45" t="s">
        <v>1121</v>
      </c>
      <c r="J646" s="45" t="s">
        <v>4891</v>
      </c>
      <c r="K646" s="45" t="s">
        <v>5540</v>
      </c>
      <c r="L646" s="45" t="s">
        <v>1122</v>
      </c>
      <c r="M646" s="45" t="s">
        <v>1311</v>
      </c>
      <c r="N646" s="45" t="s">
        <v>1312</v>
      </c>
      <c r="O646" s="45" t="s">
        <v>1123</v>
      </c>
      <c r="P646" s="46" t="str">
        <f>HYPERLINK("https://cofre.sieg.com/ajax/danfe.aspx?nfe=26230143919839000130550020000015001373298486","Ver Danfe")</f>
        <v>Ver Danfe</v>
      </c>
      <c r="Q646" s="46" t="str">
        <f>HYPERLINK("https://cofre.sieg.com/ajax/xml.aspx?nfe=26230143919839000130550020000015001373298486","Baixar Xml")</f>
        <v>Baixar Xml</v>
      </c>
    </row>
    <row r="647" spans="1:17" x14ac:dyDescent="0.75">
      <c r="A647" s="5">
        <v>1506</v>
      </c>
      <c r="B647" s="55">
        <v>444</v>
      </c>
      <c r="C647" s="5" t="s">
        <v>4899</v>
      </c>
      <c r="D647" s="45" t="s">
        <v>1194</v>
      </c>
      <c r="E647" s="45" t="s">
        <v>470</v>
      </c>
      <c r="F647" s="45" t="s">
        <v>470</v>
      </c>
      <c r="G647" s="45" t="s">
        <v>1120</v>
      </c>
      <c r="H647" s="45" t="s">
        <v>1121</v>
      </c>
      <c r="I647" s="45" t="s">
        <v>1121</v>
      </c>
      <c r="J647" s="45" t="s">
        <v>4899</v>
      </c>
      <c r="K647" s="45" t="s">
        <v>5541</v>
      </c>
      <c r="L647" s="45" t="s">
        <v>1122</v>
      </c>
      <c r="M647" s="45" t="s">
        <v>1311</v>
      </c>
      <c r="N647" s="45" t="s">
        <v>1312</v>
      </c>
      <c r="O647" s="45" t="s">
        <v>1123</v>
      </c>
      <c r="P647" s="46" t="str">
        <f>HYPERLINK("https://cofre.sieg.com/ajax/danfe.aspx?nfe=26230143919839000130550020000015061292985762","Ver Danfe")</f>
        <v>Ver Danfe</v>
      </c>
      <c r="Q647" s="46" t="str">
        <f>HYPERLINK("https://cofre.sieg.com/ajax/xml.aspx?nfe=26230143919839000130550020000015061292985762","Baixar Xml")</f>
        <v>Baixar Xml</v>
      </c>
    </row>
    <row r="648" spans="1:17" x14ac:dyDescent="0.75">
      <c r="A648" s="5">
        <v>1511</v>
      </c>
      <c r="B648" s="55">
        <v>632.5</v>
      </c>
      <c r="C648" s="5" t="s">
        <v>4900</v>
      </c>
      <c r="D648" s="45" t="s">
        <v>1194</v>
      </c>
      <c r="E648" s="45" t="s">
        <v>470</v>
      </c>
      <c r="F648" s="45" t="s">
        <v>470</v>
      </c>
      <c r="G648" s="45" t="s">
        <v>1120</v>
      </c>
      <c r="H648" s="45" t="s">
        <v>1121</v>
      </c>
      <c r="I648" s="45" t="s">
        <v>1121</v>
      </c>
      <c r="J648" s="45" t="s">
        <v>4900</v>
      </c>
      <c r="K648" s="45" t="s">
        <v>5542</v>
      </c>
      <c r="L648" s="45" t="s">
        <v>1122</v>
      </c>
      <c r="M648" s="45"/>
      <c r="N648" s="45"/>
      <c r="O648" s="45" t="s">
        <v>1123</v>
      </c>
      <c r="P648" s="46" t="str">
        <f>HYPERLINK("https://cofre.sieg.com/ajax/danfe.aspx?nfe=26230143919839000130550020000015111053389700","Ver Danfe")</f>
        <v>Ver Danfe</v>
      </c>
      <c r="Q648" s="46" t="str">
        <f>HYPERLINK("https://cofre.sieg.com/ajax/xml.aspx?nfe=26230143919839000130550020000015111053389700","Baixar Xml")</f>
        <v>Baixar Xml</v>
      </c>
    </row>
    <row r="649" spans="1:17" x14ac:dyDescent="0.75">
      <c r="A649" s="5">
        <v>1524</v>
      </c>
      <c r="B649" s="55">
        <v>480</v>
      </c>
      <c r="C649" s="5" t="s">
        <v>4907</v>
      </c>
      <c r="D649" s="45" t="s">
        <v>1194</v>
      </c>
      <c r="E649" s="45" t="s">
        <v>470</v>
      </c>
      <c r="F649" s="45" t="s">
        <v>470</v>
      </c>
      <c r="G649" s="45" t="s">
        <v>1120</v>
      </c>
      <c r="H649" s="45" t="s">
        <v>1121</v>
      </c>
      <c r="I649" s="45" t="s">
        <v>1121</v>
      </c>
      <c r="J649" s="45" t="s">
        <v>4907</v>
      </c>
      <c r="K649" s="45" t="s">
        <v>5543</v>
      </c>
      <c r="L649" s="45" t="s">
        <v>1122</v>
      </c>
      <c r="M649" s="45"/>
      <c r="N649" s="45"/>
      <c r="O649" s="45" t="s">
        <v>1123</v>
      </c>
      <c r="P649" s="46" t="str">
        <f>HYPERLINK("https://cofre.sieg.com/ajax/danfe.aspx?nfe=26230143919839000130550020000015241651582766","Ver Danfe")</f>
        <v>Ver Danfe</v>
      </c>
      <c r="Q649" s="46" t="str">
        <f>HYPERLINK("https://cofre.sieg.com/ajax/xml.aspx?nfe=26230143919839000130550020000015241651582766","Baixar Xml")</f>
        <v>Baixar Xml</v>
      </c>
    </row>
    <row r="650" spans="1:17" x14ac:dyDescent="0.75">
      <c r="A650" s="5">
        <v>1528</v>
      </c>
      <c r="B650" s="55">
        <v>550</v>
      </c>
      <c r="C650" s="5" t="s">
        <v>4908</v>
      </c>
      <c r="D650" s="45" t="s">
        <v>1194</v>
      </c>
      <c r="E650" s="45" t="s">
        <v>470</v>
      </c>
      <c r="F650" s="45" t="s">
        <v>470</v>
      </c>
      <c r="G650" s="45" t="s">
        <v>1120</v>
      </c>
      <c r="H650" s="45" t="s">
        <v>1121</v>
      </c>
      <c r="I650" s="45" t="s">
        <v>1121</v>
      </c>
      <c r="J650" s="45" t="s">
        <v>4908</v>
      </c>
      <c r="K650" s="45" t="s">
        <v>5544</v>
      </c>
      <c r="L650" s="45" t="s">
        <v>1122</v>
      </c>
      <c r="M650" s="45"/>
      <c r="N650" s="45"/>
      <c r="O650" s="45" t="s">
        <v>1123</v>
      </c>
      <c r="P650" s="46" t="str">
        <f>HYPERLINK("https://cofre.sieg.com/ajax/danfe.aspx?nfe=26230143919839000130550020000015281421038559","Ver Danfe")</f>
        <v>Ver Danfe</v>
      </c>
      <c r="Q650" s="46" t="str">
        <f>HYPERLINK("https://cofre.sieg.com/ajax/xml.aspx?nfe=26230143919839000130550020000015281421038559","Baixar Xml")</f>
        <v>Baixar Xml</v>
      </c>
    </row>
    <row r="651" spans="1:17" x14ac:dyDescent="0.75">
      <c r="A651" s="5">
        <v>1529</v>
      </c>
      <c r="B651" s="55">
        <v>210</v>
      </c>
      <c r="C651" s="5" t="s">
        <v>4908</v>
      </c>
      <c r="D651" s="45" t="s">
        <v>1194</v>
      </c>
      <c r="E651" s="45" t="s">
        <v>470</v>
      </c>
      <c r="F651" s="45" t="s">
        <v>470</v>
      </c>
      <c r="G651" s="45" t="s">
        <v>1120</v>
      </c>
      <c r="H651" s="45" t="s">
        <v>1121</v>
      </c>
      <c r="I651" s="45" t="s">
        <v>1121</v>
      </c>
      <c r="J651" s="45" t="s">
        <v>4908</v>
      </c>
      <c r="K651" s="45" t="s">
        <v>5545</v>
      </c>
      <c r="L651" s="45" t="s">
        <v>1122</v>
      </c>
      <c r="M651" s="45" t="s">
        <v>1311</v>
      </c>
      <c r="N651" s="45" t="s">
        <v>1312</v>
      </c>
      <c r="O651" s="45" t="s">
        <v>1123</v>
      </c>
      <c r="P651" s="46" t="str">
        <f>HYPERLINK("https://cofre.sieg.com/ajax/danfe.aspx?nfe=26230143919839000130550020000015291572191612","Ver Danfe")</f>
        <v>Ver Danfe</v>
      </c>
      <c r="Q651" s="46" t="str">
        <f>HYPERLINK("https://cofre.sieg.com/ajax/xml.aspx?nfe=26230143919839000130550020000015291572191612","Baixar Xml")</f>
        <v>Baixar Xml</v>
      </c>
    </row>
    <row r="652" spans="1:17" x14ac:dyDescent="0.75">
      <c r="A652" s="5">
        <v>1535</v>
      </c>
      <c r="B652" s="55">
        <v>925</v>
      </c>
      <c r="C652" s="5" t="s">
        <v>4912</v>
      </c>
      <c r="D652" s="45" t="s">
        <v>1194</v>
      </c>
      <c r="E652" s="45" t="s">
        <v>470</v>
      </c>
      <c r="F652" s="45" t="s">
        <v>470</v>
      </c>
      <c r="G652" s="45" t="s">
        <v>1120</v>
      </c>
      <c r="H652" s="45" t="s">
        <v>1121</v>
      </c>
      <c r="I652" s="45" t="s">
        <v>1121</v>
      </c>
      <c r="J652" s="45" t="s">
        <v>4912</v>
      </c>
      <c r="K652" s="45" t="s">
        <v>5546</v>
      </c>
      <c r="L652" s="45" t="s">
        <v>1122</v>
      </c>
      <c r="M652" s="45"/>
      <c r="N652" s="45"/>
      <c r="O652" s="45" t="s">
        <v>1123</v>
      </c>
      <c r="P652" s="46" t="str">
        <f>HYPERLINK("https://cofre.sieg.com/ajax/danfe.aspx?nfe=26230143919839000130550020000015351421099625","Ver Danfe")</f>
        <v>Ver Danfe</v>
      </c>
      <c r="Q652" s="46" t="str">
        <f>HYPERLINK("https://cofre.sieg.com/ajax/xml.aspx?nfe=26230143919839000130550020000015351421099625","Baixar Xml")</f>
        <v>Baixar Xml</v>
      </c>
    </row>
    <row r="653" spans="1:17" x14ac:dyDescent="0.75">
      <c r="A653" s="5">
        <v>1545</v>
      </c>
      <c r="B653" s="55">
        <v>470</v>
      </c>
      <c r="C653" s="5" t="s">
        <v>4919</v>
      </c>
      <c r="D653" s="45" t="s">
        <v>1194</v>
      </c>
      <c r="E653" s="45" t="s">
        <v>470</v>
      </c>
      <c r="F653" s="45" t="s">
        <v>470</v>
      </c>
      <c r="G653" s="45" t="s">
        <v>1120</v>
      </c>
      <c r="H653" s="45" t="s">
        <v>1121</v>
      </c>
      <c r="I653" s="45" t="s">
        <v>1121</v>
      </c>
      <c r="J653" s="45" t="s">
        <v>4919</v>
      </c>
      <c r="K653" s="45" t="s">
        <v>5547</v>
      </c>
      <c r="L653" s="45" t="s">
        <v>1122</v>
      </c>
      <c r="M653" s="45"/>
      <c r="N653" s="45"/>
      <c r="O653" s="45" t="s">
        <v>1123</v>
      </c>
      <c r="P653" s="46" t="str">
        <f>HYPERLINK("https://cofre.sieg.com/ajax/danfe.aspx?nfe=26230143919839000130550020000015451038916175","Ver Danfe")</f>
        <v>Ver Danfe</v>
      </c>
      <c r="Q653" s="46" t="str">
        <f>HYPERLINK("https://cofre.sieg.com/ajax/xml.aspx?nfe=26230143919839000130550020000015451038916175","Baixar Xml")</f>
        <v>Baixar Xml</v>
      </c>
    </row>
    <row r="654" spans="1:17" x14ac:dyDescent="0.75">
      <c r="A654" s="5">
        <v>1558</v>
      </c>
      <c r="B654" s="55">
        <v>550</v>
      </c>
      <c r="C654" s="5" t="s">
        <v>4930</v>
      </c>
      <c r="D654" s="45" t="s">
        <v>1194</v>
      </c>
      <c r="E654" s="45" t="s">
        <v>470</v>
      </c>
      <c r="F654" s="45" t="s">
        <v>470</v>
      </c>
      <c r="G654" s="45" t="s">
        <v>1120</v>
      </c>
      <c r="H654" s="45" t="s">
        <v>1121</v>
      </c>
      <c r="I654" s="45" t="s">
        <v>1121</v>
      </c>
      <c r="J654" s="45" t="s">
        <v>4930</v>
      </c>
      <c r="K654" s="45" t="s">
        <v>5548</v>
      </c>
      <c r="L654" s="45" t="s">
        <v>1122</v>
      </c>
      <c r="M654" s="45"/>
      <c r="N654" s="45"/>
      <c r="O654" s="45" t="s">
        <v>1123</v>
      </c>
      <c r="P654" s="46" t="str">
        <f>HYPERLINK("https://cofre.sieg.com/ajax/danfe.aspx?nfe=26230143919839000130550020000015581316945788","Ver Danfe")</f>
        <v>Ver Danfe</v>
      </c>
      <c r="Q654" s="46" t="str">
        <f>HYPERLINK("https://cofre.sieg.com/ajax/xml.aspx?nfe=26230143919839000130550020000015581316945788","Baixar Xml")</f>
        <v>Baixar Xml</v>
      </c>
    </row>
    <row r="655" spans="1:17" x14ac:dyDescent="0.75">
      <c r="A655" s="5">
        <v>1563</v>
      </c>
      <c r="B655" s="55">
        <v>1675</v>
      </c>
      <c r="C655" s="5" t="s">
        <v>4937</v>
      </c>
      <c r="D655" s="45" t="s">
        <v>1194</v>
      </c>
      <c r="E655" s="45" t="s">
        <v>470</v>
      </c>
      <c r="F655" s="45" t="s">
        <v>470</v>
      </c>
      <c r="G655" s="45" t="s">
        <v>1120</v>
      </c>
      <c r="H655" s="45" t="s">
        <v>1121</v>
      </c>
      <c r="I655" s="45" t="s">
        <v>1121</v>
      </c>
      <c r="J655" s="45" t="s">
        <v>4937</v>
      </c>
      <c r="K655" s="45" t="s">
        <v>5549</v>
      </c>
      <c r="L655" s="45" t="s">
        <v>1122</v>
      </c>
      <c r="M655" s="45"/>
      <c r="N655" s="45"/>
      <c r="O655" s="45" t="s">
        <v>1123</v>
      </c>
      <c r="P655" s="46" t="str">
        <f>HYPERLINK("https://cofre.sieg.com/ajax/danfe.aspx?nfe=26230143919839000130550020000015631134156206","Ver Danfe")</f>
        <v>Ver Danfe</v>
      </c>
      <c r="Q655" s="46" t="str">
        <f>HYPERLINK("https://cofre.sieg.com/ajax/xml.aspx?nfe=26230143919839000130550020000015631134156206","Baixar Xml")</f>
        <v>Baixar Xml</v>
      </c>
    </row>
    <row r="656" spans="1:17" x14ac:dyDescent="0.75">
      <c r="A656" s="5">
        <v>1574</v>
      </c>
      <c r="B656" s="55">
        <v>935</v>
      </c>
      <c r="C656" s="5" t="s">
        <v>4938</v>
      </c>
      <c r="D656" s="45" t="s">
        <v>1194</v>
      </c>
      <c r="E656" s="45" t="s">
        <v>470</v>
      </c>
      <c r="F656" s="45" t="s">
        <v>470</v>
      </c>
      <c r="G656" s="45" t="s">
        <v>1120</v>
      </c>
      <c r="H656" s="45" t="s">
        <v>1121</v>
      </c>
      <c r="I656" s="45" t="s">
        <v>1121</v>
      </c>
      <c r="J656" s="45" t="s">
        <v>4938</v>
      </c>
      <c r="K656" s="45" t="s">
        <v>5550</v>
      </c>
      <c r="L656" s="45" t="s">
        <v>1122</v>
      </c>
      <c r="M656" s="45" t="s">
        <v>1311</v>
      </c>
      <c r="N656" s="45" t="s">
        <v>1312</v>
      </c>
      <c r="O656" s="45" t="s">
        <v>1123</v>
      </c>
      <c r="P656" s="46" t="str">
        <f>HYPERLINK("https://cofre.sieg.com/ajax/danfe.aspx?nfe=26230143919839000130550020000015741361129750","Ver Danfe")</f>
        <v>Ver Danfe</v>
      </c>
      <c r="Q656" s="46" t="str">
        <f>HYPERLINK("https://cofre.sieg.com/ajax/xml.aspx?nfe=26230143919839000130550020000015741361129750","Baixar Xml")</f>
        <v>Baixar Xml</v>
      </c>
    </row>
    <row r="657" spans="1:17" x14ac:dyDescent="0.75">
      <c r="A657" s="5">
        <v>50</v>
      </c>
      <c r="B657" s="55">
        <v>1809</v>
      </c>
      <c r="C657" s="5" t="s">
        <v>4846</v>
      </c>
      <c r="D657" s="45" t="s">
        <v>4885</v>
      </c>
      <c r="E657" s="45" t="s">
        <v>5551</v>
      </c>
      <c r="F657" s="45" t="s">
        <v>1354</v>
      </c>
      <c r="G657" s="45" t="s">
        <v>1120</v>
      </c>
      <c r="H657" s="45" t="s">
        <v>1130</v>
      </c>
      <c r="I657" s="45" t="s">
        <v>1130</v>
      </c>
      <c r="J657" s="45" t="s">
        <v>4846</v>
      </c>
      <c r="K657" s="45" t="s">
        <v>5552</v>
      </c>
      <c r="L657" s="45" t="s">
        <v>1122</v>
      </c>
      <c r="M657" s="45" t="s">
        <v>1311</v>
      </c>
      <c r="N657" s="45" t="s">
        <v>1312</v>
      </c>
      <c r="O657" s="45" t="s">
        <v>1123</v>
      </c>
      <c r="P657" s="46" t="str">
        <f>HYPERLINK("https://cofre.sieg.com/ajax/danfe.aspx?nfe=26230145455446000149550010000000501991515204","Ver Danfe")</f>
        <v>Ver Danfe</v>
      </c>
      <c r="Q657" s="46" t="str">
        <f>HYPERLINK("https://cofre.sieg.com/ajax/xml.aspx?nfe=26230145455446000149550010000000501991515204","Baixar Xml")</f>
        <v>Baixar Xml</v>
      </c>
    </row>
    <row r="658" spans="1:17" x14ac:dyDescent="0.75">
      <c r="A658" s="5">
        <v>57</v>
      </c>
      <c r="B658" s="55">
        <v>4976</v>
      </c>
      <c r="C658" s="5" t="s">
        <v>4873</v>
      </c>
      <c r="D658" s="45" t="s">
        <v>4885</v>
      </c>
      <c r="E658" s="45" t="s">
        <v>5551</v>
      </c>
      <c r="F658" s="45" t="s">
        <v>1354</v>
      </c>
      <c r="G658" s="45" t="s">
        <v>1120</v>
      </c>
      <c r="H658" s="45" t="s">
        <v>1130</v>
      </c>
      <c r="I658" s="45" t="s">
        <v>1130</v>
      </c>
      <c r="J658" s="45" t="s">
        <v>4873</v>
      </c>
      <c r="K658" s="45" t="s">
        <v>5553</v>
      </c>
      <c r="L658" s="45" t="s">
        <v>1122</v>
      </c>
      <c r="M658" s="45" t="s">
        <v>1311</v>
      </c>
      <c r="N658" s="45" t="s">
        <v>1312</v>
      </c>
      <c r="O658" s="45" t="s">
        <v>1123</v>
      </c>
      <c r="P658" s="46" t="str">
        <f>HYPERLINK("https://cofre.sieg.com/ajax/danfe.aspx?nfe=26230145455446000149550010000000571584230945","Ver Danfe")</f>
        <v>Ver Danfe</v>
      </c>
      <c r="Q658" s="46" t="str">
        <f>HYPERLINK("https://cofre.sieg.com/ajax/xml.aspx?nfe=26230145455446000149550010000000571584230945","Baixar Xml")</f>
        <v>Baixar Xml</v>
      </c>
    </row>
    <row r="659" spans="1:17" x14ac:dyDescent="0.75">
      <c r="A659" s="5">
        <v>59</v>
      </c>
      <c r="B659" s="55">
        <v>4976</v>
      </c>
      <c r="C659" s="5" t="s">
        <v>4873</v>
      </c>
      <c r="D659" s="45" t="s">
        <v>4885</v>
      </c>
      <c r="E659" s="45" t="s">
        <v>5551</v>
      </c>
      <c r="F659" s="45" t="s">
        <v>1354</v>
      </c>
      <c r="G659" s="45" t="s">
        <v>1120</v>
      </c>
      <c r="H659" s="45" t="s">
        <v>1130</v>
      </c>
      <c r="I659" s="45" t="s">
        <v>1130</v>
      </c>
      <c r="J659" s="45" t="s">
        <v>4873</v>
      </c>
      <c r="K659" s="45" t="s">
        <v>5554</v>
      </c>
      <c r="L659" s="45" t="s">
        <v>1122</v>
      </c>
      <c r="M659" s="45" t="s">
        <v>1311</v>
      </c>
      <c r="N659" s="45" t="s">
        <v>1312</v>
      </c>
      <c r="O659" s="45" t="s">
        <v>1123</v>
      </c>
      <c r="P659" s="46" t="str">
        <f>HYPERLINK("https://cofre.sieg.com/ajax/danfe.aspx?nfe=26230145455446000149550010000000591643992103","Ver Danfe")</f>
        <v>Ver Danfe</v>
      </c>
      <c r="Q659" s="46" t="str">
        <f>HYPERLINK("https://cofre.sieg.com/ajax/xml.aspx?nfe=26230145455446000149550010000000591643992103","Baixar Xml")</f>
        <v>Baixar Xml</v>
      </c>
    </row>
    <row r="660" spans="1:17" x14ac:dyDescent="0.75">
      <c r="A660" s="5">
        <v>70</v>
      </c>
      <c r="B660" s="55">
        <v>4484.5</v>
      </c>
      <c r="C660" s="5" t="s">
        <v>4899</v>
      </c>
      <c r="D660" s="45" t="s">
        <v>4885</v>
      </c>
      <c r="E660" s="45" t="s">
        <v>5551</v>
      </c>
      <c r="F660" s="45" t="s">
        <v>1354</v>
      </c>
      <c r="G660" s="45" t="s">
        <v>1120</v>
      </c>
      <c r="H660" s="45" t="s">
        <v>1130</v>
      </c>
      <c r="I660" s="45" t="s">
        <v>1130</v>
      </c>
      <c r="J660" s="45" t="s">
        <v>4899</v>
      </c>
      <c r="K660" s="45" t="s">
        <v>5555</v>
      </c>
      <c r="L660" s="45" t="s">
        <v>1122</v>
      </c>
      <c r="M660" s="45"/>
      <c r="N660" s="45"/>
      <c r="O660" s="45" t="s">
        <v>1123</v>
      </c>
      <c r="P660" s="46" t="str">
        <f>HYPERLINK("https://cofre.sieg.com/ajax/danfe.aspx?nfe=26230145455446000149550010000000701336410562","Ver Danfe")</f>
        <v>Ver Danfe</v>
      </c>
      <c r="Q660" s="46" t="str">
        <f>HYPERLINK("https://cofre.sieg.com/ajax/xml.aspx?nfe=26230145455446000149550010000000701336410562","Baixar Xml")</f>
        <v>Baixar Xml</v>
      </c>
    </row>
    <row r="661" spans="1:17" x14ac:dyDescent="0.75">
      <c r="A661" s="5">
        <v>76</v>
      </c>
      <c r="B661" s="55">
        <v>2891</v>
      </c>
      <c r="C661" s="5" t="s">
        <v>4923</v>
      </c>
      <c r="D661" s="45" t="s">
        <v>4885</v>
      </c>
      <c r="E661" s="45" t="s">
        <v>5551</v>
      </c>
      <c r="F661" s="45" t="s">
        <v>1354</v>
      </c>
      <c r="G661" s="45" t="s">
        <v>1120</v>
      </c>
      <c r="H661" s="45" t="s">
        <v>1130</v>
      </c>
      <c r="I661" s="45" t="s">
        <v>1130</v>
      </c>
      <c r="J661" s="45" t="s">
        <v>4923</v>
      </c>
      <c r="K661" s="45" t="s">
        <v>5556</v>
      </c>
      <c r="L661" s="45" t="s">
        <v>1122</v>
      </c>
      <c r="M661" s="45"/>
      <c r="N661" s="45"/>
      <c r="O661" s="45" t="s">
        <v>1123</v>
      </c>
      <c r="P661" s="46" t="str">
        <f>HYPERLINK("https://cofre.sieg.com/ajax/danfe.aspx?nfe=26230145455446000149550010000000761522512705","Ver Danfe")</f>
        <v>Ver Danfe</v>
      </c>
      <c r="Q661" s="46" t="str">
        <f>HYPERLINK("https://cofre.sieg.com/ajax/xml.aspx?nfe=26230145455446000149550010000000761522512705","Baixar Xml")</f>
        <v>Baixar Xml</v>
      </c>
    </row>
    <row r="662" spans="1:17" x14ac:dyDescent="0.75">
      <c r="A662" s="5">
        <v>82</v>
      </c>
      <c r="B662" s="55">
        <v>2192.6</v>
      </c>
      <c r="C662" s="5" t="s">
        <v>4938</v>
      </c>
      <c r="D662" s="45" t="s">
        <v>4885</v>
      </c>
      <c r="E662" s="45" t="s">
        <v>5551</v>
      </c>
      <c r="F662" s="45" t="s">
        <v>1354</v>
      </c>
      <c r="G662" s="45" t="s">
        <v>1120</v>
      </c>
      <c r="H662" s="45" t="s">
        <v>1130</v>
      </c>
      <c r="I662" s="45" t="s">
        <v>1130</v>
      </c>
      <c r="J662" s="45" t="s">
        <v>4938</v>
      </c>
      <c r="K662" s="45" t="s">
        <v>5557</v>
      </c>
      <c r="L662" s="45" t="s">
        <v>1122</v>
      </c>
      <c r="M662" s="45" t="s">
        <v>1311</v>
      </c>
      <c r="N662" s="45" t="s">
        <v>1312</v>
      </c>
      <c r="O662" s="45" t="s">
        <v>1123</v>
      </c>
      <c r="P662" s="46" t="str">
        <f>HYPERLINK("https://cofre.sieg.com/ajax/danfe.aspx?nfe=26230145455446000149550010000000821290442522","Ver Danfe")</f>
        <v>Ver Danfe</v>
      </c>
      <c r="Q662" s="46" t="str">
        <f>HYPERLINK("https://cofre.sieg.com/ajax/xml.aspx?nfe=26230145455446000149550010000000821290442522","Baixar Xml")</f>
        <v>Baixar Xml</v>
      </c>
    </row>
    <row r="663" spans="1:17" x14ac:dyDescent="0.75">
      <c r="A663" s="5">
        <v>56335</v>
      </c>
      <c r="B663" s="55">
        <v>54.5</v>
      </c>
      <c r="C663" s="5" t="s">
        <v>4883</v>
      </c>
      <c r="D663" s="45" t="s">
        <v>1196</v>
      </c>
      <c r="E663" s="45" t="s">
        <v>1197</v>
      </c>
      <c r="F663" s="45" t="s">
        <v>1195</v>
      </c>
      <c r="G663" s="45" t="s">
        <v>1120</v>
      </c>
      <c r="H663" s="45" t="s">
        <v>1126</v>
      </c>
      <c r="I663" s="45" t="s">
        <v>1126</v>
      </c>
      <c r="J663" s="45" t="s">
        <v>4883</v>
      </c>
      <c r="K663" s="45" t="s">
        <v>5558</v>
      </c>
      <c r="L663" s="45" t="s">
        <v>1122</v>
      </c>
      <c r="M663" s="45"/>
      <c r="N663" s="45"/>
      <c r="O663" s="45" t="s">
        <v>1123</v>
      </c>
      <c r="P663" s="46" t="str">
        <f>HYPERLINK("https://cofre.sieg.com/ajax/danfe.aspx?nfe=26230145543915041880550020000563351926008791","Ver Danfe")</f>
        <v>Ver Danfe</v>
      </c>
      <c r="Q663" s="46" t="str">
        <f>HYPERLINK("https://cofre.sieg.com/ajax/xml.aspx?nfe=26230145543915041880550020000563351926008791","Baixar Xml")</f>
        <v>Baixar Xml</v>
      </c>
    </row>
    <row r="664" spans="1:17" x14ac:dyDescent="0.75">
      <c r="A664" s="5">
        <v>56821</v>
      </c>
      <c r="B664" s="55">
        <v>82</v>
      </c>
      <c r="C664" s="5" t="s">
        <v>4899</v>
      </c>
      <c r="D664" s="45" t="s">
        <v>1196</v>
      </c>
      <c r="E664" s="45" t="s">
        <v>1197</v>
      </c>
      <c r="F664" s="45" t="s">
        <v>1195</v>
      </c>
      <c r="G664" s="45" t="s">
        <v>1120</v>
      </c>
      <c r="H664" s="45" t="s">
        <v>1126</v>
      </c>
      <c r="I664" s="45" t="s">
        <v>1126</v>
      </c>
      <c r="J664" s="45" t="s">
        <v>4899</v>
      </c>
      <c r="K664" s="45" t="s">
        <v>5559</v>
      </c>
      <c r="L664" s="45" t="s">
        <v>1122</v>
      </c>
      <c r="M664" s="45"/>
      <c r="N664" s="45"/>
      <c r="O664" s="45" t="s">
        <v>1123</v>
      </c>
      <c r="P664" s="46" t="str">
        <f>HYPERLINK("https://cofre.sieg.com/ajax/danfe.aspx?nfe=26230145543915041880550020000568211724435097","Ver Danfe")</f>
        <v>Ver Danfe</v>
      </c>
      <c r="Q664" s="46" t="str">
        <f>HYPERLINK("https://cofre.sieg.com/ajax/xml.aspx?nfe=26230145543915041880550020000568211724435097","Baixar Xml")</f>
        <v>Baixar Xml</v>
      </c>
    </row>
    <row r="665" spans="1:17" x14ac:dyDescent="0.75">
      <c r="A665" s="5">
        <v>57077</v>
      </c>
      <c r="B665" s="55">
        <v>12.3</v>
      </c>
      <c r="C665" s="5" t="s">
        <v>4907</v>
      </c>
      <c r="D665" s="45" t="s">
        <v>1196</v>
      </c>
      <c r="E665" s="45" t="s">
        <v>1197</v>
      </c>
      <c r="F665" s="45" t="s">
        <v>1195</v>
      </c>
      <c r="G665" s="45" t="s">
        <v>1120</v>
      </c>
      <c r="H665" s="45" t="s">
        <v>1126</v>
      </c>
      <c r="I665" s="45" t="s">
        <v>1126</v>
      </c>
      <c r="J665" s="45" t="s">
        <v>4907</v>
      </c>
      <c r="K665" s="45" t="s">
        <v>5560</v>
      </c>
      <c r="L665" s="45" t="s">
        <v>1122</v>
      </c>
      <c r="M665" s="45"/>
      <c r="N665" s="45"/>
      <c r="O665" s="45" t="s">
        <v>1123</v>
      </c>
      <c r="P665" s="46" t="str">
        <f>HYPERLINK("https://cofre.sieg.com/ajax/danfe.aspx?nfe=26230145543915041880550020000570771196400236","Ver Danfe")</f>
        <v>Ver Danfe</v>
      </c>
      <c r="Q665" s="46" t="str">
        <f>HYPERLINK("https://cofre.sieg.com/ajax/xml.aspx?nfe=26230145543915041880550020000570771196400236","Baixar Xml")</f>
        <v>Baixar Xml</v>
      </c>
    </row>
    <row r="666" spans="1:17" x14ac:dyDescent="0.75">
      <c r="A666" s="5">
        <v>57458</v>
      </c>
      <c r="B666" s="55">
        <v>98</v>
      </c>
      <c r="C666" s="5" t="s">
        <v>4923</v>
      </c>
      <c r="D666" s="45" t="s">
        <v>1196</v>
      </c>
      <c r="E666" s="45" t="s">
        <v>1197</v>
      </c>
      <c r="F666" s="45" t="s">
        <v>1195</v>
      </c>
      <c r="G666" s="45" t="s">
        <v>1120</v>
      </c>
      <c r="H666" s="45" t="s">
        <v>1126</v>
      </c>
      <c r="I666" s="45" t="s">
        <v>1126</v>
      </c>
      <c r="J666" s="45" t="s">
        <v>4923</v>
      </c>
      <c r="K666" s="45" t="s">
        <v>5561</v>
      </c>
      <c r="L666" s="45" t="s">
        <v>1122</v>
      </c>
      <c r="M666" s="45"/>
      <c r="N666" s="45"/>
      <c r="O666" s="45" t="s">
        <v>1123</v>
      </c>
      <c r="P666" s="46" t="str">
        <f>HYPERLINK("https://cofre.sieg.com/ajax/danfe.aspx?nfe=26230145543915041880550020000574581839688675","Ver Danfe")</f>
        <v>Ver Danfe</v>
      </c>
      <c r="Q666" s="46" t="str">
        <f>HYPERLINK("https://cofre.sieg.com/ajax/xml.aspx?nfe=26230145543915041880550020000574581839688675","Baixar Xml")</f>
        <v>Baixar Xml</v>
      </c>
    </row>
    <row r="667" spans="1:17" x14ac:dyDescent="0.75">
      <c r="A667" s="5">
        <v>57682</v>
      </c>
      <c r="B667" s="55">
        <v>19.600000000000001</v>
      </c>
      <c r="C667" s="5" t="s">
        <v>4937</v>
      </c>
      <c r="D667" s="45" t="s">
        <v>1196</v>
      </c>
      <c r="E667" s="45" t="s">
        <v>1197</v>
      </c>
      <c r="F667" s="45" t="s">
        <v>1195</v>
      </c>
      <c r="G667" s="45" t="s">
        <v>1120</v>
      </c>
      <c r="H667" s="45" t="s">
        <v>1126</v>
      </c>
      <c r="I667" s="45" t="s">
        <v>1126</v>
      </c>
      <c r="J667" s="45" t="s">
        <v>4937</v>
      </c>
      <c r="K667" s="45" t="s">
        <v>5562</v>
      </c>
      <c r="L667" s="45" t="s">
        <v>1122</v>
      </c>
      <c r="M667" s="45" t="s">
        <v>1311</v>
      </c>
      <c r="N667" s="45" t="s">
        <v>1312</v>
      </c>
      <c r="O667" s="45" t="s">
        <v>1123</v>
      </c>
      <c r="P667" s="46" t="str">
        <f>HYPERLINK("https://cofre.sieg.com/ajax/danfe.aspx?nfe=26230145543915041880550020000576821972498675","Ver Danfe")</f>
        <v>Ver Danfe</v>
      </c>
      <c r="Q667" s="46" t="str">
        <f>HYPERLINK("https://cofre.sieg.com/ajax/xml.aspx?nfe=26230145543915041880550020000576821972498675","Baixar Xml")</f>
        <v>Baixar Xml</v>
      </c>
    </row>
    <row r="668" spans="1:17" x14ac:dyDescent="0.75">
      <c r="A668" s="5">
        <v>509</v>
      </c>
      <c r="B668" s="55">
        <v>280</v>
      </c>
      <c r="C668" s="5" t="s">
        <v>4825</v>
      </c>
      <c r="D668" s="45" t="s">
        <v>1198</v>
      </c>
      <c r="E668" s="45" t="s">
        <v>966</v>
      </c>
      <c r="F668" s="45" t="s">
        <v>966</v>
      </c>
      <c r="G668" s="45" t="s">
        <v>1120</v>
      </c>
      <c r="H668" s="45" t="s">
        <v>1199</v>
      </c>
      <c r="I668" s="45" t="s">
        <v>1199</v>
      </c>
      <c r="J668" s="45" t="s">
        <v>4825</v>
      </c>
      <c r="K668" s="45" t="s">
        <v>5563</v>
      </c>
      <c r="L668" s="45" t="s">
        <v>1122</v>
      </c>
      <c r="M668" s="45"/>
      <c r="N668" s="45"/>
      <c r="O668" s="45" t="s">
        <v>1123</v>
      </c>
      <c r="P668" s="46" t="str">
        <f>HYPERLINK("https://cofre.sieg.com/ajax/danfe.aspx?nfe=26230145854636000139550010000005091580881755","Ver Danfe")</f>
        <v>Ver Danfe</v>
      </c>
      <c r="Q668" s="46" t="str">
        <f>HYPERLINK("https://cofre.sieg.com/ajax/xml.aspx?nfe=26230145854636000139550010000005091580881755","Baixar Xml")</f>
        <v>Baixar Xml</v>
      </c>
    </row>
    <row r="669" spans="1:17" x14ac:dyDescent="0.75">
      <c r="A669" s="5">
        <v>510</v>
      </c>
      <c r="B669" s="55">
        <v>900</v>
      </c>
      <c r="C669" s="5" t="s">
        <v>4826</v>
      </c>
      <c r="D669" s="45" t="s">
        <v>1198</v>
      </c>
      <c r="E669" s="45" t="s">
        <v>966</v>
      </c>
      <c r="F669" s="45" t="s">
        <v>966</v>
      </c>
      <c r="G669" s="45" t="s">
        <v>1120</v>
      </c>
      <c r="H669" s="45" t="s">
        <v>1199</v>
      </c>
      <c r="I669" s="45" t="s">
        <v>1199</v>
      </c>
      <c r="J669" s="45" t="s">
        <v>4826</v>
      </c>
      <c r="K669" s="45" t="s">
        <v>5564</v>
      </c>
      <c r="L669" s="45" t="s">
        <v>1122</v>
      </c>
      <c r="M669" s="45" t="s">
        <v>1311</v>
      </c>
      <c r="N669" s="45" t="s">
        <v>1312</v>
      </c>
      <c r="O669" s="45" t="s">
        <v>1123</v>
      </c>
      <c r="P669" s="46" t="str">
        <f>HYPERLINK("https://cofre.sieg.com/ajax/danfe.aspx?nfe=26230145854636000139550010000005101581378420","Ver Danfe")</f>
        <v>Ver Danfe</v>
      </c>
      <c r="Q669" s="46" t="str">
        <f>HYPERLINK("https://cofre.sieg.com/ajax/xml.aspx?nfe=26230145854636000139550010000005101581378420","Baixar Xml")</f>
        <v>Baixar Xml</v>
      </c>
    </row>
    <row r="670" spans="1:17" x14ac:dyDescent="0.75">
      <c r="A670" s="5">
        <v>529</v>
      </c>
      <c r="B670" s="55">
        <v>545</v>
      </c>
      <c r="C670" s="5" t="s">
        <v>4846</v>
      </c>
      <c r="D670" s="45" t="s">
        <v>1198</v>
      </c>
      <c r="E670" s="45" t="s">
        <v>966</v>
      </c>
      <c r="F670" s="45" t="s">
        <v>966</v>
      </c>
      <c r="G670" s="45" t="s">
        <v>1120</v>
      </c>
      <c r="H670" s="45" t="s">
        <v>1199</v>
      </c>
      <c r="I670" s="45" t="s">
        <v>1199</v>
      </c>
      <c r="J670" s="45" t="s">
        <v>4846</v>
      </c>
      <c r="K670" s="45" t="s">
        <v>5565</v>
      </c>
      <c r="L670" s="45" t="s">
        <v>1122</v>
      </c>
      <c r="M670" s="45" t="s">
        <v>1311</v>
      </c>
      <c r="N670" s="45" t="s">
        <v>1312</v>
      </c>
      <c r="O670" s="45" t="s">
        <v>1123</v>
      </c>
      <c r="P670" s="46" t="str">
        <f>HYPERLINK("https://cofre.sieg.com/ajax/danfe.aspx?nfe=26230145854636000139550010000005291583385395","Ver Danfe")</f>
        <v>Ver Danfe</v>
      </c>
      <c r="Q670" s="46" t="str">
        <f>HYPERLINK("https://cofre.sieg.com/ajax/xml.aspx?nfe=26230145854636000139550010000005291583385395","Baixar Xml")</f>
        <v>Baixar Xml</v>
      </c>
    </row>
    <row r="671" spans="1:17" x14ac:dyDescent="0.75">
      <c r="A671" s="5">
        <v>534</v>
      </c>
      <c r="B671" s="55">
        <v>1090</v>
      </c>
      <c r="C671" s="5" t="s">
        <v>4857</v>
      </c>
      <c r="D671" s="45" t="s">
        <v>1198</v>
      </c>
      <c r="E671" s="45" t="s">
        <v>966</v>
      </c>
      <c r="F671" s="45" t="s">
        <v>966</v>
      </c>
      <c r="G671" s="45" t="s">
        <v>1120</v>
      </c>
      <c r="H671" s="45" t="s">
        <v>1199</v>
      </c>
      <c r="I671" s="45" t="s">
        <v>1199</v>
      </c>
      <c r="J671" s="45" t="s">
        <v>4857</v>
      </c>
      <c r="K671" s="45" t="s">
        <v>5566</v>
      </c>
      <c r="L671" s="45" t="s">
        <v>1122</v>
      </c>
      <c r="M671" s="45"/>
      <c r="N671" s="45"/>
      <c r="O671" s="45" t="s">
        <v>1123</v>
      </c>
      <c r="P671" s="46" t="str">
        <f>HYPERLINK("https://cofre.sieg.com/ajax/danfe.aspx?nfe=26230145854636000139550010000005341584424254","Ver Danfe")</f>
        <v>Ver Danfe</v>
      </c>
      <c r="Q671" s="46" t="str">
        <f>HYPERLINK("https://cofre.sieg.com/ajax/xml.aspx?nfe=26230145854636000139550010000005341584424254","Baixar Xml")</f>
        <v>Baixar Xml</v>
      </c>
    </row>
    <row r="672" spans="1:17" x14ac:dyDescent="0.75">
      <c r="A672" s="5">
        <v>539</v>
      </c>
      <c r="B672" s="55">
        <v>620</v>
      </c>
      <c r="C672" s="5" t="s">
        <v>4861</v>
      </c>
      <c r="D672" s="45" t="s">
        <v>1198</v>
      </c>
      <c r="E672" s="45" t="s">
        <v>966</v>
      </c>
      <c r="F672" s="45" t="s">
        <v>966</v>
      </c>
      <c r="G672" s="45" t="s">
        <v>1120</v>
      </c>
      <c r="H672" s="45" t="s">
        <v>1199</v>
      </c>
      <c r="I672" s="45" t="s">
        <v>1199</v>
      </c>
      <c r="J672" s="45" t="s">
        <v>4861</v>
      </c>
      <c r="K672" s="45" t="s">
        <v>5567</v>
      </c>
      <c r="L672" s="45" t="s">
        <v>1122</v>
      </c>
      <c r="M672" s="45"/>
      <c r="N672" s="45"/>
      <c r="O672" s="45" t="s">
        <v>1123</v>
      </c>
      <c r="P672" s="46" t="str">
        <f>HYPERLINK("https://cofre.sieg.com/ajax/danfe.aspx?nfe=26230145854636000139550010000005391584852880","Ver Danfe")</f>
        <v>Ver Danfe</v>
      </c>
      <c r="Q672" s="46" t="str">
        <f>HYPERLINK("https://cofre.sieg.com/ajax/xml.aspx?nfe=26230145854636000139550010000005391584852880","Baixar Xml")</f>
        <v>Baixar Xml</v>
      </c>
    </row>
    <row r="673" spans="1:17" x14ac:dyDescent="0.75">
      <c r="A673" s="5">
        <v>548</v>
      </c>
      <c r="B673" s="55">
        <v>410</v>
      </c>
      <c r="C673" s="5" t="s">
        <v>4866</v>
      </c>
      <c r="D673" s="45" t="s">
        <v>1198</v>
      </c>
      <c r="E673" s="45" t="s">
        <v>966</v>
      </c>
      <c r="F673" s="45" t="s">
        <v>966</v>
      </c>
      <c r="G673" s="45" t="s">
        <v>1120</v>
      </c>
      <c r="H673" s="45" t="s">
        <v>1199</v>
      </c>
      <c r="I673" s="45" t="s">
        <v>1199</v>
      </c>
      <c r="J673" s="45" t="s">
        <v>4866</v>
      </c>
      <c r="K673" s="45" t="s">
        <v>5568</v>
      </c>
      <c r="L673" s="45" t="s">
        <v>1122</v>
      </c>
      <c r="M673" s="45" t="s">
        <v>1311</v>
      </c>
      <c r="N673" s="45" t="s">
        <v>1312</v>
      </c>
      <c r="O673" s="45" t="s">
        <v>1123</v>
      </c>
      <c r="P673" s="46" t="str">
        <f>HYPERLINK("https://cofre.sieg.com/ajax/danfe.aspx?nfe=26230145854636000139550010000005481585925350","Ver Danfe")</f>
        <v>Ver Danfe</v>
      </c>
      <c r="Q673" s="46" t="str">
        <f>HYPERLINK("https://cofre.sieg.com/ajax/xml.aspx?nfe=26230145854636000139550010000005481585925350","Baixar Xml")</f>
        <v>Baixar Xml</v>
      </c>
    </row>
    <row r="674" spans="1:17" x14ac:dyDescent="0.75">
      <c r="A674" s="5">
        <v>558</v>
      </c>
      <c r="B674" s="55">
        <v>401</v>
      </c>
      <c r="C674" s="5" t="s">
        <v>4883</v>
      </c>
      <c r="D674" s="45" t="s">
        <v>1198</v>
      </c>
      <c r="E674" s="45" t="s">
        <v>966</v>
      </c>
      <c r="F674" s="45" t="s">
        <v>966</v>
      </c>
      <c r="G674" s="45" t="s">
        <v>1120</v>
      </c>
      <c r="H674" s="45" t="s">
        <v>1199</v>
      </c>
      <c r="I674" s="45" t="s">
        <v>1199</v>
      </c>
      <c r="J674" s="45" t="s">
        <v>4884</v>
      </c>
      <c r="K674" s="45" t="s">
        <v>5569</v>
      </c>
      <c r="L674" s="45" t="s">
        <v>1122</v>
      </c>
      <c r="M674" s="45"/>
      <c r="N674" s="45"/>
      <c r="O674" s="45" t="s">
        <v>1123</v>
      </c>
      <c r="P674" s="46" t="str">
        <f>HYPERLINK("https://cofre.sieg.com/ajax/danfe.aspx?nfe=26230145854636000139550010000005581588538973","Ver Danfe")</f>
        <v>Ver Danfe</v>
      </c>
      <c r="Q674" s="46" t="str">
        <f>HYPERLINK("https://cofre.sieg.com/ajax/xml.aspx?nfe=26230145854636000139550010000005581588538973","Baixar Xml")</f>
        <v>Baixar Xml</v>
      </c>
    </row>
    <row r="675" spans="1:17" x14ac:dyDescent="0.75">
      <c r="A675" s="5">
        <v>568</v>
      </c>
      <c r="B675" s="55">
        <v>140</v>
      </c>
      <c r="C675" s="5" t="s">
        <v>4899</v>
      </c>
      <c r="D675" s="45" t="s">
        <v>1198</v>
      </c>
      <c r="E675" s="45" t="s">
        <v>966</v>
      </c>
      <c r="F675" s="45" t="s">
        <v>966</v>
      </c>
      <c r="G675" s="45" t="s">
        <v>1120</v>
      </c>
      <c r="H675" s="45" t="s">
        <v>1199</v>
      </c>
      <c r="I675" s="45" t="s">
        <v>1199</v>
      </c>
      <c r="J675" s="45" t="s">
        <v>4899</v>
      </c>
      <c r="K675" s="45" t="s">
        <v>5570</v>
      </c>
      <c r="L675" s="45" t="s">
        <v>1122</v>
      </c>
      <c r="M675" s="45" t="s">
        <v>1311</v>
      </c>
      <c r="N675" s="45" t="s">
        <v>1312</v>
      </c>
      <c r="O675" s="45" t="s">
        <v>1123</v>
      </c>
      <c r="P675" s="46" t="str">
        <f>HYPERLINK("https://cofre.sieg.com/ajax/danfe.aspx?nfe=26230145854636000139550010000005681590197807","Ver Danfe")</f>
        <v>Ver Danfe</v>
      </c>
      <c r="Q675" s="46" t="str">
        <f>HYPERLINK("https://cofre.sieg.com/ajax/xml.aspx?nfe=26230145854636000139550010000005681590197807","Baixar Xml")</f>
        <v>Baixar Xml</v>
      </c>
    </row>
    <row r="676" spans="1:17" x14ac:dyDescent="0.75">
      <c r="A676" s="5">
        <v>579</v>
      </c>
      <c r="B676" s="55">
        <v>520</v>
      </c>
      <c r="C676" s="5" t="s">
        <v>4907</v>
      </c>
      <c r="D676" s="45" t="s">
        <v>1198</v>
      </c>
      <c r="E676" s="45" t="s">
        <v>966</v>
      </c>
      <c r="F676" s="45" t="s">
        <v>966</v>
      </c>
      <c r="G676" s="45" t="s">
        <v>1120</v>
      </c>
      <c r="H676" s="45" t="s">
        <v>1199</v>
      </c>
      <c r="I676" s="45" t="s">
        <v>1199</v>
      </c>
      <c r="J676" s="45" t="s">
        <v>4907</v>
      </c>
      <c r="K676" s="45" t="s">
        <v>5571</v>
      </c>
      <c r="L676" s="45" t="s">
        <v>1122</v>
      </c>
      <c r="M676" s="45" t="s">
        <v>1311</v>
      </c>
      <c r="N676" s="45" t="s">
        <v>1312</v>
      </c>
      <c r="O676" s="45" t="s">
        <v>1123</v>
      </c>
      <c r="P676" s="46" t="str">
        <f>HYPERLINK("https://cofre.sieg.com/ajax/danfe.aspx?nfe=26230145854636000139550010000005791592086151","Ver Danfe")</f>
        <v>Ver Danfe</v>
      </c>
      <c r="Q676" s="46" t="str">
        <f>HYPERLINK("https://cofre.sieg.com/ajax/xml.aspx?nfe=26230145854636000139550010000005791592086151","Baixar Xml")</f>
        <v>Baixar Xml</v>
      </c>
    </row>
    <row r="677" spans="1:17" x14ac:dyDescent="0.75">
      <c r="A677" s="5">
        <v>581</v>
      </c>
      <c r="B677" s="55">
        <v>150</v>
      </c>
      <c r="C677" s="5" t="s">
        <v>4908</v>
      </c>
      <c r="D677" s="45" t="s">
        <v>1198</v>
      </c>
      <c r="E677" s="45" t="s">
        <v>966</v>
      </c>
      <c r="F677" s="45" t="s">
        <v>966</v>
      </c>
      <c r="G677" s="45" t="s">
        <v>1120</v>
      </c>
      <c r="H677" s="45" t="s">
        <v>1199</v>
      </c>
      <c r="I677" s="45" t="s">
        <v>1199</v>
      </c>
      <c r="J677" s="45" t="s">
        <v>4912</v>
      </c>
      <c r="K677" s="45" t="s">
        <v>5572</v>
      </c>
      <c r="L677" s="45" t="s">
        <v>1122</v>
      </c>
      <c r="M677" s="45" t="s">
        <v>1311</v>
      </c>
      <c r="N677" s="45" t="s">
        <v>1312</v>
      </c>
      <c r="O677" s="45" t="s">
        <v>1123</v>
      </c>
      <c r="P677" s="46" t="str">
        <f>HYPERLINK("https://cofre.sieg.com/ajax/danfe.aspx?nfe=26230145854636000139550010000005811000000173","Ver Danfe")</f>
        <v>Ver Danfe</v>
      </c>
      <c r="Q677" s="46" t="str">
        <f>HYPERLINK("https://cofre.sieg.com/ajax/xml.aspx?nfe=26230145854636000139550010000005811000000173","Baixar Xml")</f>
        <v>Baixar Xml</v>
      </c>
    </row>
    <row r="678" spans="1:17" x14ac:dyDescent="0.75">
      <c r="A678" s="5">
        <v>596</v>
      </c>
      <c r="B678" s="55">
        <v>280</v>
      </c>
      <c r="C678" s="5" t="s">
        <v>4919</v>
      </c>
      <c r="D678" s="45" t="s">
        <v>1198</v>
      </c>
      <c r="E678" s="45" t="s">
        <v>966</v>
      </c>
      <c r="F678" s="45" t="s">
        <v>966</v>
      </c>
      <c r="G678" s="45" t="s">
        <v>1120</v>
      </c>
      <c r="H678" s="45" t="s">
        <v>1199</v>
      </c>
      <c r="I678" s="45" t="s">
        <v>1199</v>
      </c>
      <c r="J678" s="45" t="s">
        <v>4919</v>
      </c>
      <c r="K678" s="45" t="s">
        <v>5573</v>
      </c>
      <c r="L678" s="45" t="s">
        <v>1122</v>
      </c>
      <c r="M678" s="45" t="s">
        <v>1311</v>
      </c>
      <c r="N678" s="45" t="s">
        <v>1312</v>
      </c>
      <c r="O678" s="45" t="s">
        <v>1123</v>
      </c>
      <c r="P678" s="46" t="str">
        <f>HYPERLINK("https://cofre.sieg.com/ajax/danfe.aspx?nfe=26230145854636000139550010000005961000000362","Ver Danfe")</f>
        <v>Ver Danfe</v>
      </c>
      <c r="Q678" s="46" t="str">
        <f>HYPERLINK("https://cofre.sieg.com/ajax/xml.aspx?nfe=26230145854636000139550010000005961000000362","Baixar Xml")</f>
        <v>Baixar Xml</v>
      </c>
    </row>
    <row r="679" spans="1:17" x14ac:dyDescent="0.75">
      <c r="A679" s="5">
        <v>599</v>
      </c>
      <c r="B679" s="55">
        <v>350</v>
      </c>
      <c r="C679" s="5" t="s">
        <v>4923</v>
      </c>
      <c r="D679" s="45" t="s">
        <v>1198</v>
      </c>
      <c r="E679" s="45" t="s">
        <v>966</v>
      </c>
      <c r="F679" s="45" t="s">
        <v>966</v>
      </c>
      <c r="G679" s="45" t="s">
        <v>1120</v>
      </c>
      <c r="H679" s="45" t="s">
        <v>1199</v>
      </c>
      <c r="I679" s="45" t="s">
        <v>1199</v>
      </c>
      <c r="J679" s="45" t="s">
        <v>4923</v>
      </c>
      <c r="K679" s="45" t="s">
        <v>5574</v>
      </c>
      <c r="L679" s="45" t="s">
        <v>1122</v>
      </c>
      <c r="M679" s="45"/>
      <c r="N679" s="45"/>
      <c r="O679" s="45" t="s">
        <v>1123</v>
      </c>
      <c r="P679" s="46" t="str">
        <f>HYPERLINK("https://cofre.sieg.com/ajax/danfe.aspx?nfe=26230145854636000139550010000005991000000399","Ver Danfe")</f>
        <v>Ver Danfe</v>
      </c>
      <c r="Q679" s="46" t="str">
        <f>HYPERLINK("https://cofre.sieg.com/ajax/xml.aspx?nfe=26230145854636000139550010000005991000000399","Baixar Xml")</f>
        <v>Baixar Xml</v>
      </c>
    </row>
    <row r="680" spans="1:17" x14ac:dyDescent="0.75">
      <c r="A680" s="5">
        <v>605</v>
      </c>
      <c r="B680" s="55">
        <v>272</v>
      </c>
      <c r="C680" s="5" t="s">
        <v>4938</v>
      </c>
      <c r="D680" s="45" t="s">
        <v>1198</v>
      </c>
      <c r="E680" s="45" t="s">
        <v>966</v>
      </c>
      <c r="F680" s="45" t="s">
        <v>966</v>
      </c>
      <c r="G680" s="45" t="s">
        <v>1120</v>
      </c>
      <c r="H680" s="45" t="s">
        <v>1199</v>
      </c>
      <c r="I680" s="45" t="s">
        <v>1199</v>
      </c>
      <c r="J680" s="45" t="s">
        <v>4938</v>
      </c>
      <c r="K680" s="45" t="s">
        <v>5575</v>
      </c>
      <c r="L680" s="45" t="s">
        <v>1122</v>
      </c>
      <c r="M680" s="45"/>
      <c r="N680" s="45"/>
      <c r="O680" s="45" t="s">
        <v>1123</v>
      </c>
      <c r="P680" s="46" t="str">
        <f>HYPERLINK("https://cofre.sieg.com/ajax/danfe.aspx?nfe=26230145854636000139550010000006051000000460","Ver Danfe")</f>
        <v>Ver Danfe</v>
      </c>
      <c r="Q680" s="46" t="str">
        <f>HYPERLINK("https://cofre.sieg.com/ajax/xml.aspx?nfe=26230145854636000139550010000006051000000460","Baixar Xml")</f>
        <v>Baixar Xml</v>
      </c>
    </row>
    <row r="681" spans="1:17" x14ac:dyDescent="0.75">
      <c r="A681" s="5">
        <v>319</v>
      </c>
      <c r="B681" s="55">
        <v>350</v>
      </c>
      <c r="C681" s="5" t="s">
        <v>4908</v>
      </c>
      <c r="D681" s="45" t="s">
        <v>1332</v>
      </c>
      <c r="E681" s="45" t="s">
        <v>1245</v>
      </c>
      <c r="F681" s="45" t="s">
        <v>1245</v>
      </c>
      <c r="G681" s="45" t="s">
        <v>1120</v>
      </c>
      <c r="H681" s="45" t="s">
        <v>1121</v>
      </c>
      <c r="I681" s="45" t="s">
        <v>1121</v>
      </c>
      <c r="J681" s="45" t="s">
        <v>4908</v>
      </c>
      <c r="K681" s="45" t="s">
        <v>5576</v>
      </c>
      <c r="L681" s="45" t="s">
        <v>1122</v>
      </c>
      <c r="M681" s="45" t="s">
        <v>1311</v>
      </c>
      <c r="N681" s="45" t="s">
        <v>1312</v>
      </c>
      <c r="O681" s="45" t="s">
        <v>1123</v>
      </c>
      <c r="P681" s="46" t="str">
        <f>HYPERLINK("https://cofre.sieg.com/ajax/danfe.aspx?nfe=26230146316028000133550010000003191024384520","Ver Danfe")</f>
        <v>Ver Danfe</v>
      </c>
      <c r="Q681" s="46" t="str">
        <f>HYPERLINK("https://cofre.sieg.com/ajax/xml.aspx?nfe=26230146316028000133550010000003191024384520","Baixar Xml")</f>
        <v>Baixar Xml</v>
      </c>
    </row>
    <row r="682" spans="1:17" x14ac:dyDescent="0.75">
      <c r="A682" s="5">
        <v>57631</v>
      </c>
      <c r="B682" s="55">
        <v>190.2</v>
      </c>
      <c r="C682" s="5" t="s">
        <v>4826</v>
      </c>
      <c r="D682" s="45" t="s">
        <v>1200</v>
      </c>
      <c r="E682" s="45" t="s">
        <v>316</v>
      </c>
      <c r="F682" s="45" t="s">
        <v>316</v>
      </c>
      <c r="G682" s="45" t="s">
        <v>1120</v>
      </c>
      <c r="H682" s="45" t="s">
        <v>1126</v>
      </c>
      <c r="I682" s="45" t="s">
        <v>1126</v>
      </c>
      <c r="J682" s="45" t="s">
        <v>4834</v>
      </c>
      <c r="K682" s="45" t="s">
        <v>5577</v>
      </c>
      <c r="L682" s="45" t="s">
        <v>1122</v>
      </c>
      <c r="M682" s="45"/>
      <c r="N682" s="45"/>
      <c r="O682" s="45" t="s">
        <v>1123</v>
      </c>
      <c r="P682" s="46" t="str">
        <f>HYPERLINK("https://cofre.sieg.com/ajax/danfe.aspx?nfe=26230147508411018012551020000576311129453220","Ver Danfe")</f>
        <v>Ver Danfe</v>
      </c>
      <c r="Q682" s="46" t="str">
        <f>HYPERLINK("https://cofre.sieg.com/ajax/xml.aspx?nfe=26230147508411018012551020000576311129453220","Baixar Xml")</f>
        <v>Baixar Xml</v>
      </c>
    </row>
    <row r="683" spans="1:17" x14ac:dyDescent="0.75">
      <c r="A683" s="5">
        <v>57632</v>
      </c>
      <c r="B683" s="55">
        <v>133.9</v>
      </c>
      <c r="C683" s="5" t="s">
        <v>4826</v>
      </c>
      <c r="D683" s="45" t="s">
        <v>1200</v>
      </c>
      <c r="E683" s="45" t="s">
        <v>316</v>
      </c>
      <c r="F683" s="45" t="s">
        <v>316</v>
      </c>
      <c r="G683" s="45" t="s">
        <v>1120</v>
      </c>
      <c r="H683" s="45" t="s">
        <v>1126</v>
      </c>
      <c r="I683" s="45" t="s">
        <v>1126</v>
      </c>
      <c r="J683" s="45" t="s">
        <v>4834</v>
      </c>
      <c r="K683" s="45" t="s">
        <v>5578</v>
      </c>
      <c r="L683" s="45" t="s">
        <v>1122</v>
      </c>
      <c r="M683" s="45"/>
      <c r="N683" s="45"/>
      <c r="O683" s="45" t="s">
        <v>1123</v>
      </c>
      <c r="P683" s="46" t="str">
        <f>HYPERLINK("https://cofre.sieg.com/ajax/danfe.aspx?nfe=26230147508411018012551020000576321129416640","Ver Danfe")</f>
        <v>Ver Danfe</v>
      </c>
      <c r="Q683" s="46" t="str">
        <f>HYPERLINK("https://cofre.sieg.com/ajax/xml.aspx?nfe=26230147508411018012551020000576321129416640","Baixar Xml")</f>
        <v>Baixar Xml</v>
      </c>
    </row>
    <row r="684" spans="1:17" x14ac:dyDescent="0.75">
      <c r="A684" s="5">
        <v>57645</v>
      </c>
      <c r="B684" s="55">
        <v>161</v>
      </c>
      <c r="C684" s="5" t="s">
        <v>4839</v>
      </c>
      <c r="D684" s="45" t="s">
        <v>1200</v>
      </c>
      <c r="E684" s="45" t="s">
        <v>316</v>
      </c>
      <c r="F684" s="45" t="s">
        <v>316</v>
      </c>
      <c r="G684" s="45" t="s">
        <v>1120</v>
      </c>
      <c r="H684" s="45" t="s">
        <v>1126</v>
      </c>
      <c r="I684" s="45" t="s">
        <v>1126</v>
      </c>
      <c r="J684" s="45" t="s">
        <v>4839</v>
      </c>
      <c r="K684" s="45" t="s">
        <v>5579</v>
      </c>
      <c r="L684" s="45" t="s">
        <v>1122</v>
      </c>
      <c r="M684" s="45" t="s">
        <v>1311</v>
      </c>
      <c r="N684" s="45" t="s">
        <v>1312</v>
      </c>
      <c r="O684" s="45" t="s">
        <v>1123</v>
      </c>
      <c r="P684" s="46" t="str">
        <f>HYPERLINK("https://cofre.sieg.com/ajax/danfe.aspx?nfe=26230147508411018012551020000576451129441510","Ver Danfe")</f>
        <v>Ver Danfe</v>
      </c>
      <c r="Q684" s="46" t="str">
        <f>HYPERLINK("https://cofre.sieg.com/ajax/xml.aspx?nfe=26230147508411018012551020000576451129441510","Baixar Xml")</f>
        <v>Baixar Xml</v>
      </c>
    </row>
    <row r="685" spans="1:17" x14ac:dyDescent="0.75">
      <c r="A685" s="5">
        <v>57646</v>
      </c>
      <c r="B685" s="55">
        <v>146.69999999999999</v>
      </c>
      <c r="C685" s="5" t="s">
        <v>4839</v>
      </c>
      <c r="D685" s="45" t="s">
        <v>1200</v>
      </c>
      <c r="E685" s="45" t="s">
        <v>316</v>
      </c>
      <c r="F685" s="45" t="s">
        <v>316</v>
      </c>
      <c r="G685" s="45" t="s">
        <v>1120</v>
      </c>
      <c r="H685" s="45" t="s">
        <v>1126</v>
      </c>
      <c r="I685" s="45" t="s">
        <v>1126</v>
      </c>
      <c r="J685" s="45" t="s">
        <v>4839</v>
      </c>
      <c r="K685" s="45" t="s">
        <v>5580</v>
      </c>
      <c r="L685" s="45" t="s">
        <v>1122</v>
      </c>
      <c r="M685" s="45" t="s">
        <v>1311</v>
      </c>
      <c r="N685" s="45" t="s">
        <v>1312</v>
      </c>
      <c r="O685" s="45" t="s">
        <v>1123</v>
      </c>
      <c r="P685" s="46" t="str">
        <f>HYPERLINK("https://cofre.sieg.com/ajax/danfe.aspx?nfe=26230147508411018012551020000576461129414111","Ver Danfe")</f>
        <v>Ver Danfe</v>
      </c>
      <c r="Q685" s="46" t="str">
        <f>HYPERLINK("https://cofre.sieg.com/ajax/xml.aspx?nfe=26230147508411018012551020000576461129414111","Baixar Xml")</f>
        <v>Baixar Xml</v>
      </c>
    </row>
    <row r="686" spans="1:17" x14ac:dyDescent="0.75">
      <c r="A686" s="5">
        <v>57657</v>
      </c>
      <c r="B686" s="55">
        <v>103</v>
      </c>
      <c r="C686" s="5" t="s">
        <v>4844</v>
      </c>
      <c r="D686" s="45" t="s">
        <v>1200</v>
      </c>
      <c r="E686" s="45" t="s">
        <v>316</v>
      </c>
      <c r="F686" s="45" t="s">
        <v>316</v>
      </c>
      <c r="G686" s="45" t="s">
        <v>1120</v>
      </c>
      <c r="H686" s="45" t="s">
        <v>1126</v>
      </c>
      <c r="I686" s="45" t="s">
        <v>1126</v>
      </c>
      <c r="J686" s="45" t="s">
        <v>4844</v>
      </c>
      <c r="K686" s="45" t="s">
        <v>5581</v>
      </c>
      <c r="L686" s="45" t="s">
        <v>1122</v>
      </c>
      <c r="M686" s="45"/>
      <c r="N686" s="45"/>
      <c r="O686" s="45" t="s">
        <v>1123</v>
      </c>
      <c r="P686" s="46" t="str">
        <f>HYPERLINK("https://cofre.sieg.com/ajax/danfe.aspx?nfe=26230147508411018012551020000576571129415758","Ver Danfe")</f>
        <v>Ver Danfe</v>
      </c>
      <c r="Q686" s="46" t="str">
        <f>HYPERLINK("https://cofre.sieg.com/ajax/xml.aspx?nfe=26230147508411018012551020000576571129415758","Baixar Xml")</f>
        <v>Baixar Xml</v>
      </c>
    </row>
    <row r="687" spans="1:17" x14ac:dyDescent="0.75">
      <c r="A687" s="5">
        <v>57733</v>
      </c>
      <c r="B687" s="55">
        <v>73.52</v>
      </c>
      <c r="C687" s="5" t="s">
        <v>4866</v>
      </c>
      <c r="D687" s="45" t="s">
        <v>1200</v>
      </c>
      <c r="E687" s="45" t="s">
        <v>316</v>
      </c>
      <c r="F687" s="45" t="s">
        <v>316</v>
      </c>
      <c r="G687" s="45" t="s">
        <v>1120</v>
      </c>
      <c r="H687" s="45" t="s">
        <v>1126</v>
      </c>
      <c r="I687" s="45" t="s">
        <v>1126</v>
      </c>
      <c r="J687" s="45" t="s">
        <v>4866</v>
      </c>
      <c r="K687" s="45" t="s">
        <v>5582</v>
      </c>
      <c r="L687" s="45" t="s">
        <v>1122</v>
      </c>
      <c r="M687" s="45"/>
      <c r="N687" s="45"/>
      <c r="O687" s="45" t="s">
        <v>1123</v>
      </c>
      <c r="P687" s="46" t="str">
        <f>HYPERLINK("https://cofre.sieg.com/ajax/danfe.aspx?nfe=26230147508411018012551020000577331129442198","Ver Danfe")</f>
        <v>Ver Danfe</v>
      </c>
      <c r="Q687" s="46" t="str">
        <f>HYPERLINK("https://cofre.sieg.com/ajax/xml.aspx?nfe=26230147508411018012551020000577331129442198","Baixar Xml")</f>
        <v>Baixar Xml</v>
      </c>
    </row>
    <row r="688" spans="1:17" x14ac:dyDescent="0.75">
      <c r="A688" s="5">
        <v>57734</v>
      </c>
      <c r="B688" s="55">
        <v>233.3</v>
      </c>
      <c r="C688" s="5" t="s">
        <v>4866</v>
      </c>
      <c r="D688" s="45" t="s">
        <v>1200</v>
      </c>
      <c r="E688" s="45" t="s">
        <v>316</v>
      </c>
      <c r="F688" s="45" t="s">
        <v>316</v>
      </c>
      <c r="G688" s="45" t="s">
        <v>1120</v>
      </c>
      <c r="H688" s="45" t="s">
        <v>1126</v>
      </c>
      <c r="I688" s="45" t="s">
        <v>1126</v>
      </c>
      <c r="J688" s="45" t="s">
        <v>4866</v>
      </c>
      <c r="K688" s="45" t="s">
        <v>5583</v>
      </c>
      <c r="L688" s="45" t="s">
        <v>1122</v>
      </c>
      <c r="M688" s="45"/>
      <c r="N688" s="45"/>
      <c r="O688" s="45" t="s">
        <v>1123</v>
      </c>
      <c r="P688" s="46" t="str">
        <f>HYPERLINK("https://cofre.sieg.com/ajax/danfe.aspx?nfe=26230147508411018012551020000577341129413349","Ver Danfe")</f>
        <v>Ver Danfe</v>
      </c>
      <c r="Q688" s="46" t="str">
        <f>HYPERLINK("https://cofre.sieg.com/ajax/xml.aspx?nfe=26230147508411018012551020000577341129413349","Baixar Xml")</f>
        <v>Baixar Xml</v>
      </c>
    </row>
    <row r="689" spans="1:17" x14ac:dyDescent="0.75">
      <c r="A689" s="5">
        <v>57735</v>
      </c>
      <c r="B689" s="55">
        <v>238.9</v>
      </c>
      <c r="C689" s="5" t="s">
        <v>4866</v>
      </c>
      <c r="D689" s="45" t="s">
        <v>1200</v>
      </c>
      <c r="E689" s="45" t="s">
        <v>316</v>
      </c>
      <c r="F689" s="45" t="s">
        <v>316</v>
      </c>
      <c r="G689" s="45" t="s">
        <v>1120</v>
      </c>
      <c r="H689" s="45" t="s">
        <v>1126</v>
      </c>
      <c r="I689" s="45" t="s">
        <v>1126</v>
      </c>
      <c r="J689" s="45" t="s">
        <v>4866</v>
      </c>
      <c r="K689" s="45" t="s">
        <v>5584</v>
      </c>
      <c r="L689" s="45" t="s">
        <v>1122</v>
      </c>
      <c r="M689" s="45" t="s">
        <v>1311</v>
      </c>
      <c r="N689" s="45" t="s">
        <v>1312</v>
      </c>
      <c r="O689" s="45" t="s">
        <v>1123</v>
      </c>
      <c r="P689" s="46" t="str">
        <f>HYPERLINK("https://cofre.sieg.com/ajax/danfe.aspx?nfe=26230147508411018012551020000577351129487641","Ver Danfe")</f>
        <v>Ver Danfe</v>
      </c>
      <c r="Q689" s="46" t="str">
        <f>HYPERLINK("https://cofre.sieg.com/ajax/xml.aspx?nfe=26230147508411018012551020000577351129487641","Baixar Xml")</f>
        <v>Baixar Xml</v>
      </c>
    </row>
    <row r="690" spans="1:17" x14ac:dyDescent="0.75">
      <c r="A690" s="5">
        <v>57790</v>
      </c>
      <c r="B690" s="55">
        <v>173.7</v>
      </c>
      <c r="C690" s="5" t="s">
        <v>4884</v>
      </c>
      <c r="D690" s="45" t="s">
        <v>1200</v>
      </c>
      <c r="E690" s="45" t="s">
        <v>316</v>
      </c>
      <c r="F690" s="45" t="s">
        <v>316</v>
      </c>
      <c r="G690" s="45" t="s">
        <v>1120</v>
      </c>
      <c r="H690" s="45" t="s">
        <v>1126</v>
      </c>
      <c r="I690" s="45" t="s">
        <v>1126</v>
      </c>
      <c r="J690" s="45" t="s">
        <v>4884</v>
      </c>
      <c r="K690" s="45" t="s">
        <v>5585</v>
      </c>
      <c r="L690" s="45" t="s">
        <v>1122</v>
      </c>
      <c r="M690" s="45" t="s">
        <v>1311</v>
      </c>
      <c r="N690" s="45" t="s">
        <v>1312</v>
      </c>
      <c r="O690" s="45" t="s">
        <v>1123</v>
      </c>
      <c r="P690" s="46" t="str">
        <f>HYPERLINK("https://cofre.sieg.com/ajax/danfe.aspx?nfe=26230147508411018012551020000577901129487678","Ver Danfe")</f>
        <v>Ver Danfe</v>
      </c>
      <c r="Q690" s="46" t="str">
        <f>HYPERLINK("https://cofre.sieg.com/ajax/xml.aspx?nfe=26230147508411018012551020000577901129487678","Baixar Xml")</f>
        <v>Baixar Xml</v>
      </c>
    </row>
    <row r="691" spans="1:17" x14ac:dyDescent="0.75">
      <c r="A691" s="5">
        <v>57800</v>
      </c>
      <c r="B691" s="55">
        <v>228.2</v>
      </c>
      <c r="C691" s="5" t="s">
        <v>4887</v>
      </c>
      <c r="D691" s="45" t="s">
        <v>1200</v>
      </c>
      <c r="E691" s="45" t="s">
        <v>316</v>
      </c>
      <c r="F691" s="45" t="s">
        <v>316</v>
      </c>
      <c r="G691" s="45" t="s">
        <v>1120</v>
      </c>
      <c r="H691" s="45" t="s">
        <v>1126</v>
      </c>
      <c r="I691" s="45" t="s">
        <v>1126</v>
      </c>
      <c r="J691" s="45" t="s">
        <v>4887</v>
      </c>
      <c r="K691" s="45" t="s">
        <v>5586</v>
      </c>
      <c r="L691" s="45" t="s">
        <v>1122</v>
      </c>
      <c r="M691" s="45" t="s">
        <v>1311</v>
      </c>
      <c r="N691" s="45" t="s">
        <v>1312</v>
      </c>
      <c r="O691" s="45" t="s">
        <v>1123</v>
      </c>
      <c r="P691" s="46" t="str">
        <f>HYPERLINK("https://cofre.sieg.com/ajax/danfe.aspx?nfe=26230147508411018012551020000578001129491193","Ver Danfe")</f>
        <v>Ver Danfe</v>
      </c>
      <c r="Q691" s="46" t="str">
        <f>HYPERLINK("https://cofre.sieg.com/ajax/xml.aspx?nfe=26230147508411018012551020000578001129491193","Baixar Xml")</f>
        <v>Baixar Xml</v>
      </c>
    </row>
    <row r="692" spans="1:17" x14ac:dyDescent="0.75">
      <c r="A692" s="5">
        <v>57842</v>
      </c>
      <c r="B692" s="55">
        <v>140.4</v>
      </c>
      <c r="C692" s="5" t="s">
        <v>4899</v>
      </c>
      <c r="D692" s="45" t="s">
        <v>1200</v>
      </c>
      <c r="E692" s="45" t="s">
        <v>316</v>
      </c>
      <c r="F692" s="45" t="s">
        <v>316</v>
      </c>
      <c r="G692" s="45" t="s">
        <v>1120</v>
      </c>
      <c r="H692" s="45" t="s">
        <v>1126</v>
      </c>
      <c r="I692" s="45" t="s">
        <v>1126</v>
      </c>
      <c r="J692" s="45" t="s">
        <v>4899</v>
      </c>
      <c r="K692" s="45" t="s">
        <v>5587</v>
      </c>
      <c r="L692" s="45" t="s">
        <v>1122</v>
      </c>
      <c r="M692" s="45" t="s">
        <v>1311</v>
      </c>
      <c r="N692" s="45" t="s">
        <v>1312</v>
      </c>
      <c r="O692" s="45" t="s">
        <v>1123</v>
      </c>
      <c r="P692" s="46" t="str">
        <f>HYPERLINK("https://cofre.sieg.com/ajax/danfe.aspx?nfe=26230147508411018012551020000578421129426529","Ver Danfe")</f>
        <v>Ver Danfe</v>
      </c>
      <c r="Q692" s="46" t="str">
        <f>HYPERLINK("https://cofre.sieg.com/ajax/xml.aspx?nfe=26230147508411018012551020000578421129426529","Baixar Xml")</f>
        <v>Baixar Xml</v>
      </c>
    </row>
    <row r="693" spans="1:17" x14ac:dyDescent="0.75">
      <c r="A693" s="5">
        <v>57843</v>
      </c>
      <c r="B693" s="55">
        <v>166.7</v>
      </c>
      <c r="C693" s="5" t="s">
        <v>4899</v>
      </c>
      <c r="D693" s="45" t="s">
        <v>1200</v>
      </c>
      <c r="E693" s="45" t="s">
        <v>316</v>
      </c>
      <c r="F693" s="45" t="s">
        <v>316</v>
      </c>
      <c r="G693" s="45" t="s">
        <v>1120</v>
      </c>
      <c r="H693" s="45" t="s">
        <v>1126</v>
      </c>
      <c r="I693" s="45" t="s">
        <v>1126</v>
      </c>
      <c r="J693" s="45" t="s">
        <v>4899</v>
      </c>
      <c r="K693" s="45" t="s">
        <v>5588</v>
      </c>
      <c r="L693" s="45" t="s">
        <v>1122</v>
      </c>
      <c r="M693" s="45" t="s">
        <v>1311</v>
      </c>
      <c r="N693" s="45" t="s">
        <v>1312</v>
      </c>
      <c r="O693" s="45" t="s">
        <v>1123</v>
      </c>
      <c r="P693" s="46" t="str">
        <f>HYPERLINK("https://cofre.sieg.com/ajax/danfe.aspx?nfe=26230147508411018012551020000578431129430787","Ver Danfe")</f>
        <v>Ver Danfe</v>
      </c>
      <c r="Q693" s="46" t="str">
        <f>HYPERLINK("https://cofre.sieg.com/ajax/xml.aspx?nfe=26230147508411018012551020000578431129430787","Baixar Xml")</f>
        <v>Baixar Xml</v>
      </c>
    </row>
    <row r="694" spans="1:17" x14ac:dyDescent="0.75">
      <c r="A694" s="5">
        <v>57933</v>
      </c>
      <c r="B694" s="55">
        <v>163.9</v>
      </c>
      <c r="C694" s="5" t="s">
        <v>4912</v>
      </c>
      <c r="D694" s="45" t="s">
        <v>1200</v>
      </c>
      <c r="E694" s="45" t="s">
        <v>316</v>
      </c>
      <c r="F694" s="45" t="s">
        <v>316</v>
      </c>
      <c r="G694" s="45" t="s">
        <v>1120</v>
      </c>
      <c r="H694" s="45" t="s">
        <v>1126</v>
      </c>
      <c r="I694" s="45" t="s">
        <v>1126</v>
      </c>
      <c r="J694" s="45" t="s">
        <v>4912</v>
      </c>
      <c r="K694" s="45" t="s">
        <v>5589</v>
      </c>
      <c r="L694" s="45" t="s">
        <v>1122</v>
      </c>
      <c r="M694" s="45" t="s">
        <v>1311</v>
      </c>
      <c r="N694" s="45" t="s">
        <v>1312</v>
      </c>
      <c r="O694" s="45" t="s">
        <v>1123</v>
      </c>
      <c r="P694" s="46" t="str">
        <f>HYPERLINK("https://cofre.sieg.com/ajax/danfe.aspx?nfe=26230147508411018012551020000579331129427653","Ver Danfe")</f>
        <v>Ver Danfe</v>
      </c>
      <c r="Q694" s="46" t="str">
        <f>HYPERLINK("https://cofre.sieg.com/ajax/xml.aspx?nfe=26230147508411018012551020000579331129427653","Baixar Xml")</f>
        <v>Baixar Xml</v>
      </c>
    </row>
    <row r="695" spans="1:17" x14ac:dyDescent="0.75">
      <c r="A695" s="5">
        <v>57934</v>
      </c>
      <c r="B695" s="55">
        <v>62.9</v>
      </c>
      <c r="C695" s="5" t="s">
        <v>4912</v>
      </c>
      <c r="D695" s="45" t="s">
        <v>1200</v>
      </c>
      <c r="E695" s="45" t="s">
        <v>316</v>
      </c>
      <c r="F695" s="45" t="s">
        <v>316</v>
      </c>
      <c r="G695" s="45" t="s">
        <v>1120</v>
      </c>
      <c r="H695" s="45" t="s">
        <v>1126</v>
      </c>
      <c r="I695" s="45" t="s">
        <v>1126</v>
      </c>
      <c r="J695" s="45" t="s">
        <v>4912</v>
      </c>
      <c r="K695" s="45" t="s">
        <v>5590</v>
      </c>
      <c r="L695" s="45" t="s">
        <v>1122</v>
      </c>
      <c r="M695" s="45" t="s">
        <v>1311</v>
      </c>
      <c r="N695" s="45" t="s">
        <v>1312</v>
      </c>
      <c r="O695" s="45" t="s">
        <v>1123</v>
      </c>
      <c r="P695" s="46" t="str">
        <f>HYPERLINK("https://cofre.sieg.com/ajax/danfe.aspx?nfe=26230147508411018012551020000579341129498248","Ver Danfe")</f>
        <v>Ver Danfe</v>
      </c>
      <c r="Q695" s="46" t="str">
        <f>HYPERLINK("https://cofre.sieg.com/ajax/xml.aspx?nfe=26230147508411018012551020000579341129498248","Baixar Xml")</f>
        <v>Baixar Xml</v>
      </c>
    </row>
    <row r="696" spans="1:17" x14ac:dyDescent="0.75">
      <c r="A696" s="5">
        <v>57935</v>
      </c>
      <c r="B696" s="55">
        <v>208.22</v>
      </c>
      <c r="C696" s="5" t="s">
        <v>4912</v>
      </c>
      <c r="D696" s="45" t="s">
        <v>1200</v>
      </c>
      <c r="E696" s="45" t="s">
        <v>316</v>
      </c>
      <c r="F696" s="45" t="s">
        <v>316</v>
      </c>
      <c r="G696" s="45" t="s">
        <v>1120</v>
      </c>
      <c r="H696" s="45" t="s">
        <v>1126</v>
      </c>
      <c r="I696" s="45" t="s">
        <v>1126</v>
      </c>
      <c r="J696" s="45" t="s">
        <v>4912</v>
      </c>
      <c r="K696" s="45" t="s">
        <v>5591</v>
      </c>
      <c r="L696" s="45" t="s">
        <v>1122</v>
      </c>
      <c r="M696" s="45" t="s">
        <v>1311</v>
      </c>
      <c r="N696" s="45" t="s">
        <v>1312</v>
      </c>
      <c r="O696" s="45" t="s">
        <v>1123</v>
      </c>
      <c r="P696" s="46" t="str">
        <f>HYPERLINK("https://cofre.sieg.com/ajax/danfe.aspx?nfe=26230147508411018012551020000579351129438374","Ver Danfe")</f>
        <v>Ver Danfe</v>
      </c>
      <c r="Q696" s="46" t="str">
        <f>HYPERLINK("https://cofre.sieg.com/ajax/xml.aspx?nfe=26230147508411018012551020000579351129438374","Baixar Xml")</f>
        <v>Baixar Xml</v>
      </c>
    </row>
    <row r="697" spans="1:17" x14ac:dyDescent="0.75">
      <c r="A697" s="5">
        <v>57977</v>
      </c>
      <c r="B697" s="55">
        <v>97.3</v>
      </c>
      <c r="C697" s="5" t="s">
        <v>4938</v>
      </c>
      <c r="D697" s="45" t="s">
        <v>1200</v>
      </c>
      <c r="E697" s="45" t="s">
        <v>316</v>
      </c>
      <c r="F697" s="45" t="s">
        <v>316</v>
      </c>
      <c r="G697" s="45" t="s">
        <v>1120</v>
      </c>
      <c r="H697" s="45" t="s">
        <v>1126</v>
      </c>
      <c r="I697" s="45" t="s">
        <v>1126</v>
      </c>
      <c r="J697" s="45" t="s">
        <v>4938</v>
      </c>
      <c r="K697" s="45" t="s">
        <v>5592</v>
      </c>
      <c r="L697" s="45" t="s">
        <v>1122</v>
      </c>
      <c r="M697" s="45"/>
      <c r="N697" s="45"/>
      <c r="O697" s="45" t="s">
        <v>1123</v>
      </c>
      <c r="P697" s="46" t="str">
        <f>HYPERLINK("https://cofre.sieg.com/ajax/danfe.aspx?nfe=26230147508411018012551020000579771129439834","Ver Danfe")</f>
        <v>Ver Danfe</v>
      </c>
      <c r="Q697" s="46" t="str">
        <f>HYPERLINK("https://cofre.sieg.com/ajax/xml.aspx?nfe=26230147508411018012551020000579771129439834","Baixar Xml")</f>
        <v>Baixar Xml</v>
      </c>
    </row>
    <row r="698" spans="1:17" x14ac:dyDescent="0.75">
      <c r="A698" s="5">
        <v>95957</v>
      </c>
      <c r="B698" s="55">
        <v>79</v>
      </c>
      <c r="C698" s="5" t="s">
        <v>4834</v>
      </c>
      <c r="D698" s="45" t="s">
        <v>1201</v>
      </c>
      <c r="E698" s="45" t="s">
        <v>1202</v>
      </c>
      <c r="F698" s="45" t="s">
        <v>316</v>
      </c>
      <c r="G698" s="45" t="s">
        <v>1120</v>
      </c>
      <c r="H698" s="45" t="s">
        <v>1126</v>
      </c>
      <c r="I698" s="45" t="s">
        <v>1126</v>
      </c>
      <c r="J698" s="45" t="s">
        <v>4834</v>
      </c>
      <c r="K698" s="45" t="s">
        <v>5593</v>
      </c>
      <c r="L698" s="45" t="s">
        <v>1122</v>
      </c>
      <c r="M698" s="45" t="s">
        <v>1311</v>
      </c>
      <c r="N698" s="45" t="s">
        <v>1312</v>
      </c>
      <c r="O698" s="45" t="s">
        <v>1123</v>
      </c>
      <c r="P698" s="46" t="str">
        <f>HYPERLINK("https://cofre.sieg.com/ajax/danfe.aspx?nfe=26230147508411038048551100000959571181883709","Ver Danfe")</f>
        <v>Ver Danfe</v>
      </c>
      <c r="Q698" s="46" t="str">
        <f>HYPERLINK("https://cofre.sieg.com/ajax/xml.aspx?nfe=26230147508411038048551100000959571181883709","Baixar Xml")</f>
        <v>Baixar Xml</v>
      </c>
    </row>
    <row r="699" spans="1:17" x14ac:dyDescent="0.75">
      <c r="A699" s="5">
        <v>96474</v>
      </c>
      <c r="B699" s="55">
        <v>490</v>
      </c>
      <c r="C699" s="5" t="s">
        <v>4844</v>
      </c>
      <c r="D699" s="45" t="s">
        <v>1201</v>
      </c>
      <c r="E699" s="45" t="s">
        <v>1202</v>
      </c>
      <c r="F699" s="45" t="s">
        <v>316</v>
      </c>
      <c r="G699" s="45" t="s">
        <v>1120</v>
      </c>
      <c r="H699" s="45" t="s">
        <v>1126</v>
      </c>
      <c r="I699" s="45" t="s">
        <v>1126</v>
      </c>
      <c r="J699" s="45" t="s">
        <v>4844</v>
      </c>
      <c r="K699" s="45" t="s">
        <v>5594</v>
      </c>
      <c r="L699" s="45" t="s">
        <v>1122</v>
      </c>
      <c r="M699" s="45" t="s">
        <v>1311</v>
      </c>
      <c r="N699" s="45" t="s">
        <v>1312</v>
      </c>
      <c r="O699" s="45" t="s">
        <v>1123</v>
      </c>
      <c r="P699" s="46" t="str">
        <f>HYPERLINK("https://cofre.sieg.com/ajax/danfe.aspx?nfe=26230147508411038048551100000964741182165786","Ver Danfe")</f>
        <v>Ver Danfe</v>
      </c>
      <c r="Q699" s="46" t="str">
        <f>HYPERLINK("https://cofre.sieg.com/ajax/xml.aspx?nfe=26230147508411038048551100000964741182165786","Baixar Xml")</f>
        <v>Baixar Xml</v>
      </c>
    </row>
    <row r="700" spans="1:17" x14ac:dyDescent="0.75">
      <c r="A700" s="5">
        <v>97322</v>
      </c>
      <c r="B700" s="55">
        <v>176</v>
      </c>
      <c r="C700" s="5" t="s">
        <v>4862</v>
      </c>
      <c r="D700" s="45" t="s">
        <v>1201</v>
      </c>
      <c r="E700" s="45" t="s">
        <v>1202</v>
      </c>
      <c r="F700" s="45" t="s">
        <v>316</v>
      </c>
      <c r="G700" s="45" t="s">
        <v>1120</v>
      </c>
      <c r="H700" s="45" t="s">
        <v>1126</v>
      </c>
      <c r="I700" s="45" t="s">
        <v>1126</v>
      </c>
      <c r="J700" s="45" t="s">
        <v>4862</v>
      </c>
      <c r="K700" s="45" t="s">
        <v>5595</v>
      </c>
      <c r="L700" s="45" t="s">
        <v>1122</v>
      </c>
      <c r="M700" s="45" t="s">
        <v>1311</v>
      </c>
      <c r="N700" s="45" t="s">
        <v>1312</v>
      </c>
      <c r="O700" s="45" t="s">
        <v>1123</v>
      </c>
      <c r="P700" s="46" t="str">
        <f>HYPERLINK("https://cofre.sieg.com/ajax/danfe.aspx?nfe=26230147508411038048551100000973221182674560","Ver Danfe")</f>
        <v>Ver Danfe</v>
      </c>
      <c r="Q700" s="46" t="str">
        <f>HYPERLINK("https://cofre.sieg.com/ajax/xml.aspx?nfe=26230147508411038048551100000973221182674560","Baixar Xml")</f>
        <v>Baixar Xml</v>
      </c>
    </row>
    <row r="701" spans="1:17" x14ac:dyDescent="0.75">
      <c r="A701" s="5">
        <v>97997</v>
      </c>
      <c r="B701" s="55">
        <v>20</v>
      </c>
      <c r="C701" s="5" t="s">
        <v>4873</v>
      </c>
      <c r="D701" s="45" t="s">
        <v>1201</v>
      </c>
      <c r="E701" s="45" t="s">
        <v>1202</v>
      </c>
      <c r="F701" s="45" t="s">
        <v>316</v>
      </c>
      <c r="G701" s="45" t="s">
        <v>1120</v>
      </c>
      <c r="H701" s="45" t="s">
        <v>1126</v>
      </c>
      <c r="I701" s="45" t="s">
        <v>1126</v>
      </c>
      <c r="J701" s="45" t="s">
        <v>4873</v>
      </c>
      <c r="K701" s="45" t="s">
        <v>5596</v>
      </c>
      <c r="L701" s="45" t="s">
        <v>1122</v>
      </c>
      <c r="M701" s="45" t="s">
        <v>1311</v>
      </c>
      <c r="N701" s="45" t="s">
        <v>1312</v>
      </c>
      <c r="O701" s="45" t="s">
        <v>1123</v>
      </c>
      <c r="P701" s="46" t="str">
        <f>HYPERLINK("https://cofre.sieg.com/ajax/danfe.aspx?nfe=26230147508411038048551100000979971182940697","Ver Danfe")</f>
        <v>Ver Danfe</v>
      </c>
      <c r="Q701" s="46" t="str">
        <f>HYPERLINK("https://cofre.sieg.com/ajax/xml.aspx?nfe=26230147508411038048551100000979971182940697","Baixar Xml")</f>
        <v>Baixar Xml</v>
      </c>
    </row>
    <row r="702" spans="1:17" x14ac:dyDescent="0.75">
      <c r="A702" s="5">
        <v>98142</v>
      </c>
      <c r="B702" s="55">
        <v>272</v>
      </c>
      <c r="C702" s="5" t="s">
        <v>4877</v>
      </c>
      <c r="D702" s="45" t="s">
        <v>1201</v>
      </c>
      <c r="E702" s="45" t="s">
        <v>1202</v>
      </c>
      <c r="F702" s="45" t="s">
        <v>316</v>
      </c>
      <c r="G702" s="45" t="s">
        <v>1120</v>
      </c>
      <c r="H702" s="45" t="s">
        <v>1126</v>
      </c>
      <c r="I702" s="45" t="s">
        <v>1126</v>
      </c>
      <c r="J702" s="45" t="s">
        <v>4877</v>
      </c>
      <c r="K702" s="45" t="s">
        <v>5597</v>
      </c>
      <c r="L702" s="45" t="s">
        <v>1122</v>
      </c>
      <c r="M702" s="45" t="s">
        <v>1311</v>
      </c>
      <c r="N702" s="45" t="s">
        <v>1312</v>
      </c>
      <c r="O702" s="45" t="s">
        <v>1123</v>
      </c>
      <c r="P702" s="46" t="str">
        <f>HYPERLINK("https://cofre.sieg.com/ajax/danfe.aspx?nfe=26230147508411038048551100000981421183060413","Ver Danfe")</f>
        <v>Ver Danfe</v>
      </c>
      <c r="Q702" s="46" t="str">
        <f>HYPERLINK("https://cofre.sieg.com/ajax/xml.aspx?nfe=26230147508411038048551100000981421183060413","Baixar Xml")</f>
        <v>Baixar Xml</v>
      </c>
    </row>
    <row r="703" spans="1:17" x14ac:dyDescent="0.75">
      <c r="A703" s="5">
        <v>98585</v>
      </c>
      <c r="B703" s="55">
        <v>490</v>
      </c>
      <c r="C703" s="5" t="s">
        <v>4883</v>
      </c>
      <c r="D703" s="45" t="s">
        <v>1201</v>
      </c>
      <c r="E703" s="45" t="s">
        <v>1202</v>
      </c>
      <c r="F703" s="45" t="s">
        <v>316</v>
      </c>
      <c r="G703" s="45" t="s">
        <v>1120</v>
      </c>
      <c r="H703" s="45" t="s">
        <v>1126</v>
      </c>
      <c r="I703" s="45" t="s">
        <v>1126</v>
      </c>
      <c r="J703" s="45" t="s">
        <v>4883</v>
      </c>
      <c r="K703" s="45" t="s">
        <v>5598</v>
      </c>
      <c r="L703" s="45" t="s">
        <v>1122</v>
      </c>
      <c r="M703" s="45"/>
      <c r="N703" s="45"/>
      <c r="O703" s="45" t="s">
        <v>1123</v>
      </c>
      <c r="P703" s="46" t="str">
        <f>HYPERLINK("https://cofre.sieg.com/ajax/danfe.aspx?nfe=26230147508411038048551100000985851183200001","Ver Danfe")</f>
        <v>Ver Danfe</v>
      </c>
      <c r="Q703" s="46" t="str">
        <f>HYPERLINK("https://cofre.sieg.com/ajax/xml.aspx?nfe=26230147508411038048551100000985851183200001","Baixar Xml")</f>
        <v>Baixar Xml</v>
      </c>
    </row>
    <row r="704" spans="1:17" x14ac:dyDescent="0.75">
      <c r="A704" s="5">
        <v>99102</v>
      </c>
      <c r="B704" s="55">
        <v>135.19999999999999</v>
      </c>
      <c r="C704" s="5" t="s">
        <v>4887</v>
      </c>
      <c r="D704" s="45" t="s">
        <v>1201</v>
      </c>
      <c r="E704" s="45" t="s">
        <v>1202</v>
      </c>
      <c r="F704" s="45" t="s">
        <v>316</v>
      </c>
      <c r="G704" s="45" t="s">
        <v>1120</v>
      </c>
      <c r="H704" s="45" t="s">
        <v>1126</v>
      </c>
      <c r="I704" s="45" t="s">
        <v>1126</v>
      </c>
      <c r="J704" s="45" t="s">
        <v>4887</v>
      </c>
      <c r="K704" s="45" t="s">
        <v>5599</v>
      </c>
      <c r="L704" s="45" t="s">
        <v>1122</v>
      </c>
      <c r="M704" s="45"/>
      <c r="N704" s="45"/>
      <c r="O704" s="45" t="s">
        <v>1123</v>
      </c>
      <c r="P704" s="46" t="str">
        <f>HYPERLINK("https://cofre.sieg.com/ajax/danfe.aspx?nfe=26230147508411038048551100000991021183498671","Ver Danfe")</f>
        <v>Ver Danfe</v>
      </c>
      <c r="Q704" s="46" t="str">
        <f>HYPERLINK("https://cofre.sieg.com/ajax/xml.aspx?nfe=26230147508411038048551100000991021183498671","Baixar Xml")</f>
        <v>Baixar Xml</v>
      </c>
    </row>
    <row r="705" spans="1:17" x14ac:dyDescent="0.75">
      <c r="A705" s="5">
        <v>99482</v>
      </c>
      <c r="B705" s="55">
        <v>30</v>
      </c>
      <c r="C705" s="5" t="s">
        <v>4891</v>
      </c>
      <c r="D705" s="45" t="s">
        <v>1201</v>
      </c>
      <c r="E705" s="45" t="s">
        <v>1202</v>
      </c>
      <c r="F705" s="45" t="s">
        <v>316</v>
      </c>
      <c r="G705" s="45" t="s">
        <v>1120</v>
      </c>
      <c r="H705" s="45" t="s">
        <v>1126</v>
      </c>
      <c r="I705" s="45" t="s">
        <v>1126</v>
      </c>
      <c r="J705" s="45" t="s">
        <v>4891</v>
      </c>
      <c r="K705" s="45" t="s">
        <v>5600</v>
      </c>
      <c r="L705" s="45" t="s">
        <v>1122</v>
      </c>
      <c r="M705" s="45" t="s">
        <v>1311</v>
      </c>
      <c r="N705" s="45" t="s">
        <v>1312</v>
      </c>
      <c r="O705" s="45" t="s">
        <v>1123</v>
      </c>
      <c r="P705" s="46" t="str">
        <f>HYPERLINK("https://cofre.sieg.com/ajax/danfe.aspx?nfe=26230147508411038048551100000994821183637598","Ver Danfe")</f>
        <v>Ver Danfe</v>
      </c>
      <c r="Q705" s="46" t="str">
        <f>HYPERLINK("https://cofre.sieg.com/ajax/xml.aspx?nfe=26230147508411038048551100000994821183637598","Baixar Xml")</f>
        <v>Baixar Xml</v>
      </c>
    </row>
    <row r="706" spans="1:17" x14ac:dyDescent="0.75">
      <c r="A706" s="5">
        <v>99483</v>
      </c>
      <c r="B706" s="55">
        <v>160</v>
      </c>
      <c r="C706" s="5" t="s">
        <v>4891</v>
      </c>
      <c r="D706" s="45" t="s">
        <v>1201</v>
      </c>
      <c r="E706" s="45" t="s">
        <v>1202</v>
      </c>
      <c r="F706" s="45" t="s">
        <v>316</v>
      </c>
      <c r="G706" s="45" t="s">
        <v>1120</v>
      </c>
      <c r="H706" s="45" t="s">
        <v>1126</v>
      </c>
      <c r="I706" s="45" t="s">
        <v>1126</v>
      </c>
      <c r="J706" s="45" t="s">
        <v>4891</v>
      </c>
      <c r="K706" s="45" t="s">
        <v>5601</v>
      </c>
      <c r="L706" s="45" t="s">
        <v>1122</v>
      </c>
      <c r="M706" s="45" t="s">
        <v>1311</v>
      </c>
      <c r="N706" s="45" t="s">
        <v>1312</v>
      </c>
      <c r="O706" s="45" t="s">
        <v>1123</v>
      </c>
      <c r="P706" s="46" t="str">
        <f>HYPERLINK("https://cofre.sieg.com/ajax/danfe.aspx?nfe=26230147508411038048551100000994831183637609","Ver Danfe")</f>
        <v>Ver Danfe</v>
      </c>
      <c r="Q706" s="46" t="str">
        <f>HYPERLINK("https://cofre.sieg.com/ajax/xml.aspx?nfe=26230147508411038048551100000994831183637609","Baixar Xml")</f>
        <v>Baixar Xml</v>
      </c>
    </row>
    <row r="707" spans="1:17" x14ac:dyDescent="0.75">
      <c r="A707" s="5">
        <v>99484</v>
      </c>
      <c r="B707" s="55">
        <v>79</v>
      </c>
      <c r="C707" s="5" t="s">
        <v>4891</v>
      </c>
      <c r="D707" s="45" t="s">
        <v>1201</v>
      </c>
      <c r="E707" s="45" t="s">
        <v>1202</v>
      </c>
      <c r="F707" s="45" t="s">
        <v>316</v>
      </c>
      <c r="G707" s="45" t="s">
        <v>1120</v>
      </c>
      <c r="H707" s="45" t="s">
        <v>1126</v>
      </c>
      <c r="I707" s="45" t="s">
        <v>1126</v>
      </c>
      <c r="J707" s="45" t="s">
        <v>4891</v>
      </c>
      <c r="K707" s="45" t="s">
        <v>5602</v>
      </c>
      <c r="L707" s="45" t="s">
        <v>1122</v>
      </c>
      <c r="M707" s="45"/>
      <c r="N707" s="45"/>
      <c r="O707" s="45" t="s">
        <v>1123</v>
      </c>
      <c r="P707" s="46" t="str">
        <f>HYPERLINK("https://cofre.sieg.com/ajax/danfe.aspx?nfe=26230147508411038048551100000994841183638360","Ver Danfe")</f>
        <v>Ver Danfe</v>
      </c>
      <c r="Q707" s="46" t="str">
        <f>HYPERLINK("https://cofre.sieg.com/ajax/xml.aspx?nfe=26230147508411038048551100000994841183638360","Baixar Xml")</f>
        <v>Baixar Xml</v>
      </c>
    </row>
    <row r="708" spans="1:17" x14ac:dyDescent="0.75">
      <c r="A708" s="5">
        <v>100403</v>
      </c>
      <c r="B708" s="55">
        <v>195</v>
      </c>
      <c r="C708" s="5" t="s">
        <v>4907</v>
      </c>
      <c r="D708" s="45" t="s">
        <v>1201</v>
      </c>
      <c r="E708" s="45" t="s">
        <v>1202</v>
      </c>
      <c r="F708" s="45" t="s">
        <v>316</v>
      </c>
      <c r="G708" s="45" t="s">
        <v>1120</v>
      </c>
      <c r="H708" s="45" t="s">
        <v>1126</v>
      </c>
      <c r="I708" s="45" t="s">
        <v>1126</v>
      </c>
      <c r="J708" s="45" t="s">
        <v>4907</v>
      </c>
      <c r="K708" s="45" t="s">
        <v>5603</v>
      </c>
      <c r="L708" s="45" t="s">
        <v>1122</v>
      </c>
      <c r="M708" s="45"/>
      <c r="N708" s="45"/>
      <c r="O708" s="45" t="s">
        <v>1123</v>
      </c>
      <c r="P708" s="46" t="str">
        <f>HYPERLINK("https://cofre.sieg.com/ajax/danfe.aspx?nfe=26230147508411038048551100001004031184040582","Ver Danfe")</f>
        <v>Ver Danfe</v>
      </c>
      <c r="Q708" s="46" t="str">
        <f>HYPERLINK("https://cofre.sieg.com/ajax/xml.aspx?nfe=26230147508411038048551100001004031184040582","Baixar Xml")</f>
        <v>Baixar Xml</v>
      </c>
    </row>
    <row r="709" spans="1:17" x14ac:dyDescent="0.75">
      <c r="A709" s="5">
        <v>100709</v>
      </c>
      <c r="B709" s="55">
        <v>100</v>
      </c>
      <c r="C709" s="5" t="s">
        <v>4908</v>
      </c>
      <c r="D709" s="45" t="s">
        <v>1201</v>
      </c>
      <c r="E709" s="45" t="s">
        <v>1202</v>
      </c>
      <c r="F709" s="45" t="s">
        <v>316</v>
      </c>
      <c r="G709" s="45" t="s">
        <v>1120</v>
      </c>
      <c r="H709" s="45" t="s">
        <v>1126</v>
      </c>
      <c r="I709" s="45" t="s">
        <v>1126</v>
      </c>
      <c r="J709" s="45" t="s">
        <v>4908</v>
      </c>
      <c r="K709" s="45" t="s">
        <v>5604</v>
      </c>
      <c r="L709" s="45" t="s">
        <v>1122</v>
      </c>
      <c r="M709" s="45"/>
      <c r="N709" s="45"/>
      <c r="O709" s="45" t="s">
        <v>1123</v>
      </c>
      <c r="P709" s="46" t="str">
        <f>HYPERLINK("https://cofre.sieg.com/ajax/danfe.aspx?nfe=26230147508411038048551100001007091184191017","Ver Danfe")</f>
        <v>Ver Danfe</v>
      </c>
      <c r="Q709" s="46" t="str">
        <f>HYPERLINK("https://cofre.sieg.com/ajax/xml.aspx?nfe=26230147508411038048551100001007091184191017","Baixar Xml")</f>
        <v>Baixar Xml</v>
      </c>
    </row>
    <row r="710" spans="1:17" x14ac:dyDescent="0.75">
      <c r="A710" s="5">
        <v>101024</v>
      </c>
      <c r="B710" s="55">
        <v>176</v>
      </c>
      <c r="C710" s="5" t="s">
        <v>4919</v>
      </c>
      <c r="D710" s="45" t="s">
        <v>1201</v>
      </c>
      <c r="E710" s="45" t="s">
        <v>1202</v>
      </c>
      <c r="F710" s="45" t="s">
        <v>316</v>
      </c>
      <c r="G710" s="45" t="s">
        <v>1120</v>
      </c>
      <c r="H710" s="45" t="s">
        <v>1126</v>
      </c>
      <c r="I710" s="45" t="s">
        <v>1126</v>
      </c>
      <c r="J710" s="45" t="s">
        <v>4919</v>
      </c>
      <c r="K710" s="45" t="s">
        <v>5605</v>
      </c>
      <c r="L710" s="45" t="s">
        <v>1122</v>
      </c>
      <c r="M710" s="45" t="s">
        <v>1311</v>
      </c>
      <c r="N710" s="45" t="s">
        <v>1312</v>
      </c>
      <c r="O710" s="45" t="s">
        <v>1123</v>
      </c>
      <c r="P710" s="46" t="str">
        <f>HYPERLINK("https://cofre.sieg.com/ajax/danfe.aspx?nfe=26230147508411038048551100001010241184494543","Ver Danfe")</f>
        <v>Ver Danfe</v>
      </c>
      <c r="Q710" s="46" t="str">
        <f>HYPERLINK("https://cofre.sieg.com/ajax/xml.aspx?nfe=26230147508411038048551100001010241184494543","Baixar Xml")</f>
        <v>Baixar Xml</v>
      </c>
    </row>
    <row r="711" spans="1:17" x14ac:dyDescent="0.75">
      <c r="A711" s="5">
        <v>101025</v>
      </c>
      <c r="B711" s="55">
        <v>118</v>
      </c>
      <c r="C711" s="5" t="s">
        <v>4919</v>
      </c>
      <c r="D711" s="45" t="s">
        <v>1201</v>
      </c>
      <c r="E711" s="45" t="s">
        <v>1202</v>
      </c>
      <c r="F711" s="45" t="s">
        <v>316</v>
      </c>
      <c r="G711" s="45" t="s">
        <v>1120</v>
      </c>
      <c r="H711" s="45" t="s">
        <v>1126</v>
      </c>
      <c r="I711" s="45" t="s">
        <v>1126</v>
      </c>
      <c r="J711" s="45" t="s">
        <v>4919</v>
      </c>
      <c r="K711" s="45" t="s">
        <v>5606</v>
      </c>
      <c r="L711" s="45" t="s">
        <v>1122</v>
      </c>
      <c r="M711" s="45" t="s">
        <v>1311</v>
      </c>
      <c r="N711" s="45" t="s">
        <v>1312</v>
      </c>
      <c r="O711" s="45" t="s">
        <v>1123</v>
      </c>
      <c r="P711" s="46" t="str">
        <f>HYPERLINK("https://cofre.sieg.com/ajax/danfe.aspx?nfe=26230147508411038048551100001010251184494559","Ver Danfe")</f>
        <v>Ver Danfe</v>
      </c>
      <c r="Q711" s="46" t="str">
        <f>HYPERLINK("https://cofre.sieg.com/ajax/xml.aspx?nfe=26230147508411038048551100001010251184494559","Baixar Xml")</f>
        <v>Baixar Xml</v>
      </c>
    </row>
    <row r="712" spans="1:17" x14ac:dyDescent="0.75">
      <c r="A712" s="5">
        <v>101171</v>
      </c>
      <c r="B712" s="55">
        <v>67.5</v>
      </c>
      <c r="C712" s="5" t="s">
        <v>4923</v>
      </c>
      <c r="D712" s="45" t="s">
        <v>1201</v>
      </c>
      <c r="E712" s="45" t="s">
        <v>1202</v>
      </c>
      <c r="F712" s="45" t="s">
        <v>316</v>
      </c>
      <c r="G712" s="45" t="s">
        <v>1120</v>
      </c>
      <c r="H712" s="45" t="s">
        <v>1126</v>
      </c>
      <c r="I712" s="45" t="s">
        <v>1126</v>
      </c>
      <c r="J712" s="45" t="s">
        <v>4923</v>
      </c>
      <c r="K712" s="45" t="s">
        <v>5607</v>
      </c>
      <c r="L712" s="45" t="s">
        <v>1122</v>
      </c>
      <c r="M712" s="45"/>
      <c r="N712" s="45"/>
      <c r="O712" s="45" t="s">
        <v>1123</v>
      </c>
      <c r="P712" s="46" t="str">
        <f>HYPERLINK("https://cofre.sieg.com/ajax/danfe.aspx?nfe=26230147508411038048551100001011711184613203","Ver Danfe")</f>
        <v>Ver Danfe</v>
      </c>
      <c r="Q712" s="46" t="str">
        <f>HYPERLINK("https://cofre.sieg.com/ajax/xml.aspx?nfe=26230147508411038048551100001011711184613203","Baixar Xml")</f>
        <v>Baixar Xml</v>
      </c>
    </row>
    <row r="713" spans="1:17" x14ac:dyDescent="0.75">
      <c r="A713" s="5">
        <v>101406</v>
      </c>
      <c r="B713" s="55">
        <v>68</v>
      </c>
      <c r="C713" s="5" t="s">
        <v>4930</v>
      </c>
      <c r="D713" s="45" t="s">
        <v>1201</v>
      </c>
      <c r="E713" s="45" t="s">
        <v>1202</v>
      </c>
      <c r="F713" s="45" t="s">
        <v>316</v>
      </c>
      <c r="G713" s="45" t="s">
        <v>1120</v>
      </c>
      <c r="H713" s="45" t="s">
        <v>1126</v>
      </c>
      <c r="I713" s="45" t="s">
        <v>1126</v>
      </c>
      <c r="J713" s="45" t="s">
        <v>4930</v>
      </c>
      <c r="K713" s="45" t="s">
        <v>5608</v>
      </c>
      <c r="L713" s="45" t="s">
        <v>1122</v>
      </c>
      <c r="M713" s="45"/>
      <c r="N713" s="45"/>
      <c r="O713" s="45" t="s">
        <v>1123</v>
      </c>
      <c r="P713" s="46" t="str">
        <f>HYPERLINK("https://cofre.sieg.com/ajax/danfe.aspx?nfe=26230147508411038048551100001014061184748115","Ver Danfe")</f>
        <v>Ver Danfe</v>
      </c>
      <c r="Q713" s="46" t="str">
        <f>HYPERLINK("https://cofre.sieg.com/ajax/xml.aspx?nfe=26230147508411038048551100001014061184748115","Baixar Xml")</f>
        <v>Baixar Xml</v>
      </c>
    </row>
    <row r="714" spans="1:17" x14ac:dyDescent="0.75">
      <c r="A714" s="5">
        <v>101602</v>
      </c>
      <c r="B714" s="55">
        <v>40</v>
      </c>
      <c r="C714" s="5" t="s">
        <v>4937</v>
      </c>
      <c r="D714" s="45" t="s">
        <v>1201</v>
      </c>
      <c r="E714" s="45" t="s">
        <v>1202</v>
      </c>
      <c r="F714" s="45" t="s">
        <v>316</v>
      </c>
      <c r="G714" s="45" t="s">
        <v>1120</v>
      </c>
      <c r="H714" s="45" t="s">
        <v>1126</v>
      </c>
      <c r="I714" s="45" t="s">
        <v>1126</v>
      </c>
      <c r="J714" s="45" t="s">
        <v>4937</v>
      </c>
      <c r="K714" s="45" t="s">
        <v>5609</v>
      </c>
      <c r="L714" s="45" t="s">
        <v>1122</v>
      </c>
      <c r="M714" s="45" t="s">
        <v>1311</v>
      </c>
      <c r="N714" s="45" t="s">
        <v>1312</v>
      </c>
      <c r="O714" s="45" t="s">
        <v>1123</v>
      </c>
      <c r="P714" s="46" t="str">
        <f>HYPERLINK("https://cofre.sieg.com/ajax/danfe.aspx?nfe=26230147508411038048551100001016021184895632","Ver Danfe")</f>
        <v>Ver Danfe</v>
      </c>
      <c r="Q714" s="46" t="str">
        <f>HYPERLINK("https://cofre.sieg.com/ajax/xml.aspx?nfe=26230147508411038048551100001016021184895632","Baixar Xml")</f>
        <v>Baixar Xml</v>
      </c>
    </row>
    <row r="715" spans="1:17" x14ac:dyDescent="0.75">
      <c r="A715" s="5">
        <v>101798</v>
      </c>
      <c r="B715" s="55">
        <v>84.5</v>
      </c>
      <c r="C715" s="5" t="s">
        <v>4938</v>
      </c>
      <c r="D715" s="45" t="s">
        <v>1201</v>
      </c>
      <c r="E715" s="45" t="s">
        <v>1202</v>
      </c>
      <c r="F715" s="45" t="s">
        <v>316</v>
      </c>
      <c r="G715" s="45" t="s">
        <v>1120</v>
      </c>
      <c r="H715" s="45" t="s">
        <v>1126</v>
      </c>
      <c r="I715" s="45" t="s">
        <v>1126</v>
      </c>
      <c r="J715" s="45" t="s">
        <v>4938</v>
      </c>
      <c r="K715" s="45" t="s">
        <v>5610</v>
      </c>
      <c r="L715" s="45" t="s">
        <v>1122</v>
      </c>
      <c r="M715" s="45"/>
      <c r="N715" s="45"/>
      <c r="O715" s="45" t="s">
        <v>1123</v>
      </c>
      <c r="P715" s="46" t="str">
        <f>HYPERLINK("https://cofre.sieg.com/ajax/danfe.aspx?nfe=26230147508411038048551100001017981185037547","Ver Danfe")</f>
        <v>Ver Danfe</v>
      </c>
      <c r="Q715" s="46" t="str">
        <f>HYPERLINK("https://cofre.sieg.com/ajax/xml.aspx?nfe=26230147508411038048551100001017981185037547","Baixar Xml")</f>
        <v>Baixar Xml</v>
      </c>
    </row>
    <row r="716" spans="1:17" x14ac:dyDescent="0.75">
      <c r="A716" s="5">
        <v>101799</v>
      </c>
      <c r="B716" s="55">
        <v>80</v>
      </c>
      <c r="C716" s="5" t="s">
        <v>4938</v>
      </c>
      <c r="D716" s="45" t="s">
        <v>1201</v>
      </c>
      <c r="E716" s="45" t="s">
        <v>1202</v>
      </c>
      <c r="F716" s="45" t="s">
        <v>316</v>
      </c>
      <c r="G716" s="45" t="s">
        <v>1120</v>
      </c>
      <c r="H716" s="45" t="s">
        <v>1126</v>
      </c>
      <c r="I716" s="45" t="s">
        <v>1126</v>
      </c>
      <c r="J716" s="45" t="s">
        <v>4938</v>
      </c>
      <c r="K716" s="45" t="s">
        <v>5611</v>
      </c>
      <c r="L716" s="45" t="s">
        <v>1122</v>
      </c>
      <c r="M716" s="45"/>
      <c r="N716" s="45"/>
      <c r="O716" s="45" t="s">
        <v>1123</v>
      </c>
      <c r="P716" s="46" t="str">
        <f>HYPERLINK("https://cofre.sieg.com/ajax/danfe.aspx?nfe=26230147508411038048551100001017991185037552","Ver Danfe")</f>
        <v>Ver Danfe</v>
      </c>
      <c r="Q716" s="46" t="str">
        <f>HYPERLINK("https://cofre.sieg.com/ajax/xml.aspx?nfe=26230147508411038048551100001017991185037552","Baixar Xml")</f>
        <v>Baixar Xml</v>
      </c>
    </row>
    <row r="717" spans="1:17" x14ac:dyDescent="0.75">
      <c r="A717" s="5">
        <v>54018</v>
      </c>
      <c r="B717" s="55">
        <v>350.32</v>
      </c>
      <c r="C717" s="5" t="s">
        <v>4825</v>
      </c>
      <c r="D717" s="45" t="s">
        <v>1203</v>
      </c>
      <c r="E717" s="45" t="s">
        <v>316</v>
      </c>
      <c r="F717" s="45" t="s">
        <v>316</v>
      </c>
      <c r="G717" s="45" t="s">
        <v>1120</v>
      </c>
      <c r="H717" s="45" t="s">
        <v>1126</v>
      </c>
      <c r="I717" s="45" t="s">
        <v>1126</v>
      </c>
      <c r="J717" s="45" t="s">
        <v>4825</v>
      </c>
      <c r="K717" s="45" t="s">
        <v>5612</v>
      </c>
      <c r="L717" s="45" t="s">
        <v>1122</v>
      </c>
      <c r="M717" s="45" t="s">
        <v>1311</v>
      </c>
      <c r="N717" s="45" t="s">
        <v>1312</v>
      </c>
      <c r="O717" s="45" t="s">
        <v>1123</v>
      </c>
      <c r="P717" s="46" t="str">
        <f>HYPERLINK("https://cofre.sieg.com/ajax/danfe.aspx?nfe=26230147508411117851551020000540181237794473","Ver Danfe")</f>
        <v>Ver Danfe</v>
      </c>
      <c r="Q717" s="46" t="str">
        <f>HYPERLINK("https://cofre.sieg.com/ajax/xml.aspx?nfe=26230147508411117851551020000540181237794473","Baixar Xml")</f>
        <v>Baixar Xml</v>
      </c>
    </row>
    <row r="718" spans="1:17" x14ac:dyDescent="0.75">
      <c r="A718" s="5">
        <v>54030</v>
      </c>
      <c r="B718" s="55">
        <v>372.48</v>
      </c>
      <c r="C718" s="5" t="s">
        <v>4826</v>
      </c>
      <c r="D718" s="45" t="s">
        <v>1203</v>
      </c>
      <c r="E718" s="45" t="s">
        <v>316</v>
      </c>
      <c r="F718" s="45" t="s">
        <v>316</v>
      </c>
      <c r="G718" s="45" t="s">
        <v>1120</v>
      </c>
      <c r="H718" s="45" t="s">
        <v>1126</v>
      </c>
      <c r="I718" s="45" t="s">
        <v>1126</v>
      </c>
      <c r="J718" s="45" t="s">
        <v>4826</v>
      </c>
      <c r="K718" s="45" t="s">
        <v>5613</v>
      </c>
      <c r="L718" s="45" t="s">
        <v>1122</v>
      </c>
      <c r="M718" s="45" t="s">
        <v>1311</v>
      </c>
      <c r="N718" s="45" t="s">
        <v>1312</v>
      </c>
      <c r="O718" s="45" t="s">
        <v>1123</v>
      </c>
      <c r="P718" s="46" t="str">
        <f>HYPERLINK("https://cofre.sieg.com/ajax/danfe.aspx?nfe=26230147508411117851551020000540301237758080","Ver Danfe")</f>
        <v>Ver Danfe</v>
      </c>
      <c r="Q718" s="46" t="str">
        <f>HYPERLINK("https://cofre.sieg.com/ajax/xml.aspx?nfe=26230147508411117851551020000540301237758080","Baixar Xml")</f>
        <v>Baixar Xml</v>
      </c>
    </row>
    <row r="719" spans="1:17" x14ac:dyDescent="0.75">
      <c r="A719" s="5">
        <v>54038</v>
      </c>
      <c r="B719" s="55">
        <v>285.45999999999998</v>
      </c>
      <c r="C719" s="5" t="s">
        <v>4834</v>
      </c>
      <c r="D719" s="45" t="s">
        <v>1203</v>
      </c>
      <c r="E719" s="45" t="s">
        <v>316</v>
      </c>
      <c r="F719" s="45" t="s">
        <v>316</v>
      </c>
      <c r="G719" s="45" t="s">
        <v>1120</v>
      </c>
      <c r="H719" s="45" t="s">
        <v>1126</v>
      </c>
      <c r="I719" s="45" t="s">
        <v>1126</v>
      </c>
      <c r="J719" s="45" t="s">
        <v>4839</v>
      </c>
      <c r="K719" s="45" t="s">
        <v>5614</v>
      </c>
      <c r="L719" s="45" t="s">
        <v>1122</v>
      </c>
      <c r="M719" s="45"/>
      <c r="N719" s="45"/>
      <c r="O719" s="45" t="s">
        <v>1123</v>
      </c>
      <c r="P719" s="46" t="str">
        <f>HYPERLINK("https://cofre.sieg.com/ajax/danfe.aspx?nfe=26230147508411117851551020000540381237754024","Ver Danfe")</f>
        <v>Ver Danfe</v>
      </c>
      <c r="Q719" s="46" t="str">
        <f>HYPERLINK("https://cofre.sieg.com/ajax/xml.aspx?nfe=26230147508411117851551020000540381237754024","Baixar Xml")</f>
        <v>Baixar Xml</v>
      </c>
    </row>
    <row r="720" spans="1:17" x14ac:dyDescent="0.75">
      <c r="A720" s="5">
        <v>54041</v>
      </c>
      <c r="B720" s="55">
        <v>219.4</v>
      </c>
      <c r="C720" s="5" t="s">
        <v>4839</v>
      </c>
      <c r="D720" s="45" t="s">
        <v>1203</v>
      </c>
      <c r="E720" s="45" t="s">
        <v>316</v>
      </c>
      <c r="F720" s="45" t="s">
        <v>316</v>
      </c>
      <c r="G720" s="45" t="s">
        <v>1120</v>
      </c>
      <c r="H720" s="45" t="s">
        <v>1126</v>
      </c>
      <c r="I720" s="45" t="s">
        <v>1126</v>
      </c>
      <c r="J720" s="45" t="s">
        <v>4839</v>
      </c>
      <c r="K720" s="45" t="s">
        <v>5615</v>
      </c>
      <c r="L720" s="45" t="s">
        <v>1122</v>
      </c>
      <c r="M720" s="45"/>
      <c r="N720" s="45"/>
      <c r="O720" s="45" t="s">
        <v>1123</v>
      </c>
      <c r="P720" s="46" t="str">
        <f>HYPERLINK("https://cofre.sieg.com/ajax/danfe.aspx?nfe=26230147508411117851551020000540411237786410","Ver Danfe")</f>
        <v>Ver Danfe</v>
      </c>
      <c r="Q720" s="46" t="str">
        <f>HYPERLINK("https://cofre.sieg.com/ajax/xml.aspx?nfe=26230147508411117851551020000540411237786410","Baixar Xml")</f>
        <v>Baixar Xml</v>
      </c>
    </row>
    <row r="721" spans="1:17" x14ac:dyDescent="0.75">
      <c r="A721" s="5">
        <v>54055</v>
      </c>
      <c r="B721" s="55">
        <v>160.30000000000001</v>
      </c>
      <c r="C721" s="5" t="s">
        <v>4846</v>
      </c>
      <c r="D721" s="45" t="s">
        <v>1203</v>
      </c>
      <c r="E721" s="45" t="s">
        <v>316</v>
      </c>
      <c r="F721" s="45" t="s">
        <v>316</v>
      </c>
      <c r="G721" s="45" t="s">
        <v>1120</v>
      </c>
      <c r="H721" s="45" t="s">
        <v>1126</v>
      </c>
      <c r="I721" s="45" t="s">
        <v>1126</v>
      </c>
      <c r="J721" s="45" t="s">
        <v>4846</v>
      </c>
      <c r="K721" s="45" t="s">
        <v>5616</v>
      </c>
      <c r="L721" s="45" t="s">
        <v>1122</v>
      </c>
      <c r="M721" s="45" t="s">
        <v>1311</v>
      </c>
      <c r="N721" s="45" t="s">
        <v>1312</v>
      </c>
      <c r="O721" s="45" t="s">
        <v>1123</v>
      </c>
      <c r="P721" s="46" t="str">
        <f>HYPERLINK("https://cofre.sieg.com/ajax/danfe.aspx?nfe=26230147508411117851551020000540551237763830","Ver Danfe")</f>
        <v>Ver Danfe</v>
      </c>
      <c r="Q721" s="46" t="str">
        <f>HYPERLINK("https://cofre.sieg.com/ajax/xml.aspx?nfe=26230147508411117851551020000540551237763830","Baixar Xml")</f>
        <v>Baixar Xml</v>
      </c>
    </row>
    <row r="722" spans="1:17" x14ac:dyDescent="0.75">
      <c r="A722" s="5">
        <v>54068</v>
      </c>
      <c r="B722" s="55">
        <v>277.18</v>
      </c>
      <c r="C722" s="5" t="s">
        <v>4857</v>
      </c>
      <c r="D722" s="45" t="s">
        <v>1203</v>
      </c>
      <c r="E722" s="45" t="s">
        <v>316</v>
      </c>
      <c r="F722" s="45" t="s">
        <v>316</v>
      </c>
      <c r="G722" s="45" t="s">
        <v>1120</v>
      </c>
      <c r="H722" s="45" t="s">
        <v>1126</v>
      </c>
      <c r="I722" s="45" t="s">
        <v>1126</v>
      </c>
      <c r="J722" s="45" t="s">
        <v>4857</v>
      </c>
      <c r="K722" s="45" t="s">
        <v>5617</v>
      </c>
      <c r="L722" s="45" t="s">
        <v>1122</v>
      </c>
      <c r="M722" s="45" t="s">
        <v>1311</v>
      </c>
      <c r="N722" s="45" t="s">
        <v>1312</v>
      </c>
      <c r="O722" s="45" t="s">
        <v>1123</v>
      </c>
      <c r="P722" s="46" t="str">
        <f>HYPERLINK("https://cofre.sieg.com/ajax/danfe.aspx?nfe=26230147508411117851551020000540681237737064","Ver Danfe")</f>
        <v>Ver Danfe</v>
      </c>
      <c r="Q722" s="46" t="str">
        <f>HYPERLINK("https://cofre.sieg.com/ajax/xml.aspx?nfe=26230147508411117851551020000540681237737064","Baixar Xml")</f>
        <v>Baixar Xml</v>
      </c>
    </row>
    <row r="723" spans="1:17" x14ac:dyDescent="0.75">
      <c r="A723" s="5">
        <v>54075</v>
      </c>
      <c r="B723" s="55">
        <v>172.84</v>
      </c>
      <c r="C723" s="5" t="s">
        <v>4861</v>
      </c>
      <c r="D723" s="45" t="s">
        <v>1203</v>
      </c>
      <c r="E723" s="45" t="s">
        <v>316</v>
      </c>
      <c r="F723" s="45" t="s">
        <v>316</v>
      </c>
      <c r="G723" s="45" t="s">
        <v>1120</v>
      </c>
      <c r="H723" s="45" t="s">
        <v>1126</v>
      </c>
      <c r="I723" s="45" t="s">
        <v>1126</v>
      </c>
      <c r="J723" s="45" t="s">
        <v>4862</v>
      </c>
      <c r="K723" s="45" t="s">
        <v>5618</v>
      </c>
      <c r="L723" s="45" t="s">
        <v>1122</v>
      </c>
      <c r="M723" s="45" t="s">
        <v>1311</v>
      </c>
      <c r="N723" s="45" t="s">
        <v>1312</v>
      </c>
      <c r="O723" s="45" t="s">
        <v>1123</v>
      </c>
      <c r="P723" s="46" t="str">
        <f>HYPERLINK("https://cofre.sieg.com/ajax/danfe.aspx?nfe=26230147508411117851551020000540751237730307","Ver Danfe")</f>
        <v>Ver Danfe</v>
      </c>
      <c r="Q723" s="46" t="str">
        <f>HYPERLINK("https://cofre.sieg.com/ajax/xml.aspx?nfe=26230147508411117851551020000540751237730307","Baixar Xml")</f>
        <v>Baixar Xml</v>
      </c>
    </row>
    <row r="724" spans="1:17" x14ac:dyDescent="0.75">
      <c r="A724" s="5">
        <v>54081</v>
      </c>
      <c r="B724" s="55">
        <v>258.95999999999998</v>
      </c>
      <c r="C724" s="5" t="s">
        <v>4862</v>
      </c>
      <c r="D724" s="45" t="s">
        <v>1203</v>
      </c>
      <c r="E724" s="45" t="s">
        <v>316</v>
      </c>
      <c r="F724" s="45" t="s">
        <v>316</v>
      </c>
      <c r="G724" s="45" t="s">
        <v>1120</v>
      </c>
      <c r="H724" s="45" t="s">
        <v>1126</v>
      </c>
      <c r="I724" s="45" t="s">
        <v>1126</v>
      </c>
      <c r="J724" s="45" t="s">
        <v>4866</v>
      </c>
      <c r="K724" s="45" t="s">
        <v>5619</v>
      </c>
      <c r="L724" s="45" t="s">
        <v>1122</v>
      </c>
      <c r="M724" s="45" t="s">
        <v>1311</v>
      </c>
      <c r="N724" s="45" t="s">
        <v>1312</v>
      </c>
      <c r="O724" s="45" t="s">
        <v>1123</v>
      </c>
      <c r="P724" s="46" t="str">
        <f>HYPERLINK("https://cofre.sieg.com/ajax/danfe.aspx?nfe=26230147508411117851551020000540811237789970","Ver Danfe")</f>
        <v>Ver Danfe</v>
      </c>
      <c r="Q724" s="46" t="str">
        <f>HYPERLINK("https://cofre.sieg.com/ajax/xml.aspx?nfe=26230147508411117851551020000540811237789970","Baixar Xml")</f>
        <v>Baixar Xml</v>
      </c>
    </row>
    <row r="725" spans="1:17" x14ac:dyDescent="0.75">
      <c r="A725" s="5">
        <v>54085</v>
      </c>
      <c r="B725" s="55">
        <v>169.12</v>
      </c>
      <c r="C725" s="5" t="s">
        <v>4866</v>
      </c>
      <c r="D725" s="45" t="s">
        <v>1203</v>
      </c>
      <c r="E725" s="45" t="s">
        <v>316</v>
      </c>
      <c r="F725" s="45" t="s">
        <v>316</v>
      </c>
      <c r="G725" s="45" t="s">
        <v>1120</v>
      </c>
      <c r="H725" s="45" t="s">
        <v>1126</v>
      </c>
      <c r="I725" s="45" t="s">
        <v>1126</v>
      </c>
      <c r="J725" s="45" t="s">
        <v>4866</v>
      </c>
      <c r="K725" s="45" t="s">
        <v>5620</v>
      </c>
      <c r="L725" s="45" t="s">
        <v>1122</v>
      </c>
      <c r="M725" s="45" t="s">
        <v>1311</v>
      </c>
      <c r="N725" s="45" t="s">
        <v>1312</v>
      </c>
      <c r="O725" s="45" t="s">
        <v>1123</v>
      </c>
      <c r="P725" s="46" t="str">
        <f>HYPERLINK("https://cofre.sieg.com/ajax/danfe.aspx?nfe=26230147508411117851551020000540851237796770","Ver Danfe")</f>
        <v>Ver Danfe</v>
      </c>
      <c r="Q725" s="46" t="str">
        <f>HYPERLINK("https://cofre.sieg.com/ajax/xml.aspx?nfe=26230147508411117851551020000540851237796770","Baixar Xml")</f>
        <v>Baixar Xml</v>
      </c>
    </row>
    <row r="726" spans="1:17" x14ac:dyDescent="0.75">
      <c r="A726" s="5">
        <v>54087</v>
      </c>
      <c r="B726" s="55">
        <v>125.28</v>
      </c>
      <c r="C726" s="5" t="s">
        <v>4866</v>
      </c>
      <c r="D726" s="45" t="s">
        <v>1203</v>
      </c>
      <c r="E726" s="45" t="s">
        <v>316</v>
      </c>
      <c r="F726" s="45" t="s">
        <v>316</v>
      </c>
      <c r="G726" s="45" t="s">
        <v>1120</v>
      </c>
      <c r="H726" s="45" t="s">
        <v>1126</v>
      </c>
      <c r="I726" s="45" t="s">
        <v>1126</v>
      </c>
      <c r="J726" s="45" t="s">
        <v>4866</v>
      </c>
      <c r="K726" s="45" t="s">
        <v>5621</v>
      </c>
      <c r="L726" s="45" t="s">
        <v>1122</v>
      </c>
      <c r="M726" s="45" t="s">
        <v>1311</v>
      </c>
      <c r="N726" s="45" t="s">
        <v>1312</v>
      </c>
      <c r="O726" s="45" t="s">
        <v>1123</v>
      </c>
      <c r="P726" s="46" t="str">
        <f>HYPERLINK("https://cofre.sieg.com/ajax/danfe.aspx?nfe=26230147508411117851551020000540871237748363","Ver Danfe")</f>
        <v>Ver Danfe</v>
      </c>
      <c r="Q726" s="46" t="str">
        <f>HYPERLINK("https://cofre.sieg.com/ajax/xml.aspx?nfe=26230147508411117851551020000540871237748363","Baixar Xml")</f>
        <v>Baixar Xml</v>
      </c>
    </row>
    <row r="727" spans="1:17" x14ac:dyDescent="0.75">
      <c r="A727" s="5">
        <v>54098</v>
      </c>
      <c r="B727" s="55">
        <v>98.38</v>
      </c>
      <c r="C727" s="5" t="s">
        <v>4873</v>
      </c>
      <c r="D727" s="45" t="s">
        <v>1203</v>
      </c>
      <c r="E727" s="45" t="s">
        <v>316</v>
      </c>
      <c r="F727" s="45" t="s">
        <v>316</v>
      </c>
      <c r="G727" s="45" t="s">
        <v>1120</v>
      </c>
      <c r="H727" s="45" t="s">
        <v>1126</v>
      </c>
      <c r="I727" s="45" t="s">
        <v>1126</v>
      </c>
      <c r="J727" s="45" t="s">
        <v>4873</v>
      </c>
      <c r="K727" s="45" t="s">
        <v>5622</v>
      </c>
      <c r="L727" s="45" t="s">
        <v>1122</v>
      </c>
      <c r="M727" s="45" t="s">
        <v>1311</v>
      </c>
      <c r="N727" s="45" t="s">
        <v>1312</v>
      </c>
      <c r="O727" s="45" t="s">
        <v>1123</v>
      </c>
      <c r="P727" s="46" t="str">
        <f>HYPERLINK("https://cofre.sieg.com/ajax/danfe.aspx?nfe=26230147508411117851551020000540981237721930","Ver Danfe")</f>
        <v>Ver Danfe</v>
      </c>
      <c r="Q727" s="46" t="str">
        <f>HYPERLINK("https://cofre.sieg.com/ajax/xml.aspx?nfe=26230147508411117851551020000540981237721930","Baixar Xml")</f>
        <v>Baixar Xml</v>
      </c>
    </row>
    <row r="728" spans="1:17" x14ac:dyDescent="0.75">
      <c r="A728" s="5">
        <v>54113</v>
      </c>
      <c r="B728" s="55">
        <v>103.38</v>
      </c>
      <c r="C728" s="5" t="s">
        <v>4877</v>
      </c>
      <c r="D728" s="45" t="s">
        <v>1203</v>
      </c>
      <c r="E728" s="45" t="s">
        <v>316</v>
      </c>
      <c r="F728" s="45" t="s">
        <v>316</v>
      </c>
      <c r="G728" s="45" t="s">
        <v>1120</v>
      </c>
      <c r="H728" s="45" t="s">
        <v>1126</v>
      </c>
      <c r="I728" s="45" t="s">
        <v>1126</v>
      </c>
      <c r="J728" s="45" t="s">
        <v>4877</v>
      </c>
      <c r="K728" s="45" t="s">
        <v>5623</v>
      </c>
      <c r="L728" s="45" t="s">
        <v>1122</v>
      </c>
      <c r="M728" s="45"/>
      <c r="N728" s="45"/>
      <c r="O728" s="45" t="s">
        <v>1123</v>
      </c>
      <c r="P728" s="46" t="str">
        <f>HYPERLINK("https://cofre.sieg.com/ajax/danfe.aspx?nfe=26230147508411117851551020000541131237744289","Ver Danfe")</f>
        <v>Ver Danfe</v>
      </c>
      <c r="Q728" s="46" t="str">
        <f>HYPERLINK("https://cofre.sieg.com/ajax/xml.aspx?nfe=26230147508411117851551020000541131237744289","Baixar Xml")</f>
        <v>Baixar Xml</v>
      </c>
    </row>
    <row r="729" spans="1:17" x14ac:dyDescent="0.75">
      <c r="A729" s="5">
        <v>54114</v>
      </c>
      <c r="B729" s="55">
        <v>169.78</v>
      </c>
      <c r="C729" s="5" t="s">
        <v>4877</v>
      </c>
      <c r="D729" s="45" t="s">
        <v>1203</v>
      </c>
      <c r="E729" s="45" t="s">
        <v>316</v>
      </c>
      <c r="F729" s="45" t="s">
        <v>316</v>
      </c>
      <c r="G729" s="45" t="s">
        <v>1120</v>
      </c>
      <c r="H729" s="45" t="s">
        <v>1126</v>
      </c>
      <c r="I729" s="45" t="s">
        <v>1126</v>
      </c>
      <c r="J729" s="45" t="s">
        <v>4877</v>
      </c>
      <c r="K729" s="45" t="s">
        <v>5624</v>
      </c>
      <c r="L729" s="45" t="s">
        <v>1122</v>
      </c>
      <c r="M729" s="45"/>
      <c r="N729" s="45"/>
      <c r="O729" s="45" t="s">
        <v>1123</v>
      </c>
      <c r="P729" s="46" t="str">
        <f>HYPERLINK("https://cofre.sieg.com/ajax/danfe.aspx?nfe=26230147508411117851551020000541141237763698","Ver Danfe")</f>
        <v>Ver Danfe</v>
      </c>
      <c r="Q729" s="46" t="str">
        <f>HYPERLINK("https://cofre.sieg.com/ajax/xml.aspx?nfe=26230147508411117851551020000541141237763698","Baixar Xml")</f>
        <v>Baixar Xml</v>
      </c>
    </row>
    <row r="730" spans="1:17" x14ac:dyDescent="0.75">
      <c r="A730" s="5">
        <v>54137</v>
      </c>
      <c r="B730" s="55">
        <v>263.36</v>
      </c>
      <c r="C730" s="5" t="s">
        <v>4883</v>
      </c>
      <c r="D730" s="45" t="s">
        <v>1203</v>
      </c>
      <c r="E730" s="45" t="s">
        <v>316</v>
      </c>
      <c r="F730" s="45" t="s">
        <v>316</v>
      </c>
      <c r="G730" s="45" t="s">
        <v>1120</v>
      </c>
      <c r="H730" s="45" t="s">
        <v>1126</v>
      </c>
      <c r="I730" s="45" t="s">
        <v>1126</v>
      </c>
      <c r="J730" s="45" t="s">
        <v>4883</v>
      </c>
      <c r="K730" s="45" t="s">
        <v>5625</v>
      </c>
      <c r="L730" s="45" t="s">
        <v>1122</v>
      </c>
      <c r="M730" s="45"/>
      <c r="N730" s="45"/>
      <c r="O730" s="45" t="s">
        <v>1123</v>
      </c>
      <c r="P730" s="46" t="str">
        <f>HYPERLINK("https://cofre.sieg.com/ajax/danfe.aspx?nfe=26230147508411117851551020000541371237757730","Ver Danfe")</f>
        <v>Ver Danfe</v>
      </c>
      <c r="Q730" s="46" t="str">
        <f>HYPERLINK("https://cofre.sieg.com/ajax/xml.aspx?nfe=26230147508411117851551020000541371237757730","Baixar Xml")</f>
        <v>Baixar Xml</v>
      </c>
    </row>
    <row r="731" spans="1:17" x14ac:dyDescent="0.75">
      <c r="A731" s="5">
        <v>54144</v>
      </c>
      <c r="B731" s="55">
        <v>106.9</v>
      </c>
      <c r="C731" s="5" t="s">
        <v>4884</v>
      </c>
      <c r="D731" s="45" t="s">
        <v>1203</v>
      </c>
      <c r="E731" s="45" t="s">
        <v>316</v>
      </c>
      <c r="F731" s="45" t="s">
        <v>316</v>
      </c>
      <c r="G731" s="45" t="s">
        <v>1120</v>
      </c>
      <c r="H731" s="45" t="s">
        <v>1126</v>
      </c>
      <c r="I731" s="45" t="s">
        <v>1126</v>
      </c>
      <c r="J731" s="45" t="s">
        <v>4884</v>
      </c>
      <c r="K731" s="45" t="s">
        <v>5626</v>
      </c>
      <c r="L731" s="45" t="s">
        <v>1122</v>
      </c>
      <c r="M731" s="45" t="s">
        <v>1311</v>
      </c>
      <c r="N731" s="45" t="s">
        <v>1312</v>
      </c>
      <c r="O731" s="45" t="s">
        <v>1123</v>
      </c>
      <c r="P731" s="46" t="str">
        <f>HYPERLINK("https://cofre.sieg.com/ajax/danfe.aspx?nfe=26230147508411117851551020000541441237728190","Ver Danfe")</f>
        <v>Ver Danfe</v>
      </c>
      <c r="Q731" s="46" t="str">
        <f>HYPERLINK("https://cofre.sieg.com/ajax/xml.aspx?nfe=26230147508411117851551020000541441237728190","Baixar Xml")</f>
        <v>Baixar Xml</v>
      </c>
    </row>
    <row r="732" spans="1:17" x14ac:dyDescent="0.75">
      <c r="A732" s="5">
        <v>54154</v>
      </c>
      <c r="B732" s="55">
        <v>192.98</v>
      </c>
      <c r="C732" s="5" t="s">
        <v>4887</v>
      </c>
      <c r="D732" s="45" t="s">
        <v>1203</v>
      </c>
      <c r="E732" s="45" t="s">
        <v>316</v>
      </c>
      <c r="F732" s="45" t="s">
        <v>316</v>
      </c>
      <c r="G732" s="45" t="s">
        <v>1120</v>
      </c>
      <c r="H732" s="45" t="s">
        <v>1126</v>
      </c>
      <c r="I732" s="45" t="s">
        <v>1126</v>
      </c>
      <c r="J732" s="45" t="s">
        <v>4887</v>
      </c>
      <c r="K732" s="45" t="s">
        <v>5627</v>
      </c>
      <c r="L732" s="45" t="s">
        <v>1122</v>
      </c>
      <c r="M732" s="45" t="s">
        <v>1311</v>
      </c>
      <c r="N732" s="45" t="s">
        <v>1312</v>
      </c>
      <c r="O732" s="45" t="s">
        <v>1123</v>
      </c>
      <c r="P732" s="46" t="str">
        <f>HYPERLINK("https://cofre.sieg.com/ajax/danfe.aspx?nfe=26230147508411117851551020000541541237737790","Ver Danfe")</f>
        <v>Ver Danfe</v>
      </c>
      <c r="Q732" s="46" t="str">
        <f>HYPERLINK("https://cofre.sieg.com/ajax/xml.aspx?nfe=26230147508411117851551020000541541237737790","Baixar Xml")</f>
        <v>Baixar Xml</v>
      </c>
    </row>
    <row r="733" spans="1:17" x14ac:dyDescent="0.75">
      <c r="A733" s="5">
        <v>54162</v>
      </c>
      <c r="B733" s="55">
        <v>156.47999999999999</v>
      </c>
      <c r="C733" s="5" t="s">
        <v>4891</v>
      </c>
      <c r="D733" s="45" t="s">
        <v>1203</v>
      </c>
      <c r="E733" s="45" t="s">
        <v>316</v>
      </c>
      <c r="F733" s="45" t="s">
        <v>316</v>
      </c>
      <c r="G733" s="45" t="s">
        <v>1120</v>
      </c>
      <c r="H733" s="45" t="s">
        <v>1126</v>
      </c>
      <c r="I733" s="45" t="s">
        <v>1126</v>
      </c>
      <c r="J733" s="45" t="s">
        <v>4891</v>
      </c>
      <c r="K733" s="45" t="s">
        <v>5628</v>
      </c>
      <c r="L733" s="45" t="s">
        <v>1122</v>
      </c>
      <c r="M733" s="45" t="s">
        <v>1311</v>
      </c>
      <c r="N733" s="45" t="s">
        <v>1312</v>
      </c>
      <c r="O733" s="45" t="s">
        <v>1123</v>
      </c>
      <c r="P733" s="46" t="str">
        <f>HYPERLINK("https://cofre.sieg.com/ajax/danfe.aspx?nfe=26230147508411117851551020000541621237795139","Ver Danfe")</f>
        <v>Ver Danfe</v>
      </c>
      <c r="Q733" s="46" t="str">
        <f>HYPERLINK("https://cofre.sieg.com/ajax/xml.aspx?nfe=26230147508411117851551020000541621237795139","Baixar Xml")</f>
        <v>Baixar Xml</v>
      </c>
    </row>
    <row r="734" spans="1:17" x14ac:dyDescent="0.75">
      <c r="A734" s="5">
        <v>54168</v>
      </c>
      <c r="B734" s="55">
        <v>103.9</v>
      </c>
      <c r="C734" s="5" t="s">
        <v>4899</v>
      </c>
      <c r="D734" s="45" t="s">
        <v>1203</v>
      </c>
      <c r="E734" s="45" t="s">
        <v>316</v>
      </c>
      <c r="F734" s="45" t="s">
        <v>316</v>
      </c>
      <c r="G734" s="45" t="s">
        <v>1120</v>
      </c>
      <c r="H734" s="45" t="s">
        <v>1126</v>
      </c>
      <c r="I734" s="45" t="s">
        <v>1126</v>
      </c>
      <c r="J734" s="45" t="s">
        <v>4899</v>
      </c>
      <c r="K734" s="45" t="s">
        <v>5629</v>
      </c>
      <c r="L734" s="45" t="s">
        <v>1122</v>
      </c>
      <c r="M734" s="45"/>
      <c r="N734" s="45"/>
      <c r="O734" s="45" t="s">
        <v>1123</v>
      </c>
      <c r="P734" s="46" t="str">
        <f>HYPERLINK("https://cofre.sieg.com/ajax/danfe.aspx?nfe=26230147508411117851551020000541681237784750","Ver Danfe")</f>
        <v>Ver Danfe</v>
      </c>
      <c r="Q734" s="46" t="str">
        <f>HYPERLINK("https://cofre.sieg.com/ajax/xml.aspx?nfe=26230147508411117851551020000541681237784750","Baixar Xml")</f>
        <v>Baixar Xml</v>
      </c>
    </row>
    <row r="735" spans="1:17" x14ac:dyDescent="0.75">
      <c r="A735" s="5">
        <v>54174</v>
      </c>
      <c r="B735" s="55">
        <v>118.94</v>
      </c>
      <c r="C735" s="5" t="s">
        <v>4900</v>
      </c>
      <c r="D735" s="45" t="s">
        <v>1203</v>
      </c>
      <c r="E735" s="45" t="s">
        <v>316</v>
      </c>
      <c r="F735" s="45" t="s">
        <v>316</v>
      </c>
      <c r="G735" s="45" t="s">
        <v>1120</v>
      </c>
      <c r="H735" s="45" t="s">
        <v>1126</v>
      </c>
      <c r="I735" s="45" t="s">
        <v>1126</v>
      </c>
      <c r="J735" s="45" t="s">
        <v>4900</v>
      </c>
      <c r="K735" s="45" t="s">
        <v>5630</v>
      </c>
      <c r="L735" s="45" t="s">
        <v>1122</v>
      </c>
      <c r="M735" s="45"/>
      <c r="N735" s="45"/>
      <c r="O735" s="45" t="s">
        <v>1123</v>
      </c>
      <c r="P735" s="46" t="str">
        <f>HYPERLINK("https://cofre.sieg.com/ajax/danfe.aspx?nfe=26230147508411117851551020000541741237765290","Ver Danfe")</f>
        <v>Ver Danfe</v>
      </c>
      <c r="Q735" s="46" t="str">
        <f>HYPERLINK("https://cofre.sieg.com/ajax/xml.aspx?nfe=26230147508411117851551020000541741237765290","Baixar Xml")</f>
        <v>Baixar Xml</v>
      </c>
    </row>
    <row r="736" spans="1:17" x14ac:dyDescent="0.75">
      <c r="A736" s="5">
        <v>54179</v>
      </c>
      <c r="B736" s="55">
        <v>310.8</v>
      </c>
      <c r="C736" s="5" t="s">
        <v>4907</v>
      </c>
      <c r="D736" s="45" t="s">
        <v>1203</v>
      </c>
      <c r="E736" s="45" t="s">
        <v>316</v>
      </c>
      <c r="F736" s="45" t="s">
        <v>316</v>
      </c>
      <c r="G736" s="45" t="s">
        <v>1120</v>
      </c>
      <c r="H736" s="45" t="s">
        <v>1126</v>
      </c>
      <c r="I736" s="45" t="s">
        <v>1126</v>
      </c>
      <c r="J736" s="45" t="s">
        <v>4907</v>
      </c>
      <c r="K736" s="45" t="s">
        <v>5631</v>
      </c>
      <c r="L736" s="45" t="s">
        <v>1122</v>
      </c>
      <c r="M736" s="45" t="s">
        <v>1311</v>
      </c>
      <c r="N736" s="45" t="s">
        <v>1312</v>
      </c>
      <c r="O736" s="45" t="s">
        <v>1123</v>
      </c>
      <c r="P736" s="46" t="str">
        <f>HYPERLINK("https://cofre.sieg.com/ajax/danfe.aspx?nfe=26230147508411117851551020000541791237793311","Ver Danfe")</f>
        <v>Ver Danfe</v>
      </c>
      <c r="Q736" s="46" t="str">
        <f>HYPERLINK("https://cofre.sieg.com/ajax/xml.aspx?nfe=26230147508411117851551020000541791237793311","Baixar Xml")</f>
        <v>Baixar Xml</v>
      </c>
    </row>
    <row r="737" spans="1:17" x14ac:dyDescent="0.75">
      <c r="A737" s="5">
        <v>54246</v>
      </c>
      <c r="B737" s="55">
        <v>216.9</v>
      </c>
      <c r="C737" s="5" t="s">
        <v>4908</v>
      </c>
      <c r="D737" s="45" t="s">
        <v>1203</v>
      </c>
      <c r="E737" s="45" t="s">
        <v>316</v>
      </c>
      <c r="F737" s="45" t="s">
        <v>316</v>
      </c>
      <c r="G737" s="45" t="s">
        <v>1120</v>
      </c>
      <c r="H737" s="45" t="s">
        <v>1126</v>
      </c>
      <c r="I737" s="45" t="s">
        <v>1126</v>
      </c>
      <c r="J737" s="45" t="s">
        <v>4908</v>
      </c>
      <c r="K737" s="45" t="s">
        <v>5632</v>
      </c>
      <c r="L737" s="45" t="s">
        <v>1122</v>
      </c>
      <c r="M737" s="45"/>
      <c r="N737" s="45"/>
      <c r="O737" s="45" t="s">
        <v>1123</v>
      </c>
      <c r="P737" s="46" t="str">
        <f>HYPERLINK("https://cofre.sieg.com/ajax/danfe.aspx?nfe=26230147508411117851551020000542461237758588","Ver Danfe")</f>
        <v>Ver Danfe</v>
      </c>
      <c r="Q737" s="46" t="str">
        <f>HYPERLINK("https://cofre.sieg.com/ajax/xml.aspx?nfe=26230147508411117851551020000542461237758588","Baixar Xml")</f>
        <v>Baixar Xml</v>
      </c>
    </row>
    <row r="738" spans="1:17" x14ac:dyDescent="0.75">
      <c r="A738" s="5">
        <v>54249</v>
      </c>
      <c r="B738" s="55">
        <v>113.8</v>
      </c>
      <c r="C738" s="5" t="s">
        <v>4912</v>
      </c>
      <c r="D738" s="45" t="s">
        <v>1203</v>
      </c>
      <c r="E738" s="45" t="s">
        <v>316</v>
      </c>
      <c r="F738" s="45" t="s">
        <v>316</v>
      </c>
      <c r="G738" s="45" t="s">
        <v>1120</v>
      </c>
      <c r="H738" s="45" t="s">
        <v>1126</v>
      </c>
      <c r="I738" s="45" t="s">
        <v>1126</v>
      </c>
      <c r="J738" s="45" t="s">
        <v>4912</v>
      </c>
      <c r="K738" s="45" t="s">
        <v>5633</v>
      </c>
      <c r="L738" s="45" t="s">
        <v>1122</v>
      </c>
      <c r="M738" s="45" t="s">
        <v>1311</v>
      </c>
      <c r="N738" s="45" t="s">
        <v>1312</v>
      </c>
      <c r="O738" s="45" t="s">
        <v>1123</v>
      </c>
      <c r="P738" s="46" t="str">
        <f>HYPERLINK("https://cofre.sieg.com/ajax/danfe.aspx?nfe=26230147508411117851551020000542491237766876","Ver Danfe")</f>
        <v>Ver Danfe</v>
      </c>
      <c r="Q738" s="46" t="str">
        <f>HYPERLINK("https://cofre.sieg.com/ajax/xml.aspx?nfe=26230147508411117851551020000542491237766876","Baixar Xml")</f>
        <v>Baixar Xml</v>
      </c>
    </row>
    <row r="739" spans="1:17" x14ac:dyDescent="0.75">
      <c r="A739" s="5">
        <v>54256</v>
      </c>
      <c r="B739" s="55">
        <v>171.62</v>
      </c>
      <c r="C739" s="5" t="s">
        <v>4919</v>
      </c>
      <c r="D739" s="45" t="s">
        <v>1203</v>
      </c>
      <c r="E739" s="45" t="s">
        <v>316</v>
      </c>
      <c r="F739" s="45" t="s">
        <v>316</v>
      </c>
      <c r="G739" s="45" t="s">
        <v>1120</v>
      </c>
      <c r="H739" s="45" t="s">
        <v>1126</v>
      </c>
      <c r="I739" s="45" t="s">
        <v>1126</v>
      </c>
      <c r="J739" s="45" t="s">
        <v>4919</v>
      </c>
      <c r="K739" s="45" t="s">
        <v>5634</v>
      </c>
      <c r="L739" s="45" t="s">
        <v>1122</v>
      </c>
      <c r="M739" s="45" t="s">
        <v>1311</v>
      </c>
      <c r="N739" s="45" t="s">
        <v>1312</v>
      </c>
      <c r="O739" s="45" t="s">
        <v>1123</v>
      </c>
      <c r="P739" s="46" t="str">
        <f>HYPERLINK("https://cofre.sieg.com/ajax/danfe.aspx?nfe=26230147508411117851551020000542561237792863","Ver Danfe")</f>
        <v>Ver Danfe</v>
      </c>
      <c r="Q739" s="46" t="str">
        <f>HYPERLINK("https://cofre.sieg.com/ajax/xml.aspx?nfe=26230147508411117851551020000542561237792863","Baixar Xml")</f>
        <v>Baixar Xml</v>
      </c>
    </row>
    <row r="740" spans="1:17" x14ac:dyDescent="0.75">
      <c r="A740" s="5">
        <v>54258</v>
      </c>
      <c r="B740" s="55">
        <v>247.94</v>
      </c>
      <c r="C740" s="5" t="s">
        <v>4923</v>
      </c>
      <c r="D740" s="45" t="s">
        <v>1203</v>
      </c>
      <c r="E740" s="45" t="s">
        <v>316</v>
      </c>
      <c r="F740" s="45" t="s">
        <v>316</v>
      </c>
      <c r="G740" s="45" t="s">
        <v>1120</v>
      </c>
      <c r="H740" s="45" t="s">
        <v>1126</v>
      </c>
      <c r="I740" s="45" t="s">
        <v>1126</v>
      </c>
      <c r="J740" s="45" t="s">
        <v>4923</v>
      </c>
      <c r="K740" s="45" t="s">
        <v>5635</v>
      </c>
      <c r="L740" s="45" t="s">
        <v>1122</v>
      </c>
      <c r="M740" s="45"/>
      <c r="N740" s="45"/>
      <c r="O740" s="45" t="s">
        <v>1123</v>
      </c>
      <c r="P740" s="46" t="str">
        <f>HYPERLINK("https://cofre.sieg.com/ajax/danfe.aspx?nfe=26230147508411117851551020000542581237744766","Ver Danfe")</f>
        <v>Ver Danfe</v>
      </c>
      <c r="Q740" s="46" t="str">
        <f>HYPERLINK("https://cofre.sieg.com/ajax/xml.aspx?nfe=26230147508411117851551020000542581237744766","Baixar Xml")</f>
        <v>Baixar Xml</v>
      </c>
    </row>
    <row r="741" spans="1:17" x14ac:dyDescent="0.75">
      <c r="A741" s="5">
        <v>54260</v>
      </c>
      <c r="B741" s="55">
        <v>146.63999999999999</v>
      </c>
      <c r="C741" s="5" t="s">
        <v>4930</v>
      </c>
      <c r="D741" s="45" t="s">
        <v>1203</v>
      </c>
      <c r="E741" s="45" t="s">
        <v>316</v>
      </c>
      <c r="F741" s="45" t="s">
        <v>316</v>
      </c>
      <c r="G741" s="45" t="s">
        <v>1120</v>
      </c>
      <c r="H741" s="45" t="s">
        <v>1126</v>
      </c>
      <c r="I741" s="45" t="s">
        <v>1126</v>
      </c>
      <c r="J741" s="45" t="s">
        <v>4930</v>
      </c>
      <c r="K741" s="45" t="s">
        <v>5636</v>
      </c>
      <c r="L741" s="45" t="s">
        <v>1122</v>
      </c>
      <c r="M741" s="45" t="s">
        <v>1311</v>
      </c>
      <c r="N741" s="45" t="s">
        <v>1312</v>
      </c>
      <c r="O741" s="45" t="s">
        <v>1123</v>
      </c>
      <c r="P741" s="46" t="str">
        <f>HYPERLINK("https://cofre.sieg.com/ajax/danfe.aspx?nfe=26230147508411117851551020000542601237772954","Ver Danfe")</f>
        <v>Ver Danfe</v>
      </c>
      <c r="Q741" s="46" t="str">
        <f>HYPERLINK("https://cofre.sieg.com/ajax/xml.aspx?nfe=26230147508411117851551020000542601237772954","Baixar Xml")</f>
        <v>Baixar Xml</v>
      </c>
    </row>
    <row r="742" spans="1:17" x14ac:dyDescent="0.75">
      <c r="A742" s="5">
        <v>54273</v>
      </c>
      <c r="B742" s="55">
        <v>265.60000000000002</v>
      </c>
      <c r="C742" s="5" t="s">
        <v>4937</v>
      </c>
      <c r="D742" s="45" t="s">
        <v>1203</v>
      </c>
      <c r="E742" s="45" t="s">
        <v>316</v>
      </c>
      <c r="F742" s="45" t="s">
        <v>316</v>
      </c>
      <c r="G742" s="45" t="s">
        <v>1120</v>
      </c>
      <c r="H742" s="45" t="s">
        <v>1126</v>
      </c>
      <c r="I742" s="45" t="s">
        <v>1126</v>
      </c>
      <c r="J742" s="45" t="s">
        <v>4937</v>
      </c>
      <c r="K742" s="45" t="s">
        <v>5637</v>
      </c>
      <c r="L742" s="45" t="s">
        <v>1122</v>
      </c>
      <c r="M742" s="45" t="s">
        <v>1311</v>
      </c>
      <c r="N742" s="45" t="s">
        <v>1312</v>
      </c>
      <c r="O742" s="45" t="s">
        <v>1123</v>
      </c>
      <c r="P742" s="46" t="str">
        <f>HYPERLINK("https://cofre.sieg.com/ajax/danfe.aspx?nfe=26230147508411117851551020000542731237703020","Ver Danfe")</f>
        <v>Ver Danfe</v>
      </c>
      <c r="Q742" s="46" t="str">
        <f>HYPERLINK("https://cofre.sieg.com/ajax/xml.aspx?nfe=26230147508411117851551020000542731237703020","Baixar Xml")</f>
        <v>Baixar Xml</v>
      </c>
    </row>
    <row r="743" spans="1:17" x14ac:dyDescent="0.75">
      <c r="A743" s="5">
        <v>54280</v>
      </c>
      <c r="B743" s="55">
        <v>112.74</v>
      </c>
      <c r="C743" s="5" t="s">
        <v>4938</v>
      </c>
      <c r="D743" s="45" t="s">
        <v>1203</v>
      </c>
      <c r="E743" s="45" t="s">
        <v>316</v>
      </c>
      <c r="F743" s="45" t="s">
        <v>316</v>
      </c>
      <c r="G743" s="45" t="s">
        <v>1120</v>
      </c>
      <c r="H743" s="45" t="s">
        <v>1126</v>
      </c>
      <c r="I743" s="45" t="s">
        <v>1126</v>
      </c>
      <c r="J743" s="45" t="s">
        <v>4938</v>
      </c>
      <c r="K743" s="45" t="s">
        <v>5638</v>
      </c>
      <c r="L743" s="45" t="s">
        <v>1122</v>
      </c>
      <c r="M743" s="45" t="s">
        <v>1311</v>
      </c>
      <c r="N743" s="45" t="s">
        <v>1312</v>
      </c>
      <c r="O743" s="45" t="s">
        <v>1123</v>
      </c>
      <c r="P743" s="46" t="str">
        <f>HYPERLINK("https://cofre.sieg.com/ajax/danfe.aspx?nfe=26230147508411117851551020000542801237735490","Ver Danfe")</f>
        <v>Ver Danfe</v>
      </c>
      <c r="Q743" s="46" t="str">
        <f>HYPERLINK("https://cofre.sieg.com/ajax/xml.aspx?nfe=26230147508411117851551020000542801237735490","Baixar Xml")</f>
        <v>Baixar Xml</v>
      </c>
    </row>
    <row r="744" spans="1:17" x14ac:dyDescent="0.75">
      <c r="A744" s="5">
        <v>37885</v>
      </c>
      <c r="B744" s="55">
        <v>45.7</v>
      </c>
      <c r="C744" s="5" t="s">
        <v>4826</v>
      </c>
      <c r="D744" s="45" t="s">
        <v>1204</v>
      </c>
      <c r="E744" s="45" t="s">
        <v>316</v>
      </c>
      <c r="F744" s="45" t="s">
        <v>316</v>
      </c>
      <c r="G744" s="45" t="s">
        <v>1120</v>
      </c>
      <c r="H744" s="45" t="s">
        <v>1126</v>
      </c>
      <c r="I744" s="45" t="s">
        <v>1126</v>
      </c>
      <c r="J744" s="45" t="s">
        <v>4834</v>
      </c>
      <c r="K744" s="45" t="s">
        <v>5639</v>
      </c>
      <c r="L744" s="45" t="s">
        <v>1122</v>
      </c>
      <c r="M744" s="45"/>
      <c r="N744" s="45"/>
      <c r="O744" s="45" t="s">
        <v>1123</v>
      </c>
      <c r="P744" s="46" t="str">
        <f>HYPERLINK("https://cofre.sieg.com/ajax/danfe.aspx?nfe=26230147508411123150551020000378851235782320","Ver Danfe")</f>
        <v>Ver Danfe</v>
      </c>
      <c r="Q744" s="46" t="str">
        <f>HYPERLINK("https://cofre.sieg.com/ajax/xml.aspx?nfe=26230147508411123150551020000378851235782320","Baixar Xml")</f>
        <v>Baixar Xml</v>
      </c>
    </row>
    <row r="745" spans="1:17" x14ac:dyDescent="0.75">
      <c r="A745" s="5">
        <v>37917</v>
      </c>
      <c r="B745" s="55">
        <v>65.599999999999994</v>
      </c>
      <c r="C745" s="5" t="s">
        <v>4862</v>
      </c>
      <c r="D745" s="45" t="s">
        <v>1204</v>
      </c>
      <c r="E745" s="45" t="s">
        <v>316</v>
      </c>
      <c r="F745" s="45" t="s">
        <v>316</v>
      </c>
      <c r="G745" s="45" t="s">
        <v>1120</v>
      </c>
      <c r="H745" s="45" t="s">
        <v>1126</v>
      </c>
      <c r="I745" s="45" t="s">
        <v>1126</v>
      </c>
      <c r="J745" s="45" t="s">
        <v>4862</v>
      </c>
      <c r="K745" s="45" t="s">
        <v>5640</v>
      </c>
      <c r="L745" s="45" t="s">
        <v>1122</v>
      </c>
      <c r="M745" s="45" t="s">
        <v>1311</v>
      </c>
      <c r="N745" s="45" t="s">
        <v>1312</v>
      </c>
      <c r="O745" s="45" t="s">
        <v>1123</v>
      </c>
      <c r="P745" s="46" t="str">
        <f>HYPERLINK("https://cofre.sieg.com/ajax/danfe.aspx?nfe=26230147508411123150551020000379171235797306","Ver Danfe")</f>
        <v>Ver Danfe</v>
      </c>
      <c r="Q745" s="46" t="str">
        <f>HYPERLINK("https://cofre.sieg.com/ajax/xml.aspx?nfe=26230147508411123150551020000379171235797306","Baixar Xml")</f>
        <v>Baixar Xml</v>
      </c>
    </row>
    <row r="746" spans="1:17" x14ac:dyDescent="0.75">
      <c r="A746" s="5">
        <v>37947</v>
      </c>
      <c r="B746" s="55">
        <v>200</v>
      </c>
      <c r="C746" s="5" t="s">
        <v>4887</v>
      </c>
      <c r="D746" s="45" t="s">
        <v>1204</v>
      </c>
      <c r="E746" s="45" t="s">
        <v>316</v>
      </c>
      <c r="F746" s="45" t="s">
        <v>316</v>
      </c>
      <c r="G746" s="45" t="s">
        <v>1120</v>
      </c>
      <c r="H746" s="45" t="s">
        <v>1126</v>
      </c>
      <c r="I746" s="45" t="s">
        <v>1126</v>
      </c>
      <c r="J746" s="45" t="s">
        <v>4887</v>
      </c>
      <c r="K746" s="45" t="s">
        <v>5641</v>
      </c>
      <c r="L746" s="45" t="s">
        <v>1122</v>
      </c>
      <c r="M746" s="45"/>
      <c r="N746" s="45"/>
      <c r="O746" s="45" t="s">
        <v>1123</v>
      </c>
      <c r="P746" s="46" t="str">
        <f>HYPERLINK("https://cofre.sieg.com/ajax/danfe.aspx?nfe=26230147508411123150551020000379471235786664","Ver Danfe")</f>
        <v>Ver Danfe</v>
      </c>
      <c r="Q746" s="46" t="str">
        <f>HYPERLINK("https://cofre.sieg.com/ajax/xml.aspx?nfe=26230147508411123150551020000379471235786664","Baixar Xml")</f>
        <v>Baixar Xml</v>
      </c>
    </row>
    <row r="747" spans="1:17" x14ac:dyDescent="0.75">
      <c r="A747" s="5">
        <v>38011</v>
      </c>
      <c r="B747" s="55">
        <v>76</v>
      </c>
      <c r="C747" s="5" t="s">
        <v>4912</v>
      </c>
      <c r="D747" s="45" t="s">
        <v>1204</v>
      </c>
      <c r="E747" s="45" t="s">
        <v>316</v>
      </c>
      <c r="F747" s="45" t="s">
        <v>316</v>
      </c>
      <c r="G747" s="45" t="s">
        <v>1120</v>
      </c>
      <c r="H747" s="45" t="s">
        <v>1126</v>
      </c>
      <c r="I747" s="45" t="s">
        <v>1126</v>
      </c>
      <c r="J747" s="45" t="s">
        <v>4919</v>
      </c>
      <c r="K747" s="45" t="s">
        <v>5642</v>
      </c>
      <c r="L747" s="45" t="s">
        <v>1122</v>
      </c>
      <c r="M747" s="45"/>
      <c r="N747" s="45"/>
      <c r="O747" s="45" t="s">
        <v>1123</v>
      </c>
      <c r="P747" s="46" t="str">
        <f>HYPERLINK("https://cofre.sieg.com/ajax/danfe.aspx?nfe=26230147508411123150551020000380111235757233","Ver Danfe")</f>
        <v>Ver Danfe</v>
      </c>
      <c r="Q747" s="46" t="str">
        <f>HYPERLINK("https://cofre.sieg.com/ajax/xml.aspx?nfe=26230147508411123150551020000380111235757233","Baixar Xml")</f>
        <v>Baixar Xml</v>
      </c>
    </row>
    <row r="748" spans="1:17" x14ac:dyDescent="0.75">
      <c r="A748" s="5">
        <v>36345</v>
      </c>
      <c r="B748" s="55">
        <v>51.2</v>
      </c>
      <c r="C748" s="5" t="s">
        <v>4825</v>
      </c>
      <c r="D748" s="45" t="s">
        <v>1205</v>
      </c>
      <c r="E748" s="45" t="s">
        <v>316</v>
      </c>
      <c r="F748" s="45" t="s">
        <v>316</v>
      </c>
      <c r="G748" s="45" t="s">
        <v>1120</v>
      </c>
      <c r="H748" s="45" t="s">
        <v>1126</v>
      </c>
      <c r="I748" s="45" t="s">
        <v>1126</v>
      </c>
      <c r="J748" s="45" t="s">
        <v>4825</v>
      </c>
      <c r="K748" s="45" t="s">
        <v>5643</v>
      </c>
      <c r="L748" s="45" t="s">
        <v>1122</v>
      </c>
      <c r="M748" s="45"/>
      <c r="N748" s="45"/>
      <c r="O748" s="45" t="s">
        <v>1123</v>
      </c>
      <c r="P748" s="46" t="str">
        <f>HYPERLINK("https://cofre.sieg.com/ajax/danfe.aspx?nfe=26230147508411160439551020000363451100377890","Ver Danfe")</f>
        <v>Ver Danfe</v>
      </c>
      <c r="Q748" s="46" t="str">
        <f>HYPERLINK("https://cofre.sieg.com/ajax/xml.aspx?nfe=26230147508411160439551020000363451100377890","Baixar Xml")</f>
        <v>Baixar Xml</v>
      </c>
    </row>
    <row r="749" spans="1:17" x14ac:dyDescent="0.75">
      <c r="A749" s="5">
        <v>36346</v>
      </c>
      <c r="B749" s="55">
        <v>30.4</v>
      </c>
      <c r="C749" s="5" t="s">
        <v>4825</v>
      </c>
      <c r="D749" s="45" t="s">
        <v>1205</v>
      </c>
      <c r="E749" s="45" t="s">
        <v>316</v>
      </c>
      <c r="F749" s="45" t="s">
        <v>316</v>
      </c>
      <c r="G749" s="45" t="s">
        <v>1120</v>
      </c>
      <c r="H749" s="45" t="s">
        <v>1126</v>
      </c>
      <c r="I749" s="45" t="s">
        <v>1126</v>
      </c>
      <c r="J749" s="45" t="s">
        <v>4825</v>
      </c>
      <c r="K749" s="45" t="s">
        <v>5644</v>
      </c>
      <c r="L749" s="45" t="s">
        <v>1122</v>
      </c>
      <c r="M749" s="45"/>
      <c r="N749" s="45"/>
      <c r="O749" s="45" t="s">
        <v>1123</v>
      </c>
      <c r="P749" s="46" t="str">
        <f>HYPERLINK("https://cofre.sieg.com/ajax/danfe.aspx?nfe=26230147508411160439551020000363461100397872","Ver Danfe")</f>
        <v>Ver Danfe</v>
      </c>
      <c r="Q749" s="46" t="str">
        <f>HYPERLINK("https://cofre.sieg.com/ajax/xml.aspx?nfe=26230147508411160439551020000363461100397872","Baixar Xml")</f>
        <v>Baixar Xml</v>
      </c>
    </row>
    <row r="750" spans="1:17" x14ac:dyDescent="0.75">
      <c r="A750" s="5">
        <v>36347</v>
      </c>
      <c r="B750" s="55">
        <v>95.7</v>
      </c>
      <c r="C750" s="5" t="s">
        <v>4825</v>
      </c>
      <c r="D750" s="45" t="s">
        <v>1205</v>
      </c>
      <c r="E750" s="45" t="s">
        <v>316</v>
      </c>
      <c r="F750" s="45" t="s">
        <v>316</v>
      </c>
      <c r="G750" s="45" t="s">
        <v>1120</v>
      </c>
      <c r="H750" s="45" t="s">
        <v>1126</v>
      </c>
      <c r="I750" s="45" t="s">
        <v>1126</v>
      </c>
      <c r="J750" s="45" t="s">
        <v>4825</v>
      </c>
      <c r="K750" s="45" t="s">
        <v>5645</v>
      </c>
      <c r="L750" s="45" t="s">
        <v>1122</v>
      </c>
      <c r="M750" s="45"/>
      <c r="N750" s="45"/>
      <c r="O750" s="45" t="s">
        <v>1123</v>
      </c>
      <c r="P750" s="46" t="str">
        <f>HYPERLINK("https://cofre.sieg.com/ajax/danfe.aspx?nfe=26230147508411160439551020000363471100387424","Ver Danfe")</f>
        <v>Ver Danfe</v>
      </c>
      <c r="Q750" s="46" t="str">
        <f>HYPERLINK("https://cofre.sieg.com/ajax/xml.aspx?nfe=26230147508411160439551020000363471100387424","Baixar Xml")</f>
        <v>Baixar Xml</v>
      </c>
    </row>
    <row r="751" spans="1:17" x14ac:dyDescent="0.75">
      <c r="A751" s="5">
        <v>36398</v>
      </c>
      <c r="B751" s="55">
        <v>34.6</v>
      </c>
      <c r="C751" s="5" t="s">
        <v>4857</v>
      </c>
      <c r="D751" s="45" t="s">
        <v>1205</v>
      </c>
      <c r="E751" s="45" t="s">
        <v>316</v>
      </c>
      <c r="F751" s="45" t="s">
        <v>316</v>
      </c>
      <c r="G751" s="45" t="s">
        <v>1120</v>
      </c>
      <c r="H751" s="45" t="s">
        <v>1126</v>
      </c>
      <c r="I751" s="45" t="s">
        <v>1126</v>
      </c>
      <c r="J751" s="45" t="s">
        <v>4857</v>
      </c>
      <c r="K751" s="45" t="s">
        <v>5646</v>
      </c>
      <c r="L751" s="45" t="s">
        <v>1122</v>
      </c>
      <c r="M751" s="45" t="s">
        <v>1311</v>
      </c>
      <c r="N751" s="45" t="s">
        <v>1312</v>
      </c>
      <c r="O751" s="45" t="s">
        <v>1123</v>
      </c>
      <c r="P751" s="46" t="str">
        <f>HYPERLINK("https://cofre.sieg.com/ajax/danfe.aspx?nfe=26230147508411160439551020000363981100371837","Ver Danfe")</f>
        <v>Ver Danfe</v>
      </c>
      <c r="Q751" s="46" t="str">
        <f>HYPERLINK("https://cofre.sieg.com/ajax/xml.aspx?nfe=26230147508411160439551020000363981100371837","Baixar Xml")</f>
        <v>Baixar Xml</v>
      </c>
    </row>
    <row r="752" spans="1:17" x14ac:dyDescent="0.75">
      <c r="A752" s="5">
        <v>36399</v>
      </c>
      <c r="B752" s="55">
        <v>47.6</v>
      </c>
      <c r="C752" s="5" t="s">
        <v>4857</v>
      </c>
      <c r="D752" s="45" t="s">
        <v>1205</v>
      </c>
      <c r="E752" s="45" t="s">
        <v>316</v>
      </c>
      <c r="F752" s="45" t="s">
        <v>316</v>
      </c>
      <c r="G752" s="45" t="s">
        <v>1120</v>
      </c>
      <c r="H752" s="45" t="s">
        <v>1126</v>
      </c>
      <c r="I752" s="45" t="s">
        <v>1126</v>
      </c>
      <c r="J752" s="45" t="s">
        <v>4857</v>
      </c>
      <c r="K752" s="45" t="s">
        <v>5647</v>
      </c>
      <c r="L752" s="45" t="s">
        <v>1122</v>
      </c>
      <c r="M752" s="45" t="s">
        <v>1311</v>
      </c>
      <c r="N752" s="45" t="s">
        <v>1312</v>
      </c>
      <c r="O752" s="45" t="s">
        <v>1123</v>
      </c>
      <c r="P752" s="46" t="str">
        <f>HYPERLINK("https://cofre.sieg.com/ajax/danfe.aspx?nfe=26230147508411160439551020000363991100397981","Ver Danfe")</f>
        <v>Ver Danfe</v>
      </c>
      <c r="Q752" s="46" t="str">
        <f>HYPERLINK("https://cofre.sieg.com/ajax/xml.aspx?nfe=26230147508411160439551020000363991100397981","Baixar Xml")</f>
        <v>Baixar Xml</v>
      </c>
    </row>
    <row r="753" spans="1:17" x14ac:dyDescent="0.75">
      <c r="A753" s="5">
        <v>36400</v>
      </c>
      <c r="B753" s="55">
        <v>39</v>
      </c>
      <c r="C753" s="5" t="s">
        <v>4857</v>
      </c>
      <c r="D753" s="45" t="s">
        <v>1205</v>
      </c>
      <c r="E753" s="45" t="s">
        <v>316</v>
      </c>
      <c r="F753" s="45" t="s">
        <v>316</v>
      </c>
      <c r="G753" s="45" t="s">
        <v>1120</v>
      </c>
      <c r="H753" s="45" t="s">
        <v>1126</v>
      </c>
      <c r="I753" s="45" t="s">
        <v>1126</v>
      </c>
      <c r="J753" s="45" t="s">
        <v>4857</v>
      </c>
      <c r="K753" s="45" t="s">
        <v>5648</v>
      </c>
      <c r="L753" s="45" t="s">
        <v>1122</v>
      </c>
      <c r="M753" s="45" t="s">
        <v>1311</v>
      </c>
      <c r="N753" s="45" t="s">
        <v>1312</v>
      </c>
      <c r="O753" s="45" t="s">
        <v>1123</v>
      </c>
      <c r="P753" s="46" t="str">
        <f>HYPERLINK("https://cofre.sieg.com/ajax/danfe.aspx?nfe=26230147508411160439551020000364001100333803","Ver Danfe")</f>
        <v>Ver Danfe</v>
      </c>
      <c r="Q753" s="46" t="str">
        <f>HYPERLINK("https://cofre.sieg.com/ajax/xml.aspx?nfe=26230147508411160439551020000364001100333803","Baixar Xml")</f>
        <v>Baixar Xml</v>
      </c>
    </row>
    <row r="754" spans="1:17" x14ac:dyDescent="0.75">
      <c r="A754" s="5">
        <v>36401</v>
      </c>
      <c r="B754" s="55">
        <v>85.6</v>
      </c>
      <c r="C754" s="5" t="s">
        <v>4857</v>
      </c>
      <c r="D754" s="45" t="s">
        <v>1205</v>
      </c>
      <c r="E754" s="45" t="s">
        <v>316</v>
      </c>
      <c r="F754" s="45" t="s">
        <v>316</v>
      </c>
      <c r="G754" s="45" t="s">
        <v>1120</v>
      </c>
      <c r="H754" s="45" t="s">
        <v>1126</v>
      </c>
      <c r="I754" s="45" t="s">
        <v>1126</v>
      </c>
      <c r="J754" s="45" t="s">
        <v>4857</v>
      </c>
      <c r="K754" s="45" t="s">
        <v>5649</v>
      </c>
      <c r="L754" s="45" t="s">
        <v>1122</v>
      </c>
      <c r="M754" s="45" t="s">
        <v>1311</v>
      </c>
      <c r="N754" s="45" t="s">
        <v>1312</v>
      </c>
      <c r="O754" s="45" t="s">
        <v>1123</v>
      </c>
      <c r="P754" s="46" t="str">
        <f>HYPERLINK("https://cofre.sieg.com/ajax/danfe.aspx?nfe=26230147508411160439551020000364011100395296","Ver Danfe")</f>
        <v>Ver Danfe</v>
      </c>
      <c r="Q754" s="46" t="str">
        <f>HYPERLINK("https://cofre.sieg.com/ajax/xml.aspx?nfe=26230147508411160439551020000364011100395296","Baixar Xml")</f>
        <v>Baixar Xml</v>
      </c>
    </row>
    <row r="755" spans="1:17" x14ac:dyDescent="0.75">
      <c r="A755" s="5">
        <v>36402</v>
      </c>
      <c r="B755" s="55">
        <v>59.3</v>
      </c>
      <c r="C755" s="5" t="s">
        <v>4857</v>
      </c>
      <c r="D755" s="45" t="s">
        <v>1205</v>
      </c>
      <c r="E755" s="45" t="s">
        <v>316</v>
      </c>
      <c r="F755" s="45" t="s">
        <v>316</v>
      </c>
      <c r="G755" s="45" t="s">
        <v>1120</v>
      </c>
      <c r="H755" s="45" t="s">
        <v>1126</v>
      </c>
      <c r="I755" s="45" t="s">
        <v>1126</v>
      </c>
      <c r="J755" s="45" t="s">
        <v>4857</v>
      </c>
      <c r="K755" s="45" t="s">
        <v>5650</v>
      </c>
      <c r="L755" s="45" t="s">
        <v>1122</v>
      </c>
      <c r="M755" s="45" t="s">
        <v>1311</v>
      </c>
      <c r="N755" s="45" t="s">
        <v>1312</v>
      </c>
      <c r="O755" s="45" t="s">
        <v>1123</v>
      </c>
      <c r="P755" s="46" t="str">
        <f>HYPERLINK("https://cofre.sieg.com/ajax/danfe.aspx?nfe=26230147508411160439551020000364021100323225","Ver Danfe")</f>
        <v>Ver Danfe</v>
      </c>
      <c r="Q755" s="46" t="str">
        <f>HYPERLINK("https://cofre.sieg.com/ajax/xml.aspx?nfe=26230147508411160439551020000364021100323225","Baixar Xml")</f>
        <v>Baixar Xml</v>
      </c>
    </row>
    <row r="756" spans="1:17" x14ac:dyDescent="0.75">
      <c r="A756" s="5">
        <v>36404</v>
      </c>
      <c r="B756" s="55">
        <v>144</v>
      </c>
      <c r="C756" s="5" t="s">
        <v>4857</v>
      </c>
      <c r="D756" s="45" t="s">
        <v>1205</v>
      </c>
      <c r="E756" s="45" t="s">
        <v>316</v>
      </c>
      <c r="F756" s="45" t="s">
        <v>316</v>
      </c>
      <c r="G756" s="45" t="s">
        <v>1120</v>
      </c>
      <c r="H756" s="45" t="s">
        <v>1126</v>
      </c>
      <c r="I756" s="45" t="s">
        <v>1126</v>
      </c>
      <c r="J756" s="45" t="s">
        <v>4857</v>
      </c>
      <c r="K756" s="45" t="s">
        <v>5651</v>
      </c>
      <c r="L756" s="45" t="s">
        <v>1122</v>
      </c>
      <c r="M756" s="45"/>
      <c r="N756" s="45"/>
      <c r="O756" s="45" t="s">
        <v>1123</v>
      </c>
      <c r="P756" s="46" t="str">
        <f>HYPERLINK("https://cofre.sieg.com/ajax/danfe.aspx?nfe=26230147508411160439551020000364041100360354","Ver Danfe")</f>
        <v>Ver Danfe</v>
      </c>
      <c r="Q756" s="46" t="str">
        <f>HYPERLINK("https://cofre.sieg.com/ajax/xml.aspx?nfe=26230147508411160439551020000364041100360354","Baixar Xml")</f>
        <v>Baixar Xml</v>
      </c>
    </row>
    <row r="757" spans="1:17" x14ac:dyDescent="0.75">
      <c r="A757" s="5">
        <v>36435</v>
      </c>
      <c r="B757" s="55">
        <v>69.7</v>
      </c>
      <c r="C757" s="5" t="s">
        <v>4883</v>
      </c>
      <c r="D757" s="45" t="s">
        <v>1205</v>
      </c>
      <c r="E757" s="45" t="s">
        <v>316</v>
      </c>
      <c r="F757" s="45" t="s">
        <v>316</v>
      </c>
      <c r="G757" s="45" t="s">
        <v>1120</v>
      </c>
      <c r="H757" s="45" t="s">
        <v>1126</v>
      </c>
      <c r="I757" s="45" t="s">
        <v>1126</v>
      </c>
      <c r="J757" s="45" t="s">
        <v>4883</v>
      </c>
      <c r="K757" s="45" t="s">
        <v>5652</v>
      </c>
      <c r="L757" s="45" t="s">
        <v>1122</v>
      </c>
      <c r="M757" s="45"/>
      <c r="N757" s="45"/>
      <c r="O757" s="45" t="s">
        <v>1123</v>
      </c>
      <c r="P757" s="46" t="str">
        <f>HYPERLINK("https://cofre.sieg.com/ajax/danfe.aspx?nfe=26230147508411160439551020000364351100304272","Ver Danfe")</f>
        <v>Ver Danfe</v>
      </c>
      <c r="Q757" s="46" t="str">
        <f>HYPERLINK("https://cofre.sieg.com/ajax/xml.aspx?nfe=26230147508411160439551020000364351100304272","Baixar Xml")</f>
        <v>Baixar Xml</v>
      </c>
    </row>
    <row r="758" spans="1:17" x14ac:dyDescent="0.75">
      <c r="A758" s="5">
        <v>36436</v>
      </c>
      <c r="B758" s="55">
        <v>73.5</v>
      </c>
      <c r="C758" s="5" t="s">
        <v>4883</v>
      </c>
      <c r="D758" s="45" t="s">
        <v>1205</v>
      </c>
      <c r="E758" s="45" t="s">
        <v>316</v>
      </c>
      <c r="F758" s="45" t="s">
        <v>316</v>
      </c>
      <c r="G758" s="45" t="s">
        <v>1120</v>
      </c>
      <c r="H758" s="45" t="s">
        <v>1126</v>
      </c>
      <c r="I758" s="45" t="s">
        <v>1126</v>
      </c>
      <c r="J758" s="45" t="s">
        <v>4883</v>
      </c>
      <c r="K758" s="45" t="s">
        <v>5653</v>
      </c>
      <c r="L758" s="45" t="s">
        <v>1122</v>
      </c>
      <c r="M758" s="45"/>
      <c r="N758" s="45"/>
      <c r="O758" s="45" t="s">
        <v>1123</v>
      </c>
      <c r="P758" s="46" t="str">
        <f>HYPERLINK("https://cofre.sieg.com/ajax/danfe.aspx?nfe=26230147508411160439551020000364361100342902","Ver Danfe")</f>
        <v>Ver Danfe</v>
      </c>
      <c r="Q758" s="46" t="str">
        <f>HYPERLINK("https://cofre.sieg.com/ajax/xml.aspx?nfe=26230147508411160439551020000364361100342902","Baixar Xml")</f>
        <v>Baixar Xml</v>
      </c>
    </row>
    <row r="759" spans="1:17" x14ac:dyDescent="0.75">
      <c r="A759" s="5">
        <v>36437</v>
      </c>
      <c r="B759" s="55">
        <v>104.4</v>
      </c>
      <c r="C759" s="5" t="s">
        <v>4883</v>
      </c>
      <c r="D759" s="45" t="s">
        <v>1205</v>
      </c>
      <c r="E759" s="45" t="s">
        <v>316</v>
      </c>
      <c r="F759" s="45" t="s">
        <v>316</v>
      </c>
      <c r="G759" s="45" t="s">
        <v>1120</v>
      </c>
      <c r="H759" s="45" t="s">
        <v>1126</v>
      </c>
      <c r="I759" s="45" t="s">
        <v>1126</v>
      </c>
      <c r="J759" s="45" t="s">
        <v>4883</v>
      </c>
      <c r="K759" s="45" t="s">
        <v>5654</v>
      </c>
      <c r="L759" s="45" t="s">
        <v>1122</v>
      </c>
      <c r="M759" s="45"/>
      <c r="N759" s="45"/>
      <c r="O759" s="45" t="s">
        <v>1123</v>
      </c>
      <c r="P759" s="46" t="str">
        <f>HYPERLINK("https://cofre.sieg.com/ajax/danfe.aspx?nfe=26230147508411160439551020000364371100353880","Ver Danfe")</f>
        <v>Ver Danfe</v>
      </c>
      <c r="Q759" s="46" t="str">
        <f>HYPERLINK("https://cofre.sieg.com/ajax/xml.aspx?nfe=26230147508411160439551020000364371100353880","Baixar Xml")</f>
        <v>Baixar Xml</v>
      </c>
    </row>
    <row r="760" spans="1:17" x14ac:dyDescent="0.75">
      <c r="A760" s="5">
        <v>36438</v>
      </c>
      <c r="B760" s="55">
        <v>76.2</v>
      </c>
      <c r="C760" s="5" t="s">
        <v>4883</v>
      </c>
      <c r="D760" s="45" t="s">
        <v>1205</v>
      </c>
      <c r="E760" s="45" t="s">
        <v>316</v>
      </c>
      <c r="F760" s="45" t="s">
        <v>316</v>
      </c>
      <c r="G760" s="45" t="s">
        <v>1120</v>
      </c>
      <c r="H760" s="45" t="s">
        <v>1126</v>
      </c>
      <c r="I760" s="45" t="s">
        <v>1126</v>
      </c>
      <c r="J760" s="45" t="s">
        <v>4883</v>
      </c>
      <c r="K760" s="45" t="s">
        <v>5655</v>
      </c>
      <c r="L760" s="45" t="s">
        <v>1122</v>
      </c>
      <c r="M760" s="45"/>
      <c r="N760" s="45"/>
      <c r="O760" s="45" t="s">
        <v>1123</v>
      </c>
      <c r="P760" s="46" t="str">
        <f>HYPERLINK("https://cofre.sieg.com/ajax/danfe.aspx?nfe=26230147508411160439551020000364381100359710","Ver Danfe")</f>
        <v>Ver Danfe</v>
      </c>
      <c r="Q760" s="46" t="str">
        <f>HYPERLINK("https://cofre.sieg.com/ajax/xml.aspx?nfe=26230147508411160439551020000364381100359710","Baixar Xml")</f>
        <v>Baixar Xml</v>
      </c>
    </row>
    <row r="761" spans="1:17" x14ac:dyDescent="0.75">
      <c r="A761" s="5">
        <v>36439</v>
      </c>
      <c r="B761" s="55">
        <v>92.55</v>
      </c>
      <c r="C761" s="5" t="s">
        <v>4883</v>
      </c>
      <c r="D761" s="45" t="s">
        <v>1205</v>
      </c>
      <c r="E761" s="45" t="s">
        <v>316</v>
      </c>
      <c r="F761" s="45" t="s">
        <v>316</v>
      </c>
      <c r="G761" s="45" t="s">
        <v>1120</v>
      </c>
      <c r="H761" s="45" t="s">
        <v>1126</v>
      </c>
      <c r="I761" s="45" t="s">
        <v>1126</v>
      </c>
      <c r="J761" s="45" t="s">
        <v>4883</v>
      </c>
      <c r="K761" s="45" t="s">
        <v>5656</v>
      </c>
      <c r="L761" s="45" t="s">
        <v>1122</v>
      </c>
      <c r="M761" s="45"/>
      <c r="N761" s="45"/>
      <c r="O761" s="45" t="s">
        <v>1123</v>
      </c>
      <c r="P761" s="46" t="str">
        <f>HYPERLINK("https://cofre.sieg.com/ajax/danfe.aspx?nfe=26230147508411160439551020000364391100388246","Ver Danfe")</f>
        <v>Ver Danfe</v>
      </c>
      <c r="Q761" s="46" t="str">
        <f>HYPERLINK("https://cofre.sieg.com/ajax/xml.aspx?nfe=26230147508411160439551020000364391100388246","Baixar Xml")</f>
        <v>Baixar Xml</v>
      </c>
    </row>
    <row r="762" spans="1:17" x14ac:dyDescent="0.75">
      <c r="A762" s="5">
        <v>36440</v>
      </c>
      <c r="B762" s="55">
        <v>125.2</v>
      </c>
      <c r="C762" s="5" t="s">
        <v>4883</v>
      </c>
      <c r="D762" s="45" t="s">
        <v>1205</v>
      </c>
      <c r="E762" s="45" t="s">
        <v>316</v>
      </c>
      <c r="F762" s="45" t="s">
        <v>316</v>
      </c>
      <c r="G762" s="45" t="s">
        <v>1120</v>
      </c>
      <c r="H762" s="45" t="s">
        <v>1126</v>
      </c>
      <c r="I762" s="45" t="s">
        <v>1126</v>
      </c>
      <c r="J762" s="45" t="s">
        <v>4883</v>
      </c>
      <c r="K762" s="45" t="s">
        <v>5657</v>
      </c>
      <c r="L762" s="45" t="s">
        <v>1122</v>
      </c>
      <c r="M762" s="45"/>
      <c r="N762" s="45"/>
      <c r="O762" s="45" t="s">
        <v>1123</v>
      </c>
      <c r="P762" s="46" t="str">
        <f>HYPERLINK("https://cofre.sieg.com/ajax/danfe.aspx?nfe=26230147508411160439551020000364401100392686","Ver Danfe")</f>
        <v>Ver Danfe</v>
      </c>
      <c r="Q762" s="46" t="str">
        <f>HYPERLINK("https://cofre.sieg.com/ajax/xml.aspx?nfe=26230147508411160439551020000364401100392686","Baixar Xml")</f>
        <v>Baixar Xml</v>
      </c>
    </row>
    <row r="763" spans="1:17" x14ac:dyDescent="0.75">
      <c r="A763" s="5">
        <v>36450</v>
      </c>
      <c r="B763" s="55">
        <v>47.5</v>
      </c>
      <c r="C763" s="5" t="s">
        <v>4887</v>
      </c>
      <c r="D763" s="45" t="s">
        <v>1205</v>
      </c>
      <c r="E763" s="45" t="s">
        <v>316</v>
      </c>
      <c r="F763" s="45" t="s">
        <v>316</v>
      </c>
      <c r="G763" s="45" t="s">
        <v>1120</v>
      </c>
      <c r="H763" s="45" t="s">
        <v>1126</v>
      </c>
      <c r="I763" s="45" t="s">
        <v>1126</v>
      </c>
      <c r="J763" s="45" t="s">
        <v>4887</v>
      </c>
      <c r="K763" s="45" t="s">
        <v>5658</v>
      </c>
      <c r="L763" s="45" t="s">
        <v>1122</v>
      </c>
      <c r="M763" s="45"/>
      <c r="N763" s="45"/>
      <c r="O763" s="45" t="s">
        <v>1123</v>
      </c>
      <c r="P763" s="46" t="str">
        <f>HYPERLINK("https://cofre.sieg.com/ajax/danfe.aspx?nfe=26230147508411160439551020000364501100393549","Ver Danfe")</f>
        <v>Ver Danfe</v>
      </c>
      <c r="Q763" s="46" t="str">
        <f>HYPERLINK("https://cofre.sieg.com/ajax/xml.aspx?nfe=26230147508411160439551020000364501100393549","Baixar Xml")</f>
        <v>Baixar Xml</v>
      </c>
    </row>
    <row r="764" spans="1:17" x14ac:dyDescent="0.75">
      <c r="A764" s="5">
        <v>36466</v>
      </c>
      <c r="B764" s="55">
        <v>65.2</v>
      </c>
      <c r="C764" s="5" t="s">
        <v>4907</v>
      </c>
      <c r="D764" s="45" t="s">
        <v>1205</v>
      </c>
      <c r="E764" s="45" t="s">
        <v>316</v>
      </c>
      <c r="F764" s="45" t="s">
        <v>316</v>
      </c>
      <c r="G764" s="45" t="s">
        <v>1120</v>
      </c>
      <c r="H764" s="45" t="s">
        <v>1126</v>
      </c>
      <c r="I764" s="45" t="s">
        <v>1126</v>
      </c>
      <c r="J764" s="45" t="s">
        <v>4907</v>
      </c>
      <c r="K764" s="45" t="s">
        <v>5659</v>
      </c>
      <c r="L764" s="45" t="s">
        <v>1122</v>
      </c>
      <c r="M764" s="45"/>
      <c r="N764" s="45"/>
      <c r="O764" s="45" t="s">
        <v>1123</v>
      </c>
      <c r="P764" s="46" t="str">
        <f>HYPERLINK("https://cofre.sieg.com/ajax/danfe.aspx?nfe=26230147508411160439551020000364661100360381","Ver Danfe")</f>
        <v>Ver Danfe</v>
      </c>
      <c r="Q764" s="46" t="str">
        <f>HYPERLINK("https://cofre.sieg.com/ajax/xml.aspx?nfe=26230147508411160439551020000364661100360381","Baixar Xml")</f>
        <v>Baixar Xml</v>
      </c>
    </row>
    <row r="765" spans="1:17" x14ac:dyDescent="0.75">
      <c r="A765" s="5">
        <v>36467</v>
      </c>
      <c r="B765" s="55">
        <v>30.9</v>
      </c>
      <c r="C765" s="5" t="s">
        <v>4907</v>
      </c>
      <c r="D765" s="45" t="s">
        <v>1205</v>
      </c>
      <c r="E765" s="45" t="s">
        <v>316</v>
      </c>
      <c r="F765" s="45" t="s">
        <v>316</v>
      </c>
      <c r="G765" s="45" t="s">
        <v>1120</v>
      </c>
      <c r="H765" s="45" t="s">
        <v>1126</v>
      </c>
      <c r="I765" s="45" t="s">
        <v>1126</v>
      </c>
      <c r="J765" s="45" t="s">
        <v>4907</v>
      </c>
      <c r="K765" s="45" t="s">
        <v>5660</v>
      </c>
      <c r="L765" s="45" t="s">
        <v>1122</v>
      </c>
      <c r="M765" s="45"/>
      <c r="N765" s="45"/>
      <c r="O765" s="45" t="s">
        <v>1123</v>
      </c>
      <c r="P765" s="46" t="str">
        <f>HYPERLINK("https://cofre.sieg.com/ajax/danfe.aspx?nfe=26230147508411160439551020000364671100386744","Ver Danfe")</f>
        <v>Ver Danfe</v>
      </c>
      <c r="Q765" s="46" t="str">
        <f>HYPERLINK("https://cofre.sieg.com/ajax/xml.aspx?nfe=26230147508411160439551020000364671100386744","Baixar Xml")</f>
        <v>Baixar Xml</v>
      </c>
    </row>
    <row r="766" spans="1:17" x14ac:dyDescent="0.75">
      <c r="A766" s="5">
        <v>36468</v>
      </c>
      <c r="B766" s="55">
        <v>86.4</v>
      </c>
      <c r="C766" s="5" t="s">
        <v>4907</v>
      </c>
      <c r="D766" s="45" t="s">
        <v>1205</v>
      </c>
      <c r="E766" s="45" t="s">
        <v>316</v>
      </c>
      <c r="F766" s="45" t="s">
        <v>316</v>
      </c>
      <c r="G766" s="45" t="s">
        <v>1120</v>
      </c>
      <c r="H766" s="45" t="s">
        <v>1126</v>
      </c>
      <c r="I766" s="45" t="s">
        <v>1126</v>
      </c>
      <c r="J766" s="45" t="s">
        <v>4907</v>
      </c>
      <c r="K766" s="45" t="s">
        <v>5661</v>
      </c>
      <c r="L766" s="45" t="s">
        <v>1122</v>
      </c>
      <c r="M766" s="45"/>
      <c r="N766" s="45"/>
      <c r="O766" s="45" t="s">
        <v>1123</v>
      </c>
      <c r="P766" s="46" t="str">
        <f>HYPERLINK("https://cofre.sieg.com/ajax/danfe.aspx?nfe=26230147508411160439551020000364681100315739","Ver Danfe")</f>
        <v>Ver Danfe</v>
      </c>
      <c r="Q766" s="46" t="str">
        <f>HYPERLINK("https://cofre.sieg.com/ajax/xml.aspx?nfe=26230147508411160439551020000364681100315739","Baixar Xml")</f>
        <v>Baixar Xml</v>
      </c>
    </row>
    <row r="767" spans="1:17" x14ac:dyDescent="0.75">
      <c r="A767" s="5">
        <v>36469</v>
      </c>
      <c r="B767" s="55">
        <v>137.6</v>
      </c>
      <c r="C767" s="5" t="s">
        <v>4907</v>
      </c>
      <c r="D767" s="45" t="s">
        <v>1205</v>
      </c>
      <c r="E767" s="45" t="s">
        <v>316</v>
      </c>
      <c r="F767" s="45" t="s">
        <v>316</v>
      </c>
      <c r="G767" s="45" t="s">
        <v>1120</v>
      </c>
      <c r="H767" s="45" t="s">
        <v>1126</v>
      </c>
      <c r="I767" s="45" t="s">
        <v>1126</v>
      </c>
      <c r="J767" s="45" t="s">
        <v>4907</v>
      </c>
      <c r="K767" s="45" t="s">
        <v>5662</v>
      </c>
      <c r="L767" s="45" t="s">
        <v>1122</v>
      </c>
      <c r="M767" s="45"/>
      <c r="N767" s="45"/>
      <c r="O767" s="45" t="s">
        <v>1123</v>
      </c>
      <c r="P767" s="46" t="str">
        <f>HYPERLINK("https://cofre.sieg.com/ajax/danfe.aspx?nfe=26230147508411160439551020000364691100300712","Ver Danfe")</f>
        <v>Ver Danfe</v>
      </c>
      <c r="Q767" s="46" t="str">
        <f>HYPERLINK("https://cofre.sieg.com/ajax/xml.aspx?nfe=26230147508411160439551020000364691100300712","Baixar Xml")</f>
        <v>Baixar Xml</v>
      </c>
    </row>
    <row r="768" spans="1:17" x14ac:dyDescent="0.75">
      <c r="A768" s="5">
        <v>36547</v>
      </c>
      <c r="B768" s="55">
        <v>122.6</v>
      </c>
      <c r="C768" s="5" t="s">
        <v>4919</v>
      </c>
      <c r="D768" s="45" t="s">
        <v>1205</v>
      </c>
      <c r="E768" s="45" t="s">
        <v>316</v>
      </c>
      <c r="F768" s="45" t="s">
        <v>316</v>
      </c>
      <c r="G768" s="45" t="s">
        <v>1120</v>
      </c>
      <c r="H768" s="45" t="s">
        <v>1126</v>
      </c>
      <c r="I768" s="45" t="s">
        <v>1126</v>
      </c>
      <c r="J768" s="45" t="s">
        <v>4919</v>
      </c>
      <c r="K768" s="45" t="s">
        <v>5663</v>
      </c>
      <c r="L768" s="45" t="s">
        <v>1122</v>
      </c>
      <c r="M768" s="45" t="s">
        <v>1311</v>
      </c>
      <c r="N768" s="45" t="s">
        <v>1312</v>
      </c>
      <c r="O768" s="45" t="s">
        <v>1123</v>
      </c>
      <c r="P768" s="46" t="str">
        <f>HYPERLINK("https://cofre.sieg.com/ajax/danfe.aspx?nfe=26230147508411160439551020000365471100310546","Ver Danfe")</f>
        <v>Ver Danfe</v>
      </c>
      <c r="Q768" s="46" t="str">
        <f>HYPERLINK("https://cofre.sieg.com/ajax/xml.aspx?nfe=26230147508411160439551020000365471100310546","Baixar Xml")</f>
        <v>Baixar Xml</v>
      </c>
    </row>
    <row r="769" spans="1:17" x14ac:dyDescent="0.75">
      <c r="A769" s="5">
        <v>36548</v>
      </c>
      <c r="B769" s="55">
        <v>72.2</v>
      </c>
      <c r="C769" s="5" t="s">
        <v>4919</v>
      </c>
      <c r="D769" s="45" t="s">
        <v>1205</v>
      </c>
      <c r="E769" s="45" t="s">
        <v>316</v>
      </c>
      <c r="F769" s="45" t="s">
        <v>316</v>
      </c>
      <c r="G769" s="45" t="s">
        <v>1120</v>
      </c>
      <c r="H769" s="45" t="s">
        <v>1126</v>
      </c>
      <c r="I769" s="45" t="s">
        <v>1126</v>
      </c>
      <c r="J769" s="45" t="s">
        <v>4919</v>
      </c>
      <c r="K769" s="45" t="s">
        <v>5664</v>
      </c>
      <c r="L769" s="45" t="s">
        <v>1122</v>
      </c>
      <c r="M769" s="45" t="s">
        <v>1311</v>
      </c>
      <c r="N769" s="45" t="s">
        <v>1312</v>
      </c>
      <c r="O769" s="45" t="s">
        <v>1123</v>
      </c>
      <c r="P769" s="46" t="str">
        <f>HYPERLINK("https://cofre.sieg.com/ajax/danfe.aspx?nfe=26230147508411160439551020000365481100321391","Ver Danfe")</f>
        <v>Ver Danfe</v>
      </c>
      <c r="Q769" s="46" t="str">
        <f>HYPERLINK("https://cofre.sieg.com/ajax/xml.aspx?nfe=26230147508411160439551020000365481100321391","Baixar Xml")</f>
        <v>Baixar Xml</v>
      </c>
    </row>
    <row r="770" spans="1:17" x14ac:dyDescent="0.75">
      <c r="A770" s="5">
        <v>36565</v>
      </c>
      <c r="B770" s="55">
        <v>93.5</v>
      </c>
      <c r="C770" s="5" t="s">
        <v>4930</v>
      </c>
      <c r="D770" s="45" t="s">
        <v>1205</v>
      </c>
      <c r="E770" s="45" t="s">
        <v>316</v>
      </c>
      <c r="F770" s="45" t="s">
        <v>316</v>
      </c>
      <c r="G770" s="45" t="s">
        <v>1120</v>
      </c>
      <c r="H770" s="45" t="s">
        <v>1126</v>
      </c>
      <c r="I770" s="45" t="s">
        <v>1126</v>
      </c>
      <c r="J770" s="45" t="s">
        <v>4930</v>
      </c>
      <c r="K770" s="45" t="s">
        <v>5665</v>
      </c>
      <c r="L770" s="45" t="s">
        <v>1122</v>
      </c>
      <c r="M770" s="45"/>
      <c r="N770" s="45"/>
      <c r="O770" s="45" t="s">
        <v>1123</v>
      </c>
      <c r="P770" s="46" t="str">
        <f>HYPERLINK("https://cofre.sieg.com/ajax/danfe.aspx?nfe=26230147508411160439551020000365651100344945","Ver Danfe")</f>
        <v>Ver Danfe</v>
      </c>
      <c r="Q770" s="46" t="str">
        <f>HYPERLINK("https://cofre.sieg.com/ajax/xml.aspx?nfe=26230147508411160439551020000365651100344945","Baixar Xml")</f>
        <v>Baixar Xml</v>
      </c>
    </row>
    <row r="771" spans="1:17" x14ac:dyDescent="0.75">
      <c r="A771" s="5">
        <v>36566</v>
      </c>
      <c r="B771" s="55">
        <v>47.6</v>
      </c>
      <c r="C771" s="5" t="s">
        <v>4930</v>
      </c>
      <c r="D771" s="45" t="s">
        <v>1205</v>
      </c>
      <c r="E771" s="45" t="s">
        <v>316</v>
      </c>
      <c r="F771" s="45" t="s">
        <v>316</v>
      </c>
      <c r="G771" s="45" t="s">
        <v>1120</v>
      </c>
      <c r="H771" s="45" t="s">
        <v>1126</v>
      </c>
      <c r="I771" s="45" t="s">
        <v>1126</v>
      </c>
      <c r="J771" s="45" t="s">
        <v>4930</v>
      </c>
      <c r="K771" s="45" t="s">
        <v>5666</v>
      </c>
      <c r="L771" s="45" t="s">
        <v>1122</v>
      </c>
      <c r="M771" s="45"/>
      <c r="N771" s="45"/>
      <c r="O771" s="45" t="s">
        <v>1123</v>
      </c>
      <c r="P771" s="46" t="str">
        <f>HYPERLINK("https://cofre.sieg.com/ajax/danfe.aspx?nfe=26230147508411160439551020000365661100324925","Ver Danfe")</f>
        <v>Ver Danfe</v>
      </c>
      <c r="Q771" s="46" t="str">
        <f>HYPERLINK("https://cofre.sieg.com/ajax/xml.aspx?nfe=26230147508411160439551020000365661100324925","Baixar Xml")</f>
        <v>Baixar Xml</v>
      </c>
    </row>
    <row r="772" spans="1:17" x14ac:dyDescent="0.75">
      <c r="A772" s="5">
        <v>21</v>
      </c>
      <c r="B772" s="55">
        <v>1650</v>
      </c>
      <c r="C772" s="5" t="s">
        <v>4887</v>
      </c>
      <c r="D772" s="45" t="s">
        <v>4931</v>
      </c>
      <c r="E772" s="45" t="s">
        <v>5667</v>
      </c>
      <c r="F772" s="45" t="s">
        <v>1356</v>
      </c>
      <c r="G772" s="45" t="s">
        <v>1120</v>
      </c>
      <c r="H772" s="45" t="s">
        <v>5668</v>
      </c>
      <c r="I772" s="45" t="s">
        <v>5668</v>
      </c>
      <c r="J772" s="45" t="s">
        <v>4887</v>
      </c>
      <c r="K772" s="45" t="s">
        <v>5669</v>
      </c>
      <c r="L772" s="45" t="s">
        <v>1122</v>
      </c>
      <c r="M772" s="45"/>
      <c r="N772" s="45"/>
      <c r="O772" s="45" t="s">
        <v>1123</v>
      </c>
      <c r="P772" s="46" t="str">
        <f>HYPERLINK("https://cofre.sieg.com/ajax/danfe.aspx?nfe=26230148900495000131550010000000211262731291","Ver Danfe")</f>
        <v>Ver Danfe</v>
      </c>
      <c r="Q772" s="46" t="str">
        <f>HYPERLINK("https://cofre.sieg.com/ajax/xml.aspx?nfe=26230148900495000131550010000000211262731291","Baixar Xml")</f>
        <v>Baixar Xml</v>
      </c>
    </row>
    <row r="773" spans="1:17" x14ac:dyDescent="0.75">
      <c r="A773" s="5">
        <v>27</v>
      </c>
      <c r="B773" s="55">
        <v>870</v>
      </c>
      <c r="C773" s="5" t="s">
        <v>4891</v>
      </c>
      <c r="D773" s="45" t="s">
        <v>4931</v>
      </c>
      <c r="E773" s="45" t="s">
        <v>5667</v>
      </c>
      <c r="F773" s="45" t="s">
        <v>1356</v>
      </c>
      <c r="G773" s="45" t="s">
        <v>1120</v>
      </c>
      <c r="H773" s="45" t="s">
        <v>5668</v>
      </c>
      <c r="I773" s="45" t="s">
        <v>5668</v>
      </c>
      <c r="J773" s="45" t="s">
        <v>4891</v>
      </c>
      <c r="K773" s="45" t="s">
        <v>5670</v>
      </c>
      <c r="L773" s="45" t="s">
        <v>1122</v>
      </c>
      <c r="M773" s="45" t="s">
        <v>1311</v>
      </c>
      <c r="N773" s="45" t="s">
        <v>1312</v>
      </c>
      <c r="O773" s="45" t="s">
        <v>1123</v>
      </c>
      <c r="P773" s="46" t="str">
        <f>HYPERLINK("https://cofre.sieg.com/ajax/danfe.aspx?nfe=26230148900495000131550010000000271092028238","Ver Danfe")</f>
        <v>Ver Danfe</v>
      </c>
      <c r="Q773" s="46" t="str">
        <f>HYPERLINK("https://cofre.sieg.com/ajax/xml.aspx?nfe=26230148900495000131550010000000271092028238","Baixar Xml")</f>
        <v>Baixar Xml</v>
      </c>
    </row>
    <row r="774" spans="1:17" x14ac:dyDescent="0.75">
      <c r="A774" s="5">
        <v>40</v>
      </c>
      <c r="B774" s="55">
        <v>1290</v>
      </c>
      <c r="C774" s="5" t="s">
        <v>4899</v>
      </c>
      <c r="D774" s="45" t="s">
        <v>4931</v>
      </c>
      <c r="E774" s="45" t="s">
        <v>5667</v>
      </c>
      <c r="F774" s="45" t="s">
        <v>1356</v>
      </c>
      <c r="G774" s="45" t="s">
        <v>1120</v>
      </c>
      <c r="H774" s="45" t="s">
        <v>1121</v>
      </c>
      <c r="I774" s="45" t="s">
        <v>1121</v>
      </c>
      <c r="J774" s="45" t="s">
        <v>4899</v>
      </c>
      <c r="K774" s="45" t="s">
        <v>5671</v>
      </c>
      <c r="L774" s="45" t="s">
        <v>1122</v>
      </c>
      <c r="M774" s="45"/>
      <c r="N774" s="45"/>
      <c r="O774" s="45" t="s">
        <v>1123</v>
      </c>
      <c r="P774" s="46" t="str">
        <f>HYPERLINK("https://cofre.sieg.com/ajax/danfe.aspx?nfe=26230148900495000131550010000000401597976003","Ver Danfe")</f>
        <v>Ver Danfe</v>
      </c>
      <c r="Q774" s="46" t="str">
        <f>HYPERLINK("https://cofre.sieg.com/ajax/xml.aspx?nfe=26230148900495000131550010000000401597976003","Baixar Xml")</f>
        <v>Baixar Xml</v>
      </c>
    </row>
    <row r="775" spans="1:17" x14ac:dyDescent="0.75">
      <c r="A775" s="5">
        <v>62</v>
      </c>
      <c r="B775" s="55">
        <v>710</v>
      </c>
      <c r="C775" s="5" t="s">
        <v>4900</v>
      </c>
      <c r="D775" s="45" t="s">
        <v>4931</v>
      </c>
      <c r="E775" s="45" t="s">
        <v>5667</v>
      </c>
      <c r="F775" s="45" t="s">
        <v>1356</v>
      </c>
      <c r="G775" s="45" t="s">
        <v>1120</v>
      </c>
      <c r="H775" s="45" t="s">
        <v>1121</v>
      </c>
      <c r="I775" s="45" t="s">
        <v>1121</v>
      </c>
      <c r="J775" s="45" t="s">
        <v>4900</v>
      </c>
      <c r="K775" s="45" t="s">
        <v>5672</v>
      </c>
      <c r="L775" s="45" t="s">
        <v>1122</v>
      </c>
      <c r="M775" s="45" t="s">
        <v>1311</v>
      </c>
      <c r="N775" s="45" t="s">
        <v>1312</v>
      </c>
      <c r="O775" s="45" t="s">
        <v>1123</v>
      </c>
      <c r="P775" s="46" t="str">
        <f>HYPERLINK("https://cofre.sieg.com/ajax/danfe.aspx?nfe=26230148900495000131550010000000621950397842","Ver Danfe")</f>
        <v>Ver Danfe</v>
      </c>
      <c r="Q775" s="46" t="str">
        <f>HYPERLINK("https://cofre.sieg.com/ajax/xml.aspx?nfe=26230148900495000131550010000000621950397842","Baixar Xml")</f>
        <v>Baixar Xml</v>
      </c>
    </row>
    <row r="776" spans="1:17" x14ac:dyDescent="0.75">
      <c r="A776" s="5">
        <v>67</v>
      </c>
      <c r="B776" s="55">
        <v>1410</v>
      </c>
      <c r="C776" s="5" t="s">
        <v>4907</v>
      </c>
      <c r="D776" s="45" t="s">
        <v>4931</v>
      </c>
      <c r="E776" s="45" t="s">
        <v>5667</v>
      </c>
      <c r="F776" s="45" t="s">
        <v>1356</v>
      </c>
      <c r="G776" s="45" t="s">
        <v>1120</v>
      </c>
      <c r="H776" s="45" t="s">
        <v>1121</v>
      </c>
      <c r="I776" s="45" t="s">
        <v>1121</v>
      </c>
      <c r="J776" s="45" t="s">
        <v>4907</v>
      </c>
      <c r="K776" s="45" t="s">
        <v>5673</v>
      </c>
      <c r="L776" s="45" t="s">
        <v>1122</v>
      </c>
      <c r="M776" s="45"/>
      <c r="N776" s="45"/>
      <c r="O776" s="45" t="s">
        <v>1123</v>
      </c>
      <c r="P776" s="46" t="str">
        <f>HYPERLINK("https://cofre.sieg.com/ajax/danfe.aspx?nfe=26230148900495000131550010000000671543659615","Ver Danfe")</f>
        <v>Ver Danfe</v>
      </c>
      <c r="Q776" s="46" t="str">
        <f>HYPERLINK("https://cofre.sieg.com/ajax/xml.aspx?nfe=26230148900495000131550010000000671543659615","Baixar Xml")</f>
        <v>Baixar Xml</v>
      </c>
    </row>
    <row r="777" spans="1:17" x14ac:dyDescent="0.75">
      <c r="A777" s="5">
        <v>83</v>
      </c>
      <c r="B777" s="55">
        <v>970</v>
      </c>
      <c r="C777" s="5" t="s">
        <v>4908</v>
      </c>
      <c r="D777" s="45" t="s">
        <v>4931</v>
      </c>
      <c r="E777" s="45" t="s">
        <v>5667</v>
      </c>
      <c r="F777" s="45" t="s">
        <v>1356</v>
      </c>
      <c r="G777" s="45" t="s">
        <v>1120</v>
      </c>
      <c r="H777" s="45" t="s">
        <v>1121</v>
      </c>
      <c r="I777" s="45" t="s">
        <v>1121</v>
      </c>
      <c r="J777" s="45" t="s">
        <v>4908</v>
      </c>
      <c r="K777" s="45" t="s">
        <v>5674</v>
      </c>
      <c r="L777" s="45" t="s">
        <v>1122</v>
      </c>
      <c r="M777" s="45" t="s">
        <v>1311</v>
      </c>
      <c r="N777" s="45" t="s">
        <v>1312</v>
      </c>
      <c r="O777" s="45" t="s">
        <v>1123</v>
      </c>
      <c r="P777" s="46" t="str">
        <f>HYPERLINK("https://cofre.sieg.com/ajax/danfe.aspx?nfe=26230148900495000131550010000000831298213919","Ver Danfe")</f>
        <v>Ver Danfe</v>
      </c>
      <c r="Q777" s="46" t="str">
        <f>HYPERLINK("https://cofre.sieg.com/ajax/xml.aspx?nfe=26230148900495000131550010000000831298213919","Baixar Xml")</f>
        <v>Baixar Xml</v>
      </c>
    </row>
    <row r="778" spans="1:17" x14ac:dyDescent="0.75">
      <c r="A778" s="5">
        <v>97</v>
      </c>
      <c r="B778" s="55">
        <v>1990</v>
      </c>
      <c r="C778" s="5" t="s">
        <v>4912</v>
      </c>
      <c r="D778" s="45" t="s">
        <v>4931</v>
      </c>
      <c r="E778" s="45" t="s">
        <v>5667</v>
      </c>
      <c r="F778" s="45" t="s">
        <v>1356</v>
      </c>
      <c r="G778" s="45" t="s">
        <v>1120</v>
      </c>
      <c r="H778" s="45" t="s">
        <v>1121</v>
      </c>
      <c r="I778" s="45" t="s">
        <v>1121</v>
      </c>
      <c r="J778" s="45" t="s">
        <v>4912</v>
      </c>
      <c r="K778" s="45" t="s">
        <v>5675</v>
      </c>
      <c r="L778" s="45" t="s">
        <v>1122</v>
      </c>
      <c r="M778" s="45" t="s">
        <v>1311</v>
      </c>
      <c r="N778" s="45" t="s">
        <v>1312</v>
      </c>
      <c r="O778" s="45" t="s">
        <v>1123</v>
      </c>
      <c r="P778" s="46" t="str">
        <f>HYPERLINK("https://cofre.sieg.com/ajax/danfe.aspx?nfe=26230148900495000131550010000000971121348082","Ver Danfe")</f>
        <v>Ver Danfe</v>
      </c>
      <c r="Q778" s="46" t="str">
        <f>HYPERLINK("https://cofre.sieg.com/ajax/xml.aspx?nfe=26230148900495000131550010000000971121348082","Baixar Xml")</f>
        <v>Baixar Xml</v>
      </c>
    </row>
    <row r="779" spans="1:17" x14ac:dyDescent="0.75">
      <c r="A779" s="5">
        <v>98</v>
      </c>
      <c r="B779" s="55">
        <v>960</v>
      </c>
      <c r="C779" s="5" t="s">
        <v>4919</v>
      </c>
      <c r="D779" s="45" t="s">
        <v>4931</v>
      </c>
      <c r="E779" s="45" t="s">
        <v>5667</v>
      </c>
      <c r="F779" s="45" t="s">
        <v>1356</v>
      </c>
      <c r="G779" s="45" t="s">
        <v>1120</v>
      </c>
      <c r="H779" s="45" t="s">
        <v>1121</v>
      </c>
      <c r="I779" s="45" t="s">
        <v>1121</v>
      </c>
      <c r="J779" s="45" t="s">
        <v>4919</v>
      </c>
      <c r="K779" s="45" t="s">
        <v>5676</v>
      </c>
      <c r="L779" s="45" t="s">
        <v>1122</v>
      </c>
      <c r="M779" s="45"/>
      <c r="N779" s="45"/>
      <c r="O779" s="45" t="s">
        <v>1123</v>
      </c>
      <c r="P779" s="46" t="str">
        <f>HYPERLINK("https://cofre.sieg.com/ajax/danfe.aspx?nfe=26230148900495000131550010000000981846300270","Ver Danfe")</f>
        <v>Ver Danfe</v>
      </c>
      <c r="Q779" s="46" t="str">
        <f>HYPERLINK("https://cofre.sieg.com/ajax/xml.aspx?nfe=26230148900495000131550010000000981846300270","Baixar Xml")</f>
        <v>Baixar Xml</v>
      </c>
    </row>
    <row r="780" spans="1:17" x14ac:dyDescent="0.75">
      <c r="A780" s="5">
        <v>105</v>
      </c>
      <c r="B780" s="55">
        <v>1640</v>
      </c>
      <c r="C780" s="5" t="s">
        <v>4923</v>
      </c>
      <c r="D780" s="45" t="s">
        <v>4931</v>
      </c>
      <c r="E780" s="45" t="s">
        <v>5667</v>
      </c>
      <c r="F780" s="45" t="s">
        <v>1356</v>
      </c>
      <c r="G780" s="45" t="s">
        <v>1120</v>
      </c>
      <c r="H780" s="45" t="s">
        <v>1121</v>
      </c>
      <c r="I780" s="45" t="s">
        <v>1121</v>
      </c>
      <c r="J780" s="45" t="s">
        <v>4923</v>
      </c>
      <c r="K780" s="45" t="s">
        <v>5677</v>
      </c>
      <c r="L780" s="45" t="s">
        <v>1122</v>
      </c>
      <c r="M780" s="45"/>
      <c r="N780" s="45"/>
      <c r="O780" s="45" t="s">
        <v>1123</v>
      </c>
      <c r="P780" s="46" t="str">
        <f>HYPERLINK("https://cofre.sieg.com/ajax/danfe.aspx?nfe=26230148900495000131550010000001051482577536","Ver Danfe")</f>
        <v>Ver Danfe</v>
      </c>
      <c r="Q780" s="46" t="str">
        <f>HYPERLINK("https://cofre.sieg.com/ajax/xml.aspx?nfe=26230148900495000131550010000001051482577536","Baixar Xml")</f>
        <v>Baixar Xml</v>
      </c>
    </row>
    <row r="781" spans="1:17" x14ac:dyDescent="0.75">
      <c r="A781" s="5">
        <v>130</v>
      </c>
      <c r="B781" s="55">
        <v>500</v>
      </c>
      <c r="C781" s="5" t="s">
        <v>4923</v>
      </c>
      <c r="D781" s="45" t="s">
        <v>4931</v>
      </c>
      <c r="E781" s="45" t="s">
        <v>5667</v>
      </c>
      <c r="F781" s="45" t="s">
        <v>1356</v>
      </c>
      <c r="G781" s="45" t="s">
        <v>1120</v>
      </c>
      <c r="H781" s="45" t="s">
        <v>1121</v>
      </c>
      <c r="I781" s="45" t="s">
        <v>1121</v>
      </c>
      <c r="J781" s="45" t="s">
        <v>4930</v>
      </c>
      <c r="K781" s="45" t="s">
        <v>5678</v>
      </c>
      <c r="L781" s="45" t="s">
        <v>1122</v>
      </c>
      <c r="M781" s="45" t="s">
        <v>1311</v>
      </c>
      <c r="N781" s="45" t="s">
        <v>1312</v>
      </c>
      <c r="O781" s="45" t="s">
        <v>1123</v>
      </c>
      <c r="P781" s="46" t="str">
        <f>HYPERLINK("https://cofre.sieg.com/ajax/danfe.aspx?nfe=26230148900495000131550010000001301185804522","Ver Danfe")</f>
        <v>Ver Danfe</v>
      </c>
      <c r="Q781" s="46" t="str">
        <f>HYPERLINK("https://cofre.sieg.com/ajax/xml.aspx?nfe=26230148900495000131550010000001301185804522","Baixar Xml")</f>
        <v>Baixar Xml</v>
      </c>
    </row>
    <row r="782" spans="1:17" x14ac:dyDescent="0.75">
      <c r="A782" s="5">
        <v>132</v>
      </c>
      <c r="B782" s="55">
        <v>1880</v>
      </c>
      <c r="C782" s="5" t="s">
        <v>4937</v>
      </c>
      <c r="D782" s="45" t="s">
        <v>4931</v>
      </c>
      <c r="E782" s="45" t="s">
        <v>5667</v>
      </c>
      <c r="F782" s="45" t="s">
        <v>1356</v>
      </c>
      <c r="G782" s="45" t="s">
        <v>1120</v>
      </c>
      <c r="H782" s="45" t="s">
        <v>1121</v>
      </c>
      <c r="I782" s="45" t="s">
        <v>1121</v>
      </c>
      <c r="J782" s="45" t="s">
        <v>4937</v>
      </c>
      <c r="K782" s="45" t="s">
        <v>5679</v>
      </c>
      <c r="L782" s="45" t="s">
        <v>1122</v>
      </c>
      <c r="M782" s="45" t="s">
        <v>1311</v>
      </c>
      <c r="N782" s="45" t="s">
        <v>1312</v>
      </c>
      <c r="O782" s="45" t="s">
        <v>1123</v>
      </c>
      <c r="P782" s="46" t="str">
        <f>HYPERLINK("https://cofre.sieg.com/ajax/danfe.aspx?nfe=26230148900495000131550010000001321966047222","Ver Danfe")</f>
        <v>Ver Danfe</v>
      </c>
      <c r="Q782" s="46" t="str">
        <f>HYPERLINK("https://cofre.sieg.com/ajax/xml.aspx?nfe=26230148900495000131550010000001321966047222","Baixar Xml")</f>
        <v>Baixar Xml</v>
      </c>
    </row>
    <row r="783" spans="1:17" x14ac:dyDescent="0.75">
      <c r="A783" s="5">
        <v>139</v>
      </c>
      <c r="B783" s="55">
        <v>790</v>
      </c>
      <c r="C783" s="5" t="s">
        <v>4938</v>
      </c>
      <c r="D783" s="45" t="s">
        <v>4931</v>
      </c>
      <c r="E783" s="45" t="s">
        <v>5667</v>
      </c>
      <c r="F783" s="45" t="s">
        <v>1356</v>
      </c>
      <c r="G783" s="45" t="s">
        <v>1120</v>
      </c>
      <c r="H783" s="45" t="s">
        <v>1121</v>
      </c>
      <c r="I783" s="45" t="s">
        <v>1121</v>
      </c>
      <c r="J783" s="45" t="s">
        <v>4938</v>
      </c>
      <c r="K783" s="45" t="s">
        <v>5680</v>
      </c>
      <c r="L783" s="45" t="s">
        <v>1122</v>
      </c>
      <c r="M783" s="45"/>
      <c r="N783" s="45"/>
      <c r="O783" s="45" t="s">
        <v>1123</v>
      </c>
      <c r="P783" s="46" t="str">
        <f>HYPERLINK("https://cofre.sieg.com/ajax/danfe.aspx?nfe=26230148900495000131550010000001391819580377","Ver Danfe")</f>
        <v>Ver Danfe</v>
      </c>
      <c r="Q783" s="46" t="str">
        <f>HYPERLINK("https://cofre.sieg.com/ajax/xml.aspx?nfe=26230148900495000131550010000001391819580377","Baixar Xml")</f>
        <v>Baixar Xml</v>
      </c>
    </row>
    <row r="784" spans="1:17" x14ac:dyDescent="0.75">
      <c r="A784" s="5">
        <v>49840</v>
      </c>
      <c r="B784" s="55">
        <v>130</v>
      </c>
      <c r="C784" s="5" t="s">
        <v>4857</v>
      </c>
      <c r="D784" s="45" t="s">
        <v>5681</v>
      </c>
      <c r="E784" s="45" t="s">
        <v>5682</v>
      </c>
      <c r="F784" s="45" t="s">
        <v>258</v>
      </c>
      <c r="G784" s="45" t="s">
        <v>1120</v>
      </c>
      <c r="H784" s="45" t="s">
        <v>1133</v>
      </c>
      <c r="I784" s="45" t="s">
        <v>1133</v>
      </c>
      <c r="J784" s="45" t="s">
        <v>4857</v>
      </c>
      <c r="K784" s="45" t="s">
        <v>5683</v>
      </c>
      <c r="L784" s="45" t="s">
        <v>1122</v>
      </c>
      <c r="M784" s="45" t="s">
        <v>1311</v>
      </c>
      <c r="N784" s="45" t="s">
        <v>1312</v>
      </c>
      <c r="O784" s="45" t="s">
        <v>1123</v>
      </c>
      <c r="P784" s="46" t="str">
        <f>HYPERLINK("https://cofre.sieg.com/ajax/danfe.aspx?nfe=26230169922953000103550010000498401866966820","Ver Danfe")</f>
        <v>Ver Danfe</v>
      </c>
      <c r="Q784" s="46" t="str">
        <f>HYPERLINK("https://cofre.sieg.com/ajax/xml.aspx?nfe=26230169922953000103550010000498401866966820","Baixar Xml")</f>
        <v>Baixar Xml</v>
      </c>
    </row>
    <row r="785" spans="1:17" x14ac:dyDescent="0.75">
      <c r="A785" s="5">
        <v>719020</v>
      </c>
      <c r="B785" s="55">
        <v>662</v>
      </c>
      <c r="C785" s="5" t="s">
        <v>4844</v>
      </c>
      <c r="D785" s="45" t="s">
        <v>5684</v>
      </c>
      <c r="E785" s="45" t="s">
        <v>856</v>
      </c>
      <c r="F785" s="45" t="s">
        <v>856</v>
      </c>
      <c r="G785" s="45" t="s">
        <v>1120</v>
      </c>
      <c r="H785" s="45" t="s">
        <v>1121</v>
      </c>
      <c r="I785" s="45" t="s">
        <v>1121</v>
      </c>
      <c r="J785" s="45" t="s">
        <v>4844</v>
      </c>
      <c r="K785" s="45" t="s">
        <v>5685</v>
      </c>
      <c r="L785" s="45" t="s">
        <v>1122</v>
      </c>
      <c r="M785" s="45"/>
      <c r="N785" s="45"/>
      <c r="O785" s="45" t="s">
        <v>1123</v>
      </c>
      <c r="P785" s="46" t="str">
        <f>HYPERLINK("https://cofre.sieg.com/ajax/danfe.aspx?nfe=26230192660406000623550050007190201000321174","Ver Danfe")</f>
        <v>Ver Danfe</v>
      </c>
      <c r="Q785" s="46" t="str">
        <f>HYPERLINK("https://cofre.sieg.com/ajax/xml.aspx?nfe=26230192660406000623550050007190201000321174","Baixar Xml")</f>
        <v>Baixar Xml</v>
      </c>
    </row>
    <row r="786" spans="1:17" x14ac:dyDescent="0.75">
      <c r="A786" s="5">
        <v>7704</v>
      </c>
      <c r="B786" s="55">
        <v>8000</v>
      </c>
      <c r="C786" s="5" t="s">
        <v>4873</v>
      </c>
      <c r="D786" s="45" t="s">
        <v>4909</v>
      </c>
      <c r="E786" s="45" t="s">
        <v>5686</v>
      </c>
      <c r="F786" s="45" t="s">
        <v>1345</v>
      </c>
      <c r="G786" s="45" t="s">
        <v>1120</v>
      </c>
      <c r="H786" s="45" t="s">
        <v>1126</v>
      </c>
      <c r="I786" s="45" t="s">
        <v>1126</v>
      </c>
      <c r="J786" s="45" t="s">
        <v>4873</v>
      </c>
      <c r="K786" s="45" t="s">
        <v>5687</v>
      </c>
      <c r="L786" s="45" t="s">
        <v>1122</v>
      </c>
      <c r="M786" s="45" t="s">
        <v>1311</v>
      </c>
      <c r="N786" s="45" t="s">
        <v>1312</v>
      </c>
      <c r="O786" s="45" t="s">
        <v>1123</v>
      </c>
      <c r="P786" s="46" t="str">
        <f>HYPERLINK("https://cofre.sieg.com/ajax/danfe.aspx?nfe=29230103183099000100550010000077041125183185","Ver Danfe")</f>
        <v>Ver Danfe</v>
      </c>
      <c r="Q786" s="46" t="str">
        <f>HYPERLINK("https://cofre.sieg.com/ajax/xml.aspx?nfe=29230103183099000100550010000077041125183185","Baixar Xml")</f>
        <v>Baixar Xml</v>
      </c>
    </row>
    <row r="787" spans="1:17" x14ac:dyDescent="0.75">
      <c r="A787" s="5">
        <v>7715</v>
      </c>
      <c r="B787" s="55">
        <v>8000</v>
      </c>
      <c r="C787" s="5" t="s">
        <v>4899</v>
      </c>
      <c r="D787" s="45" t="s">
        <v>4909</v>
      </c>
      <c r="E787" s="45" t="s">
        <v>5686</v>
      </c>
      <c r="F787" s="45" t="s">
        <v>1345</v>
      </c>
      <c r="G787" s="45" t="s">
        <v>1120</v>
      </c>
      <c r="H787" s="45" t="s">
        <v>1126</v>
      </c>
      <c r="I787" s="45" t="s">
        <v>1126</v>
      </c>
      <c r="J787" s="45" t="s">
        <v>4899</v>
      </c>
      <c r="K787" s="45" t="s">
        <v>5688</v>
      </c>
      <c r="L787" s="45" t="s">
        <v>1122</v>
      </c>
      <c r="M787" s="45"/>
      <c r="N787" s="45"/>
      <c r="O787" s="45" t="s">
        <v>1123</v>
      </c>
      <c r="P787" s="46" t="str">
        <f>HYPERLINK("https://cofre.sieg.com/ajax/danfe.aspx?nfe=29230103183099000100550010000077151237019305","Ver Danfe")</f>
        <v>Ver Danfe</v>
      </c>
      <c r="Q787" s="46" t="str">
        <f>HYPERLINK("https://cofre.sieg.com/ajax/xml.aspx?nfe=29230103183099000100550010000077151237019305","Baixar Xml")</f>
        <v>Baixar Xml</v>
      </c>
    </row>
    <row r="788" spans="1:17" x14ac:dyDescent="0.75">
      <c r="A788" s="5">
        <v>7723</v>
      </c>
      <c r="B788" s="55">
        <v>260</v>
      </c>
      <c r="C788" s="5" t="s">
        <v>4908</v>
      </c>
      <c r="D788" s="45" t="s">
        <v>4909</v>
      </c>
      <c r="E788" s="45" t="s">
        <v>5686</v>
      </c>
      <c r="F788" s="45" t="s">
        <v>1345</v>
      </c>
      <c r="G788" s="45" t="s">
        <v>1120</v>
      </c>
      <c r="H788" s="45" t="s">
        <v>1126</v>
      </c>
      <c r="I788" s="45" t="s">
        <v>1126</v>
      </c>
      <c r="J788" s="45" t="s">
        <v>4908</v>
      </c>
      <c r="K788" s="45" t="s">
        <v>5689</v>
      </c>
      <c r="L788" s="45" t="s">
        <v>1122</v>
      </c>
      <c r="M788" s="45" t="s">
        <v>1311</v>
      </c>
      <c r="N788" s="45" t="s">
        <v>1312</v>
      </c>
      <c r="O788" s="45" t="s">
        <v>1123</v>
      </c>
      <c r="P788" s="46" t="str">
        <f>HYPERLINK("https://cofre.sieg.com/ajax/danfe.aspx?nfe=29230103183099000100550010000077231961890031","Ver Danfe")</f>
        <v>Ver Danfe</v>
      </c>
      <c r="Q788" s="46" t="str">
        <f>HYPERLINK("https://cofre.sieg.com/ajax/xml.aspx?nfe=29230103183099000100550010000077231961890031","Baixar Xml")</f>
        <v>Baixar Xml</v>
      </c>
    </row>
    <row r="789" spans="1:17" x14ac:dyDescent="0.75">
      <c r="A789" s="5">
        <v>7727</v>
      </c>
      <c r="B789" s="55">
        <v>144</v>
      </c>
      <c r="C789" s="5" t="s">
        <v>4919</v>
      </c>
      <c r="D789" s="45" t="s">
        <v>4909</v>
      </c>
      <c r="E789" s="45" t="s">
        <v>5686</v>
      </c>
      <c r="F789" s="45" t="s">
        <v>1345</v>
      </c>
      <c r="G789" s="45" t="s">
        <v>1120</v>
      </c>
      <c r="H789" s="45" t="s">
        <v>1126</v>
      </c>
      <c r="I789" s="45" t="s">
        <v>1126</v>
      </c>
      <c r="J789" s="45" t="s">
        <v>4919</v>
      </c>
      <c r="K789" s="45" t="s">
        <v>5690</v>
      </c>
      <c r="L789" s="45" t="s">
        <v>1122</v>
      </c>
      <c r="M789" s="45" t="s">
        <v>1311</v>
      </c>
      <c r="N789" s="45" t="s">
        <v>1312</v>
      </c>
      <c r="O789" s="45" t="s">
        <v>1123</v>
      </c>
      <c r="P789" s="46" t="str">
        <f>HYPERLINK("https://cofre.sieg.com/ajax/danfe.aspx?nfe=29230103183099000100550010000077271000639846","Ver Danfe")</f>
        <v>Ver Danfe</v>
      </c>
      <c r="Q789" s="46" t="str">
        <f>HYPERLINK("https://cofre.sieg.com/ajax/xml.aspx?nfe=29230103183099000100550010000077271000639846","Baixar Xml")</f>
        <v>Baixar Xml</v>
      </c>
    </row>
    <row r="790" spans="1:17" x14ac:dyDescent="0.75">
      <c r="A790" s="5">
        <v>153024</v>
      </c>
      <c r="B790" s="55">
        <v>5245</v>
      </c>
      <c r="C790" s="5" t="s">
        <v>4825</v>
      </c>
      <c r="D790" s="45" t="s">
        <v>1206</v>
      </c>
      <c r="E790" s="45" t="s">
        <v>285</v>
      </c>
      <c r="F790" s="45" t="s">
        <v>285</v>
      </c>
      <c r="G790" s="45" t="s">
        <v>1120</v>
      </c>
      <c r="H790" s="45" t="s">
        <v>1121</v>
      </c>
      <c r="I790" s="45" t="s">
        <v>1121</v>
      </c>
      <c r="J790" s="45" t="s">
        <v>4825</v>
      </c>
      <c r="K790" s="45" t="s">
        <v>5691</v>
      </c>
      <c r="L790" s="45" t="s">
        <v>1122</v>
      </c>
      <c r="M790" s="45" t="s">
        <v>1311</v>
      </c>
      <c r="N790" s="45" t="s">
        <v>1312</v>
      </c>
      <c r="O790" s="45" t="s">
        <v>1123</v>
      </c>
      <c r="P790" s="46" t="str">
        <f>HYPERLINK("https://cofre.sieg.com/ajax/danfe.aspx?nfe=32230112701734000187550550001530241479161490","Ver Danfe")</f>
        <v>Ver Danfe</v>
      </c>
      <c r="Q790" s="46" t="str">
        <f>HYPERLINK("https://cofre.sieg.com/ajax/xml.aspx?nfe=32230112701734000187550550001530241479161490","Baixar Xml")</f>
        <v>Baixar Xml</v>
      </c>
    </row>
    <row r="791" spans="1:17" x14ac:dyDescent="0.75">
      <c r="A791" s="5">
        <v>153130</v>
      </c>
      <c r="B791" s="55">
        <v>5076</v>
      </c>
      <c r="C791" s="5" t="s">
        <v>4844</v>
      </c>
      <c r="D791" s="45" t="s">
        <v>1206</v>
      </c>
      <c r="E791" s="45" t="s">
        <v>285</v>
      </c>
      <c r="F791" s="45" t="s">
        <v>285</v>
      </c>
      <c r="G791" s="45" t="s">
        <v>1120</v>
      </c>
      <c r="H791" s="45" t="s">
        <v>1121</v>
      </c>
      <c r="I791" s="45" t="s">
        <v>1121</v>
      </c>
      <c r="J791" s="45" t="s">
        <v>4844</v>
      </c>
      <c r="K791" s="45" t="s">
        <v>5692</v>
      </c>
      <c r="L791" s="45" t="s">
        <v>1122</v>
      </c>
      <c r="M791" s="45" t="s">
        <v>1311</v>
      </c>
      <c r="N791" s="45" t="s">
        <v>1312</v>
      </c>
      <c r="O791" s="45" t="s">
        <v>1123</v>
      </c>
      <c r="P791" s="46" t="str">
        <f>HYPERLINK("https://cofre.sieg.com/ajax/danfe.aspx?nfe=32230112701734000187550550001531301943699718","Ver Danfe")</f>
        <v>Ver Danfe</v>
      </c>
      <c r="Q791" s="46" t="str">
        <f>HYPERLINK("https://cofre.sieg.com/ajax/xml.aspx?nfe=32230112701734000187550550001531301943699718","Baixar Xml")</f>
        <v>Baixar Xml</v>
      </c>
    </row>
    <row r="792" spans="1:17" x14ac:dyDescent="0.75">
      <c r="A792" s="5">
        <v>153213</v>
      </c>
      <c r="B792" s="55">
        <v>434</v>
      </c>
      <c r="C792" s="5" t="s">
        <v>4846</v>
      </c>
      <c r="D792" s="45" t="s">
        <v>1206</v>
      </c>
      <c r="E792" s="45" t="s">
        <v>285</v>
      </c>
      <c r="F792" s="45" t="s">
        <v>285</v>
      </c>
      <c r="G792" s="45" t="s">
        <v>1120</v>
      </c>
      <c r="H792" s="45" t="s">
        <v>1121</v>
      </c>
      <c r="I792" s="45" t="s">
        <v>1121</v>
      </c>
      <c r="J792" s="45" t="s">
        <v>4846</v>
      </c>
      <c r="K792" s="45" t="s">
        <v>5693</v>
      </c>
      <c r="L792" s="45" t="s">
        <v>1122</v>
      </c>
      <c r="M792" s="45" t="s">
        <v>1311</v>
      </c>
      <c r="N792" s="45" t="s">
        <v>1312</v>
      </c>
      <c r="O792" s="45" t="s">
        <v>1123</v>
      </c>
      <c r="P792" s="46" t="str">
        <f>HYPERLINK("https://cofre.sieg.com/ajax/danfe.aspx?nfe=32230112701734000187550550001532131096903865","Ver Danfe")</f>
        <v>Ver Danfe</v>
      </c>
      <c r="Q792" s="46" t="str">
        <f>HYPERLINK("https://cofre.sieg.com/ajax/xml.aspx?nfe=32230112701734000187550550001532131096903865","Baixar Xml")</f>
        <v>Baixar Xml</v>
      </c>
    </row>
    <row r="793" spans="1:17" x14ac:dyDescent="0.75">
      <c r="A793" s="5">
        <v>153214</v>
      </c>
      <c r="B793" s="55">
        <v>3850</v>
      </c>
      <c r="C793" s="5" t="s">
        <v>4846</v>
      </c>
      <c r="D793" s="45" t="s">
        <v>1206</v>
      </c>
      <c r="E793" s="45" t="s">
        <v>285</v>
      </c>
      <c r="F793" s="45" t="s">
        <v>285</v>
      </c>
      <c r="G793" s="45" t="s">
        <v>1120</v>
      </c>
      <c r="H793" s="45" t="s">
        <v>1121</v>
      </c>
      <c r="I793" s="45" t="s">
        <v>1121</v>
      </c>
      <c r="J793" s="45" t="s">
        <v>4846</v>
      </c>
      <c r="K793" s="45" t="s">
        <v>5694</v>
      </c>
      <c r="L793" s="45" t="s">
        <v>1122</v>
      </c>
      <c r="M793" s="45" t="s">
        <v>1311</v>
      </c>
      <c r="N793" s="45" t="s">
        <v>1312</v>
      </c>
      <c r="O793" s="45" t="s">
        <v>1123</v>
      </c>
      <c r="P793" s="46" t="str">
        <f>HYPERLINK("https://cofre.sieg.com/ajax/danfe.aspx?nfe=32230112701734000187550550001532141786454863","Ver Danfe")</f>
        <v>Ver Danfe</v>
      </c>
      <c r="Q793" s="46" t="str">
        <f>HYPERLINK("https://cofre.sieg.com/ajax/xml.aspx?nfe=32230112701734000187550550001532141786454863","Baixar Xml")</f>
        <v>Baixar Xml</v>
      </c>
    </row>
    <row r="794" spans="1:17" x14ac:dyDescent="0.75">
      <c r="A794" s="5">
        <v>153269</v>
      </c>
      <c r="B794" s="55">
        <v>4436</v>
      </c>
      <c r="C794" s="5" t="s">
        <v>4857</v>
      </c>
      <c r="D794" s="45" t="s">
        <v>1206</v>
      </c>
      <c r="E794" s="45" t="s">
        <v>285</v>
      </c>
      <c r="F794" s="45" t="s">
        <v>285</v>
      </c>
      <c r="G794" s="45" t="s">
        <v>1120</v>
      </c>
      <c r="H794" s="45" t="s">
        <v>1121</v>
      </c>
      <c r="I794" s="45" t="s">
        <v>1121</v>
      </c>
      <c r="J794" s="45" t="s">
        <v>4857</v>
      </c>
      <c r="K794" s="45" t="s">
        <v>5695</v>
      </c>
      <c r="L794" s="45" t="s">
        <v>1122</v>
      </c>
      <c r="M794" s="45"/>
      <c r="N794" s="45"/>
      <c r="O794" s="45" t="s">
        <v>1123</v>
      </c>
      <c r="P794" s="46" t="str">
        <f>HYPERLINK("https://cofre.sieg.com/ajax/danfe.aspx?nfe=32230112701734000187550550001532691334550005","Ver Danfe")</f>
        <v>Ver Danfe</v>
      </c>
      <c r="Q794" s="46" t="str">
        <f>HYPERLINK("https://cofre.sieg.com/ajax/xml.aspx?nfe=32230112701734000187550550001532691334550005","Baixar Xml")</f>
        <v>Baixar Xml</v>
      </c>
    </row>
    <row r="795" spans="1:17" x14ac:dyDescent="0.75">
      <c r="A795" s="5">
        <v>153387</v>
      </c>
      <c r="B795" s="55">
        <v>7198</v>
      </c>
      <c r="C795" s="5" t="s">
        <v>4873</v>
      </c>
      <c r="D795" s="45" t="s">
        <v>1206</v>
      </c>
      <c r="E795" s="45" t="s">
        <v>285</v>
      </c>
      <c r="F795" s="45" t="s">
        <v>285</v>
      </c>
      <c r="G795" s="45" t="s">
        <v>1120</v>
      </c>
      <c r="H795" s="45" t="s">
        <v>1121</v>
      </c>
      <c r="I795" s="45" t="s">
        <v>1121</v>
      </c>
      <c r="J795" s="45" t="s">
        <v>4873</v>
      </c>
      <c r="K795" s="45" t="s">
        <v>5696</v>
      </c>
      <c r="L795" s="45" t="s">
        <v>1122</v>
      </c>
      <c r="M795" s="45" t="s">
        <v>1311</v>
      </c>
      <c r="N795" s="45" t="s">
        <v>1312</v>
      </c>
      <c r="O795" s="45" t="s">
        <v>1123</v>
      </c>
      <c r="P795" s="46" t="str">
        <f>HYPERLINK("https://cofre.sieg.com/ajax/danfe.aspx?nfe=32230112701734000187550550001533871757066453","Ver Danfe")</f>
        <v>Ver Danfe</v>
      </c>
      <c r="Q795" s="46" t="str">
        <f>HYPERLINK("https://cofre.sieg.com/ajax/xml.aspx?nfe=32230112701734000187550550001533871757066453","Baixar Xml")</f>
        <v>Baixar Xml</v>
      </c>
    </row>
    <row r="796" spans="1:17" x14ac:dyDescent="0.75">
      <c r="A796" s="5">
        <v>153414</v>
      </c>
      <c r="B796" s="55">
        <v>5656</v>
      </c>
      <c r="C796" s="5" t="s">
        <v>4877</v>
      </c>
      <c r="D796" s="45" t="s">
        <v>1206</v>
      </c>
      <c r="E796" s="45" t="s">
        <v>285</v>
      </c>
      <c r="F796" s="45" t="s">
        <v>285</v>
      </c>
      <c r="G796" s="45" t="s">
        <v>1120</v>
      </c>
      <c r="H796" s="45" t="s">
        <v>1121</v>
      </c>
      <c r="I796" s="45" t="s">
        <v>1121</v>
      </c>
      <c r="J796" s="45" t="s">
        <v>4877</v>
      </c>
      <c r="K796" s="45" t="s">
        <v>5697</v>
      </c>
      <c r="L796" s="45" t="s">
        <v>1122</v>
      </c>
      <c r="M796" s="45"/>
      <c r="N796" s="45"/>
      <c r="O796" s="45" t="s">
        <v>1123</v>
      </c>
      <c r="P796" s="46" t="str">
        <f>HYPERLINK("https://cofre.sieg.com/ajax/danfe.aspx?nfe=32230112701734000187550550001534141157222275","Ver Danfe")</f>
        <v>Ver Danfe</v>
      </c>
      <c r="Q796" s="46" t="str">
        <f>HYPERLINK("https://cofre.sieg.com/ajax/xml.aspx?nfe=32230112701734000187550550001534141157222275","Baixar Xml")</f>
        <v>Baixar Xml</v>
      </c>
    </row>
    <row r="797" spans="1:17" x14ac:dyDescent="0.75">
      <c r="A797" s="5">
        <v>153415</v>
      </c>
      <c r="B797" s="55">
        <v>378</v>
      </c>
      <c r="C797" s="5" t="s">
        <v>4877</v>
      </c>
      <c r="D797" s="45" t="s">
        <v>1206</v>
      </c>
      <c r="E797" s="45" t="s">
        <v>285</v>
      </c>
      <c r="F797" s="45" t="s">
        <v>285</v>
      </c>
      <c r="G797" s="45" t="s">
        <v>1120</v>
      </c>
      <c r="H797" s="45" t="s">
        <v>1121</v>
      </c>
      <c r="I797" s="45" t="s">
        <v>1121</v>
      </c>
      <c r="J797" s="45" t="s">
        <v>4877</v>
      </c>
      <c r="K797" s="45" t="s">
        <v>5698</v>
      </c>
      <c r="L797" s="45" t="s">
        <v>1122</v>
      </c>
      <c r="M797" s="45"/>
      <c r="N797" s="45"/>
      <c r="O797" s="45" t="s">
        <v>1123</v>
      </c>
      <c r="P797" s="46" t="str">
        <f>HYPERLINK("https://cofre.sieg.com/ajax/danfe.aspx?nfe=32230112701734000187550550001534151017097696","Ver Danfe")</f>
        <v>Ver Danfe</v>
      </c>
      <c r="Q797" s="46" t="str">
        <f>HYPERLINK("https://cofre.sieg.com/ajax/xml.aspx?nfe=32230112701734000187550550001534151017097696","Baixar Xml")</f>
        <v>Baixar Xml</v>
      </c>
    </row>
    <row r="798" spans="1:17" x14ac:dyDescent="0.75">
      <c r="A798" s="5">
        <v>153520</v>
      </c>
      <c r="B798" s="55">
        <v>5697</v>
      </c>
      <c r="C798" s="5" t="s">
        <v>4883</v>
      </c>
      <c r="D798" s="45" t="s">
        <v>1206</v>
      </c>
      <c r="E798" s="45" t="s">
        <v>285</v>
      </c>
      <c r="F798" s="45" t="s">
        <v>285</v>
      </c>
      <c r="G798" s="45" t="s">
        <v>1120</v>
      </c>
      <c r="H798" s="45" t="s">
        <v>1121</v>
      </c>
      <c r="I798" s="45" t="s">
        <v>1121</v>
      </c>
      <c r="J798" s="45" t="s">
        <v>4883</v>
      </c>
      <c r="K798" s="45" t="s">
        <v>5699</v>
      </c>
      <c r="L798" s="45" t="s">
        <v>1122</v>
      </c>
      <c r="M798" s="45"/>
      <c r="N798" s="45"/>
      <c r="O798" s="45" t="s">
        <v>1123</v>
      </c>
      <c r="P798" s="46" t="str">
        <f>HYPERLINK("https://cofre.sieg.com/ajax/danfe.aspx?nfe=32230112701734000187550550001535201596162636","Ver Danfe")</f>
        <v>Ver Danfe</v>
      </c>
      <c r="Q798" s="46" t="str">
        <f>HYPERLINK("https://cofre.sieg.com/ajax/xml.aspx?nfe=32230112701734000187550550001535201596162636","Baixar Xml")</f>
        <v>Baixar Xml</v>
      </c>
    </row>
    <row r="799" spans="1:17" x14ac:dyDescent="0.75">
      <c r="A799" s="5">
        <v>153634</v>
      </c>
      <c r="B799" s="55">
        <v>9450</v>
      </c>
      <c r="C799" s="5" t="s">
        <v>4899</v>
      </c>
      <c r="D799" s="45" t="s">
        <v>1206</v>
      </c>
      <c r="E799" s="45" t="s">
        <v>285</v>
      </c>
      <c r="F799" s="45" t="s">
        <v>285</v>
      </c>
      <c r="G799" s="45" t="s">
        <v>1120</v>
      </c>
      <c r="H799" s="45" t="s">
        <v>1121</v>
      </c>
      <c r="I799" s="45" t="s">
        <v>1121</v>
      </c>
      <c r="J799" s="45" t="s">
        <v>4899</v>
      </c>
      <c r="K799" s="45" t="s">
        <v>5700</v>
      </c>
      <c r="L799" s="45" t="s">
        <v>1122</v>
      </c>
      <c r="M799" s="45" t="s">
        <v>1311</v>
      </c>
      <c r="N799" s="45" t="s">
        <v>1312</v>
      </c>
      <c r="O799" s="45" t="s">
        <v>1123</v>
      </c>
      <c r="P799" s="46" t="str">
        <f>HYPERLINK("https://cofre.sieg.com/ajax/danfe.aspx?nfe=32230112701734000187550550001536341662492121","Ver Danfe")</f>
        <v>Ver Danfe</v>
      </c>
      <c r="Q799" s="46" t="str">
        <f>HYPERLINK("https://cofre.sieg.com/ajax/xml.aspx?nfe=32230112701734000187550550001536341662492121","Baixar Xml")</f>
        <v>Baixar Xml</v>
      </c>
    </row>
    <row r="800" spans="1:17" x14ac:dyDescent="0.75">
      <c r="A800" s="5">
        <v>153672</v>
      </c>
      <c r="B800" s="55">
        <v>7910</v>
      </c>
      <c r="C800" s="5" t="s">
        <v>4900</v>
      </c>
      <c r="D800" s="45" t="s">
        <v>1206</v>
      </c>
      <c r="E800" s="45" t="s">
        <v>285</v>
      </c>
      <c r="F800" s="45" t="s">
        <v>285</v>
      </c>
      <c r="G800" s="45" t="s">
        <v>1120</v>
      </c>
      <c r="H800" s="45" t="s">
        <v>1121</v>
      </c>
      <c r="I800" s="45" t="s">
        <v>1121</v>
      </c>
      <c r="J800" s="45" t="s">
        <v>4900</v>
      </c>
      <c r="K800" s="45" t="s">
        <v>5701</v>
      </c>
      <c r="L800" s="45" t="s">
        <v>1122</v>
      </c>
      <c r="M800" s="45"/>
      <c r="N800" s="45"/>
      <c r="O800" s="45" t="s">
        <v>1123</v>
      </c>
      <c r="P800" s="46" t="str">
        <f>HYPERLINK("https://cofre.sieg.com/ajax/danfe.aspx?nfe=32230112701734000187550550001536721689391467","Ver Danfe")</f>
        <v>Ver Danfe</v>
      </c>
      <c r="Q800" s="46" t="str">
        <f>HYPERLINK("https://cofre.sieg.com/ajax/xml.aspx?nfe=32230112701734000187550550001536721689391467","Baixar Xml")</f>
        <v>Baixar Xml</v>
      </c>
    </row>
    <row r="801" spans="1:17" x14ac:dyDescent="0.75">
      <c r="A801" s="5">
        <v>153673</v>
      </c>
      <c r="B801" s="55">
        <v>434</v>
      </c>
      <c r="C801" s="5" t="s">
        <v>4900</v>
      </c>
      <c r="D801" s="45" t="s">
        <v>1206</v>
      </c>
      <c r="E801" s="45" t="s">
        <v>285</v>
      </c>
      <c r="F801" s="45" t="s">
        <v>285</v>
      </c>
      <c r="G801" s="45" t="s">
        <v>1120</v>
      </c>
      <c r="H801" s="45" t="s">
        <v>1121</v>
      </c>
      <c r="I801" s="45" t="s">
        <v>1121</v>
      </c>
      <c r="J801" s="45" t="s">
        <v>4900</v>
      </c>
      <c r="K801" s="45" t="s">
        <v>5702</v>
      </c>
      <c r="L801" s="45" t="s">
        <v>1122</v>
      </c>
      <c r="M801" s="45"/>
      <c r="N801" s="45"/>
      <c r="O801" s="45" t="s">
        <v>1123</v>
      </c>
      <c r="P801" s="46" t="str">
        <f>HYPERLINK("https://cofre.sieg.com/ajax/danfe.aspx?nfe=32230112701734000187550550001536731108728499","Ver Danfe")</f>
        <v>Ver Danfe</v>
      </c>
      <c r="Q801" s="46" t="str">
        <f>HYPERLINK("https://cofre.sieg.com/ajax/xml.aspx?nfe=32230112701734000187550550001536731108728499","Baixar Xml")</f>
        <v>Baixar Xml</v>
      </c>
    </row>
    <row r="802" spans="1:17" x14ac:dyDescent="0.75">
      <c r="A802" s="5">
        <v>153754</v>
      </c>
      <c r="B802" s="55">
        <v>450</v>
      </c>
      <c r="C802" s="5" t="s">
        <v>4907</v>
      </c>
      <c r="D802" s="45" t="s">
        <v>1206</v>
      </c>
      <c r="E802" s="45" t="s">
        <v>285</v>
      </c>
      <c r="F802" s="45" t="s">
        <v>285</v>
      </c>
      <c r="G802" s="45" t="s">
        <v>1120</v>
      </c>
      <c r="H802" s="45" t="s">
        <v>1121</v>
      </c>
      <c r="I802" s="45" t="s">
        <v>1121</v>
      </c>
      <c r="J802" s="45" t="s">
        <v>4907</v>
      </c>
      <c r="K802" s="45" t="s">
        <v>5703</v>
      </c>
      <c r="L802" s="45" t="s">
        <v>1122</v>
      </c>
      <c r="M802" s="45" t="s">
        <v>1311</v>
      </c>
      <c r="N802" s="45" t="s">
        <v>1312</v>
      </c>
      <c r="O802" s="45" t="s">
        <v>1123</v>
      </c>
      <c r="P802" s="46" t="str">
        <f>HYPERLINK("https://cofre.sieg.com/ajax/danfe.aspx?nfe=32230112701734000187550550001537541485125901","Ver Danfe")</f>
        <v>Ver Danfe</v>
      </c>
      <c r="Q802" s="46" t="str">
        <f>HYPERLINK("https://cofre.sieg.com/ajax/xml.aspx?nfe=32230112701734000187550550001537541485125901","Baixar Xml")</f>
        <v>Baixar Xml</v>
      </c>
    </row>
    <row r="803" spans="1:17" x14ac:dyDescent="0.75">
      <c r="A803" s="5">
        <v>153761</v>
      </c>
      <c r="B803" s="55">
        <v>6160</v>
      </c>
      <c r="C803" s="5" t="s">
        <v>4908</v>
      </c>
      <c r="D803" s="45" t="s">
        <v>1206</v>
      </c>
      <c r="E803" s="45" t="s">
        <v>285</v>
      </c>
      <c r="F803" s="45" t="s">
        <v>285</v>
      </c>
      <c r="G803" s="45" t="s">
        <v>1120</v>
      </c>
      <c r="H803" s="45" t="s">
        <v>1121</v>
      </c>
      <c r="I803" s="45" t="s">
        <v>1121</v>
      </c>
      <c r="J803" s="45" t="s">
        <v>4908</v>
      </c>
      <c r="K803" s="45" t="s">
        <v>5704</v>
      </c>
      <c r="L803" s="45" t="s">
        <v>1122</v>
      </c>
      <c r="M803" s="45" t="s">
        <v>1311</v>
      </c>
      <c r="N803" s="45" t="s">
        <v>1312</v>
      </c>
      <c r="O803" s="45" t="s">
        <v>1123</v>
      </c>
      <c r="P803" s="46" t="str">
        <f>HYPERLINK("https://cofre.sieg.com/ajax/danfe.aspx?nfe=32230112701734000187550550001537611153050867","Ver Danfe")</f>
        <v>Ver Danfe</v>
      </c>
      <c r="Q803" s="46" t="str">
        <f>HYPERLINK("https://cofre.sieg.com/ajax/xml.aspx?nfe=32230112701734000187550550001537611153050867","Baixar Xml")</f>
        <v>Baixar Xml</v>
      </c>
    </row>
    <row r="804" spans="1:17" x14ac:dyDescent="0.75">
      <c r="A804" s="5">
        <v>153854</v>
      </c>
      <c r="B804" s="55">
        <v>4774</v>
      </c>
      <c r="C804" s="5" t="s">
        <v>4923</v>
      </c>
      <c r="D804" s="45" t="s">
        <v>1206</v>
      </c>
      <c r="E804" s="45" t="s">
        <v>285</v>
      </c>
      <c r="F804" s="45" t="s">
        <v>285</v>
      </c>
      <c r="G804" s="45" t="s">
        <v>1120</v>
      </c>
      <c r="H804" s="45" t="s">
        <v>1121</v>
      </c>
      <c r="I804" s="45" t="s">
        <v>1121</v>
      </c>
      <c r="J804" s="45" t="s">
        <v>4923</v>
      </c>
      <c r="K804" s="45" t="s">
        <v>5705</v>
      </c>
      <c r="L804" s="45" t="s">
        <v>1122</v>
      </c>
      <c r="M804" s="45"/>
      <c r="N804" s="45"/>
      <c r="O804" s="45" t="s">
        <v>1123</v>
      </c>
      <c r="P804" s="46" t="str">
        <f>HYPERLINK("https://cofre.sieg.com/ajax/danfe.aspx?nfe=32230112701734000187550550001538541111147693","Ver Danfe")</f>
        <v>Ver Danfe</v>
      </c>
      <c r="Q804" s="46" t="str">
        <f>HYPERLINK("https://cofre.sieg.com/ajax/xml.aspx?nfe=32230112701734000187550550001538541111147693","Baixar Xml")</f>
        <v>Baixar Xml</v>
      </c>
    </row>
    <row r="805" spans="1:17" x14ac:dyDescent="0.75">
      <c r="A805" s="5">
        <v>153894</v>
      </c>
      <c r="B805" s="55">
        <v>5418</v>
      </c>
      <c r="C805" s="5" t="s">
        <v>4923</v>
      </c>
      <c r="D805" s="45" t="s">
        <v>1206</v>
      </c>
      <c r="E805" s="45" t="s">
        <v>285</v>
      </c>
      <c r="F805" s="45" t="s">
        <v>285</v>
      </c>
      <c r="G805" s="45" t="s">
        <v>1120</v>
      </c>
      <c r="H805" s="45" t="s">
        <v>1121</v>
      </c>
      <c r="I805" s="45" t="s">
        <v>1121</v>
      </c>
      <c r="J805" s="45" t="s">
        <v>4923</v>
      </c>
      <c r="K805" s="45" t="s">
        <v>5706</v>
      </c>
      <c r="L805" s="45" t="s">
        <v>1122</v>
      </c>
      <c r="M805" s="45"/>
      <c r="N805" s="45"/>
      <c r="O805" s="45" t="s">
        <v>1123</v>
      </c>
      <c r="P805" s="46" t="str">
        <f>HYPERLINK("https://cofre.sieg.com/ajax/danfe.aspx?nfe=32230112701734000187550550001538941175023672","Ver Danfe")</f>
        <v>Ver Danfe</v>
      </c>
      <c r="Q805" s="46" t="str">
        <f>HYPERLINK("https://cofre.sieg.com/ajax/xml.aspx?nfe=32230112701734000187550550001538941175023672","Baixar Xml")</f>
        <v>Baixar Xml</v>
      </c>
    </row>
    <row r="806" spans="1:17" x14ac:dyDescent="0.75">
      <c r="A806" s="5">
        <v>153895</v>
      </c>
      <c r="B806" s="55">
        <v>434</v>
      </c>
      <c r="C806" s="5" t="s">
        <v>4923</v>
      </c>
      <c r="D806" s="45" t="s">
        <v>1206</v>
      </c>
      <c r="E806" s="45" t="s">
        <v>285</v>
      </c>
      <c r="F806" s="45" t="s">
        <v>285</v>
      </c>
      <c r="G806" s="45" t="s">
        <v>1120</v>
      </c>
      <c r="H806" s="45" t="s">
        <v>1121</v>
      </c>
      <c r="I806" s="45" t="s">
        <v>1121</v>
      </c>
      <c r="J806" s="45" t="s">
        <v>4923</v>
      </c>
      <c r="K806" s="45" t="s">
        <v>5707</v>
      </c>
      <c r="L806" s="45" t="s">
        <v>1122</v>
      </c>
      <c r="M806" s="45"/>
      <c r="N806" s="45"/>
      <c r="O806" s="45" t="s">
        <v>1123</v>
      </c>
      <c r="P806" s="46" t="str">
        <f>HYPERLINK("https://cofre.sieg.com/ajax/danfe.aspx?nfe=32230112701734000187550550001538951780882791","Ver Danfe")</f>
        <v>Ver Danfe</v>
      </c>
      <c r="Q806" s="46" t="str">
        <f>HYPERLINK("https://cofre.sieg.com/ajax/xml.aspx?nfe=32230112701734000187550550001538951780882791","Baixar Xml")</f>
        <v>Baixar Xml</v>
      </c>
    </row>
    <row r="807" spans="1:17" x14ac:dyDescent="0.75">
      <c r="A807" s="5">
        <v>153896</v>
      </c>
      <c r="B807" s="55">
        <v>250</v>
      </c>
      <c r="C807" s="5" t="s">
        <v>4923</v>
      </c>
      <c r="D807" s="45" t="s">
        <v>1206</v>
      </c>
      <c r="E807" s="45" t="s">
        <v>285</v>
      </c>
      <c r="F807" s="45" t="s">
        <v>285</v>
      </c>
      <c r="G807" s="45" t="s">
        <v>1120</v>
      </c>
      <c r="H807" s="45" t="s">
        <v>1121</v>
      </c>
      <c r="I807" s="45" t="s">
        <v>1121</v>
      </c>
      <c r="J807" s="45" t="s">
        <v>4923</v>
      </c>
      <c r="K807" s="45" t="s">
        <v>5708</v>
      </c>
      <c r="L807" s="45" t="s">
        <v>1122</v>
      </c>
      <c r="M807" s="45"/>
      <c r="N807" s="45"/>
      <c r="O807" s="45" t="s">
        <v>1123</v>
      </c>
      <c r="P807" s="46" t="str">
        <f>HYPERLINK("https://cofre.sieg.com/ajax/danfe.aspx?nfe=32230112701734000187550550001538961988560697","Ver Danfe")</f>
        <v>Ver Danfe</v>
      </c>
      <c r="Q807" s="46" t="str">
        <f>HYPERLINK("https://cofre.sieg.com/ajax/xml.aspx?nfe=32230112701734000187550550001538961988560697","Baixar Xml")</f>
        <v>Baixar Xml</v>
      </c>
    </row>
    <row r="808" spans="1:17" x14ac:dyDescent="0.75">
      <c r="A808" s="5">
        <v>153937</v>
      </c>
      <c r="B808" s="55">
        <v>1288</v>
      </c>
      <c r="C808" s="5" t="s">
        <v>4930</v>
      </c>
      <c r="D808" s="45" t="s">
        <v>1206</v>
      </c>
      <c r="E808" s="45" t="s">
        <v>285</v>
      </c>
      <c r="F808" s="45" t="s">
        <v>285</v>
      </c>
      <c r="G808" s="45" t="s">
        <v>1120</v>
      </c>
      <c r="H808" s="45" t="s">
        <v>1121</v>
      </c>
      <c r="I808" s="45" t="s">
        <v>1121</v>
      </c>
      <c r="J808" s="45" t="s">
        <v>4930</v>
      </c>
      <c r="K808" s="45" t="s">
        <v>5709</v>
      </c>
      <c r="L808" s="45" t="s">
        <v>1122</v>
      </c>
      <c r="M808" s="45"/>
      <c r="N808" s="45"/>
      <c r="O808" s="45" t="s">
        <v>1123</v>
      </c>
      <c r="P808" s="46" t="str">
        <f>HYPERLINK("https://cofre.sieg.com/ajax/danfe.aspx?nfe=32230112701734000187550550001539371089183208","Ver Danfe")</f>
        <v>Ver Danfe</v>
      </c>
      <c r="Q808" s="46" t="str">
        <f>HYPERLINK("https://cofre.sieg.com/ajax/xml.aspx?nfe=32230112701734000187550550001539371089183208","Baixar Xml")</f>
        <v>Baixar Xml</v>
      </c>
    </row>
    <row r="809" spans="1:17" x14ac:dyDescent="0.75">
      <c r="A809" s="5">
        <v>154011</v>
      </c>
      <c r="B809" s="55">
        <v>930</v>
      </c>
      <c r="C809" s="5" t="s">
        <v>4938</v>
      </c>
      <c r="D809" s="45" t="s">
        <v>1206</v>
      </c>
      <c r="E809" s="45" t="s">
        <v>285</v>
      </c>
      <c r="F809" s="45" t="s">
        <v>285</v>
      </c>
      <c r="G809" s="45" t="s">
        <v>1120</v>
      </c>
      <c r="H809" s="45" t="s">
        <v>1121</v>
      </c>
      <c r="I809" s="45" t="s">
        <v>1121</v>
      </c>
      <c r="J809" s="45" t="s">
        <v>4938</v>
      </c>
      <c r="K809" s="45" t="s">
        <v>5710</v>
      </c>
      <c r="L809" s="45" t="s">
        <v>1122</v>
      </c>
      <c r="M809" s="45"/>
      <c r="N809" s="45"/>
      <c r="O809" s="45" t="s">
        <v>1123</v>
      </c>
      <c r="P809" s="46" t="str">
        <f>HYPERLINK("https://cofre.sieg.com/ajax/danfe.aspx?nfe=32230112701734000187550550001540111408303077","Ver Danfe")</f>
        <v>Ver Danfe</v>
      </c>
      <c r="Q809" s="46" t="str">
        <f>HYPERLINK("https://cofre.sieg.com/ajax/xml.aspx?nfe=32230112701734000187550550001540111408303077","Baixar Xml")</f>
        <v>Baixar Xml</v>
      </c>
    </row>
    <row r="810" spans="1:17" x14ac:dyDescent="0.75">
      <c r="A810" s="5">
        <v>154012</v>
      </c>
      <c r="B810" s="55">
        <v>125</v>
      </c>
      <c r="C810" s="5" t="s">
        <v>4938</v>
      </c>
      <c r="D810" s="45" t="s">
        <v>1206</v>
      </c>
      <c r="E810" s="45" t="s">
        <v>285</v>
      </c>
      <c r="F810" s="45" t="s">
        <v>285</v>
      </c>
      <c r="G810" s="45" t="s">
        <v>1120</v>
      </c>
      <c r="H810" s="45" t="s">
        <v>1121</v>
      </c>
      <c r="I810" s="45" t="s">
        <v>1121</v>
      </c>
      <c r="J810" s="45" t="s">
        <v>4938</v>
      </c>
      <c r="K810" s="45" t="s">
        <v>5711</v>
      </c>
      <c r="L810" s="45" t="s">
        <v>1122</v>
      </c>
      <c r="M810" s="45"/>
      <c r="N810" s="45"/>
      <c r="O810" s="45" t="s">
        <v>1123</v>
      </c>
      <c r="P810" s="46" t="str">
        <f>HYPERLINK("https://cofre.sieg.com/ajax/danfe.aspx?nfe=32230112701734000187550550001540121328295474","Ver Danfe")</f>
        <v>Ver Danfe</v>
      </c>
      <c r="Q810" s="46" t="str">
        <f>HYPERLINK("https://cofre.sieg.com/ajax/xml.aspx?nfe=32230112701734000187550550001540121328295474","Baixar Xml")</f>
        <v>Baixar Xml</v>
      </c>
    </row>
    <row r="811" spans="1:17" x14ac:dyDescent="0.75">
      <c r="A811" s="5">
        <v>154026</v>
      </c>
      <c r="B811" s="55">
        <v>5796</v>
      </c>
      <c r="C811" s="5" t="s">
        <v>4938</v>
      </c>
      <c r="D811" s="45" t="s">
        <v>1206</v>
      </c>
      <c r="E811" s="45" t="s">
        <v>285</v>
      </c>
      <c r="F811" s="45" t="s">
        <v>285</v>
      </c>
      <c r="G811" s="45" t="s">
        <v>1120</v>
      </c>
      <c r="H811" s="45" t="s">
        <v>1121</v>
      </c>
      <c r="I811" s="45" t="s">
        <v>1121</v>
      </c>
      <c r="J811" s="45" t="s">
        <v>4938</v>
      </c>
      <c r="K811" s="45" t="s">
        <v>5712</v>
      </c>
      <c r="L811" s="45" t="s">
        <v>1122</v>
      </c>
      <c r="M811" s="45" t="s">
        <v>1311</v>
      </c>
      <c r="N811" s="45" t="s">
        <v>1312</v>
      </c>
      <c r="O811" s="45" t="s">
        <v>1123</v>
      </c>
      <c r="P811" s="46" t="str">
        <f>HYPERLINK("https://cofre.sieg.com/ajax/danfe.aspx?nfe=32230112701734000187550550001540261527936890","Ver Danfe")</f>
        <v>Ver Danfe</v>
      </c>
      <c r="Q811" s="46" t="str">
        <f>HYPERLINK("https://cofre.sieg.com/ajax/xml.aspx?nfe=32230112701734000187550550001540261527936890","Baixar Xml")</f>
        <v>Baixar Xml</v>
      </c>
    </row>
  </sheetData>
  <mergeCells count="1">
    <mergeCell ref="E1:Q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Início</vt:lpstr>
      <vt:lpstr>Movimento</vt:lpstr>
      <vt:lpstr>Balancete</vt:lpstr>
      <vt:lpstr>Patrimonial</vt:lpstr>
      <vt:lpstr>Resultado</vt:lpstr>
      <vt:lpstr>DRE, DFC E Indices</vt:lpstr>
      <vt:lpstr>SIEG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ctb.04</dc:creator>
  <cp:lastModifiedBy>slr.01</cp:lastModifiedBy>
  <dcterms:created xsi:type="dcterms:W3CDTF">2022-08-01T18:18:08Z</dcterms:created>
  <dcterms:modified xsi:type="dcterms:W3CDTF">2023-03-09T19:58:14Z</dcterms:modified>
</cp:coreProperties>
</file>