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To-do" sheetId="3" r:id="rId1"/>
    <sheet name="Main" sheetId="1" r:id="rId2"/>
    <sheet name="Code" sheetId="2" state="hidden" r:id="rId3"/>
  </sheets>
  <definedNames>
    <definedName name="Aumaua">Code!$B$15:$C$15</definedName>
    <definedName name="Dwarf">Code!$B$16:$C$16</definedName>
    <definedName name="Elf">Code!$B$17:$C$17</definedName>
    <definedName name="Godlike">Code!$B$18:$E$18</definedName>
    <definedName name="Human">Code!$B$19:$D$19</definedName>
    <definedName name="Orlan">Code!$B$20:$C$20</definedName>
    <definedName name="Gender">Code!$A$14:$B$14</definedName>
    <definedName name="Race">Code!$A$15:$A$20</definedName>
    <definedName name="Class">Code!$A$1:$A$12</definedName>
    <definedName name="Barbarian">Code!$C$1:$G$1</definedName>
    <definedName name="Chanter">Code!$C$2:$G$2</definedName>
    <definedName name="Cipher">Code!$C$3:$G$3</definedName>
    <definedName name="Druid">Code!$C$4:$H$4</definedName>
    <definedName name="Fighter">Code!$C$5:$G$5</definedName>
    <definedName name="Monk">Code!$C$6:$G$6</definedName>
    <definedName name="Paladin">Code!$C$7:$H$7</definedName>
    <definedName name="Priest">Code!$C$8:$I$8</definedName>
    <definedName name="Ranger">Code!$C$9:$G$9</definedName>
    <definedName name="Rogue">Code!$C$10:$G$10</definedName>
    <definedName name="Wizard">Code!$C$11:$I$11</definedName>
    <definedName name="None">Code!$A$12</definedName>
    <definedName name="Culture">Code!$B$21:$H$21</definedName>
    <definedName name="Aedyr">Code!$B$22:$B$31</definedName>
    <definedName name="Deadfire_Archipelago">Code!$C$22:$C$31</definedName>
    <definedName name="Ixamitl_Plains">Code!$D$22:$D$30</definedName>
    <definedName name="Old_Vailia">Code!$E$22:$E$31</definedName>
    <definedName name="Rauatai">Code!$F$22:$F$30</definedName>
    <definedName name="The_Living_Lands">Code!$G$22:$G$29</definedName>
    <definedName name="The_White_that_Wends">Code!$H$22:$H$28</definedName>
    <definedName name="Multiclass">Code!$I$1:$I$2</definedName>
    <definedName name="_">Code!$I$8</definedName>
    <definedName name="Weapons">Code!$A$33:$A$63</definedName>
    <definedName name="Overbearing_Shot">Code!$D$33</definedName>
  </definedNames>
  <calcPr calcId="144525"/>
</workbook>
</file>

<file path=xl/comments1.xml><?xml version="1.0" encoding="utf-8"?>
<comments xmlns="http://schemas.openxmlformats.org/spreadsheetml/2006/main">
  <authors>
    <author>clayy</author>
  </authors>
  <commentList>
    <comment ref="C19" authorId="0">
      <text>
        <r>
          <rPr>
            <sz val="9"/>
            <rFont val="Times New Roman"/>
            <charset val="0"/>
          </rPr>
          <t>Requires Level 4</t>
        </r>
      </text>
    </comment>
    <comment ref="C20" authorId="0">
      <text>
        <r>
          <rPr>
            <sz val="9"/>
            <rFont val="Times New Roman"/>
            <charset val="0"/>
          </rPr>
          <t>Requires Level 7</t>
        </r>
      </text>
    </comment>
    <comment ref="C21" authorId="0">
      <text>
        <r>
          <rPr>
            <sz val="9"/>
            <rFont val="Times New Roman"/>
            <charset val="0"/>
          </rPr>
          <t>Requires Level 10</t>
        </r>
      </text>
    </comment>
    <comment ref="C22" authorId="0">
      <text>
        <r>
          <rPr>
            <sz val="9"/>
            <rFont val="Times New Roman"/>
            <charset val="0"/>
          </rPr>
          <t>Requires Level 13</t>
        </r>
      </text>
    </comment>
    <comment ref="C23" authorId="0">
      <text>
        <r>
          <rPr>
            <sz val="9"/>
            <rFont val="Times New Roman"/>
            <charset val="0"/>
          </rPr>
          <t>Requires Level 16</t>
        </r>
      </text>
    </comment>
    <comment ref="C24" authorId="0">
      <text>
        <r>
          <rPr>
            <sz val="9"/>
            <rFont val="Times New Roman"/>
            <charset val="0"/>
          </rPr>
          <t>Requires Level 19</t>
        </r>
      </text>
    </comment>
  </commentList>
</comments>
</file>

<file path=xl/sharedStrings.xml><?xml version="1.0" encoding="utf-8"?>
<sst xmlns="http://schemas.openxmlformats.org/spreadsheetml/2006/main" count="357" uniqueCount="258">
  <si>
    <t>Date</t>
  </si>
  <si>
    <t>Description</t>
  </si>
  <si>
    <t>21/10/2022</t>
  </si>
  <si>
    <t>Release Alpha</t>
  </si>
  <si>
    <t>22/10/2022</t>
  </si>
  <si>
    <t>Fix Point Allocation</t>
  </si>
  <si>
    <t>Class Abilities Information</t>
  </si>
  <si>
    <t>Leveling System</t>
  </si>
  <si>
    <t>Weapon Proficiencies</t>
  </si>
  <si>
    <t>Gender</t>
  </si>
  <si>
    <t>Male</t>
  </si>
  <si>
    <t>Might</t>
  </si>
  <si>
    <t>Constitution</t>
  </si>
  <si>
    <t>Dexterity</t>
  </si>
  <si>
    <t>Perception</t>
  </si>
  <si>
    <t>Intellect</t>
  </si>
  <si>
    <t>Resolve</t>
  </si>
  <si>
    <t>Level</t>
  </si>
  <si>
    <t>Race</t>
  </si>
  <si>
    <t>Aumaua</t>
  </si>
  <si>
    <t>Coastal</t>
  </si>
  <si>
    <t>Racial</t>
  </si>
  <si>
    <t>Culture</t>
  </si>
  <si>
    <t>Aedyr</t>
  </si>
  <si>
    <t>Cultural</t>
  </si>
  <si>
    <t>Multiclass</t>
  </si>
  <si>
    <t>Yes</t>
  </si>
  <si>
    <t>Class</t>
  </si>
  <si>
    <t>Barbarian</t>
  </si>
  <si>
    <t>Berserker</t>
  </si>
  <si>
    <t>Chanter</t>
  </si>
  <si>
    <t>Beckoner</t>
  </si>
  <si>
    <t>Total</t>
  </si>
  <si>
    <t>Class:</t>
  </si>
  <si>
    <t>Remaining Points:</t>
  </si>
  <si>
    <t>Alchemy</t>
  </si>
  <si>
    <t>Arcana</t>
  </si>
  <si>
    <t>Athletics</t>
  </si>
  <si>
    <t>Explosives</t>
  </si>
  <si>
    <t>Mechanics</t>
  </si>
  <si>
    <t>Sleight of Hand</t>
  </si>
  <si>
    <t>Stealth</t>
  </si>
  <si>
    <t>Background</t>
  </si>
  <si>
    <t>Aristocrat</t>
  </si>
  <si>
    <t>Background Points</t>
  </si>
  <si>
    <t>Leveled Points</t>
  </si>
  <si>
    <t>Remaining Points</t>
  </si>
  <si>
    <t>Bluff</t>
  </si>
  <si>
    <t>Diplomacy</t>
  </si>
  <si>
    <t>History</t>
  </si>
  <si>
    <t>Insight</t>
  </si>
  <si>
    <t>Intimidate</t>
  </si>
  <si>
    <t>Metaphysics</t>
  </si>
  <si>
    <t>Religion</t>
  </si>
  <si>
    <t>Streetwise</t>
  </si>
  <si>
    <t>Survival</t>
  </si>
  <si>
    <t>Weapon Proficiencies:</t>
  </si>
  <si>
    <t>Unarmed</t>
  </si>
  <si>
    <t>Arbalest</t>
  </si>
  <si>
    <t>Crossbow</t>
  </si>
  <si>
    <t>_</t>
  </si>
  <si>
    <t>Corpse-Eater</t>
  </si>
  <si>
    <t>Mage Slayer</t>
  </si>
  <si>
    <t>Fury Shaper</t>
  </si>
  <si>
    <t>Skald</t>
  </si>
  <si>
    <t>Troubadour</t>
  </si>
  <si>
    <t>Bellower</t>
  </si>
  <si>
    <t>No</t>
  </si>
  <si>
    <t>Cipher</t>
  </si>
  <si>
    <t>Ascendant</t>
  </si>
  <si>
    <t>Beguiler</t>
  </si>
  <si>
    <t>Soul Blade</t>
  </si>
  <si>
    <t>Psion</t>
  </si>
  <si>
    <t>Druid</t>
  </si>
  <si>
    <t>Fury</t>
  </si>
  <si>
    <t>Lifegiver</t>
  </si>
  <si>
    <t>Shifter</t>
  </si>
  <si>
    <t>Animist</t>
  </si>
  <si>
    <t>Ancient</t>
  </si>
  <si>
    <t>Fighter</t>
  </si>
  <si>
    <t>Black Jacket</t>
  </si>
  <si>
    <t>Devoted</t>
  </si>
  <si>
    <t>Unbroken</t>
  </si>
  <si>
    <t>Tactician</t>
  </si>
  <si>
    <t>Monk</t>
  </si>
  <si>
    <t>Helwalker</t>
  </si>
  <si>
    <t>Nalpazca</t>
  </si>
  <si>
    <t>Shattered Pillar</t>
  </si>
  <si>
    <t>Forbidden Fist</t>
  </si>
  <si>
    <t>Paladin</t>
  </si>
  <si>
    <t>Bleak Walkers</t>
  </si>
  <si>
    <t>Darcozzi Paladini</t>
  </si>
  <si>
    <t>Goldpact Knights</t>
  </si>
  <si>
    <t>The Shieldbearers of St. Elcga</t>
  </si>
  <si>
    <t>The Steel Garrote</t>
  </si>
  <si>
    <t>Priest</t>
  </si>
  <si>
    <t>Berath</t>
  </si>
  <si>
    <t>Eothas</t>
  </si>
  <si>
    <t>Magran</t>
  </si>
  <si>
    <t>Skaen</t>
  </si>
  <si>
    <t>Wael</t>
  </si>
  <si>
    <t>Woedica</t>
  </si>
  <si>
    <t>Ranger</t>
  </si>
  <si>
    <t>Sharpshooter</t>
  </si>
  <si>
    <t>Ghost Heart</t>
  </si>
  <si>
    <t>Stalker</t>
  </si>
  <si>
    <t>Arcane Archer</t>
  </si>
  <si>
    <t>Rogue</t>
  </si>
  <si>
    <t>Assassin</t>
  </si>
  <si>
    <t>Streetfighter</t>
  </si>
  <si>
    <t>Trickster</t>
  </si>
  <si>
    <t>Debonaire</t>
  </si>
  <si>
    <t>Wizard</t>
  </si>
  <si>
    <t>Conjurer</t>
  </si>
  <si>
    <t>Enchanter</t>
  </si>
  <si>
    <t>Evoker</t>
  </si>
  <si>
    <t>Illusionist</t>
  </si>
  <si>
    <t>Transmuter</t>
  </si>
  <si>
    <t>Blood Mage</t>
  </si>
  <si>
    <t>None</t>
  </si>
  <si>
    <t>Female</t>
  </si>
  <si>
    <t>Island</t>
  </si>
  <si>
    <t>Dwarf</t>
  </si>
  <si>
    <t>Boreal</t>
  </si>
  <si>
    <t>Mountain</t>
  </si>
  <si>
    <t>Elf</t>
  </si>
  <si>
    <t>Pale</t>
  </si>
  <si>
    <t>Wood</t>
  </si>
  <si>
    <t>Godlike</t>
  </si>
  <si>
    <t>Nature</t>
  </si>
  <si>
    <t>Death</t>
  </si>
  <si>
    <t>Fire</t>
  </si>
  <si>
    <t>Moon</t>
  </si>
  <si>
    <t>Human</t>
  </si>
  <si>
    <t>Meadow</t>
  </si>
  <si>
    <t>Ocean</t>
  </si>
  <si>
    <t>Savanna</t>
  </si>
  <si>
    <t>Orlan</t>
  </si>
  <si>
    <t>Hearth</t>
  </si>
  <si>
    <t>Wild</t>
  </si>
  <si>
    <t>Deadfire Archipelago</t>
  </si>
  <si>
    <t>Ixamitl Plains</t>
  </si>
  <si>
    <t>Old Vailia</t>
  </si>
  <si>
    <t>Rauatai</t>
  </si>
  <si>
    <t>The Living Lands</t>
  </si>
  <si>
    <t>The White that Wends</t>
  </si>
  <si>
    <t>Colonist</t>
  </si>
  <si>
    <t>Clergy</t>
  </si>
  <si>
    <t>Drifter</t>
  </si>
  <si>
    <t>Dissident</t>
  </si>
  <si>
    <t>Artist</t>
  </si>
  <si>
    <t>Explorer</t>
  </si>
  <si>
    <t>Hunter</t>
  </si>
  <si>
    <t>Laborer</t>
  </si>
  <si>
    <t>Mercenary</t>
  </si>
  <si>
    <t>Merchant</t>
  </si>
  <si>
    <t>Mystic</t>
  </si>
  <si>
    <t>Philosopher</t>
  </si>
  <si>
    <t>Scholar</t>
  </si>
  <si>
    <t>Scientist</t>
  </si>
  <si>
    <t>Slave</t>
  </si>
  <si>
    <t>Raider</t>
  </si>
  <si>
    <t>Proficiencies</t>
  </si>
  <si>
    <t>Skills Levels</t>
  </si>
  <si>
    <t>Overbearing Shot</t>
  </si>
  <si>
    <t>If hit knocked prone, -25% Action Speed</t>
  </si>
  <si>
    <t>Level Amount</t>
  </si>
  <si>
    <t>Interrupting Shot</t>
  </si>
  <si>
    <t>Interrupt on Hit, -25% Action Speed</t>
  </si>
  <si>
    <t>Already Allocated Active</t>
  </si>
  <si>
    <t>Hunting Bow</t>
  </si>
  <si>
    <t>Rapid Shot</t>
  </si>
  <si>
    <t>Accuracy -15, -15% Recovery Time</t>
  </si>
  <si>
    <t>Already Allocated Passive</t>
  </si>
  <si>
    <t>War Bow</t>
  </si>
  <si>
    <t>Overdraw</t>
  </si>
  <si>
    <t>Penetration +2, +50% Recovery Time</t>
  </si>
  <si>
    <t>Remaining Active</t>
  </si>
  <si>
    <t>Arquebus</t>
  </si>
  <si>
    <t>Aimed Shot</t>
  </si>
  <si>
    <t>Accuracy +20, -25% Action Speed</t>
  </si>
  <si>
    <t>Remaining Passive</t>
  </si>
  <si>
    <t>Blunderbuss</t>
  </si>
  <si>
    <t>Powder Burns</t>
  </si>
  <si>
    <t>Target distracted for 12s, 8-12 AoE Damage</t>
  </si>
  <si>
    <t>Pistol</t>
  </si>
  <si>
    <t>Rushed Reload</t>
  </si>
  <si>
    <t>Reload Time -50%, -15 Ranged Accuracy</t>
  </si>
  <si>
    <t>Sceptre</t>
  </si>
  <si>
    <t>Destructive Channeling</t>
  </si>
  <si>
    <t>Damage +20%, Penetration +1, 20% of Damage is inflicted to self</t>
  </si>
  <si>
    <t>Rod</t>
  </si>
  <si>
    <t>Blast</t>
  </si>
  <si>
    <t>Recovery Time +50%</t>
  </si>
  <si>
    <t>Wand</t>
  </si>
  <si>
    <t>Interfering Barrage</t>
  </si>
  <si>
    <t>Damage -25%, Target has -10 Accuracy for 10s</t>
  </si>
  <si>
    <t>Dagger</t>
  </si>
  <si>
    <t>Parrying Blade</t>
  </si>
  <si>
    <t>Deflection +10 against melee, Damage -25%</t>
  </si>
  <si>
    <t>Battleaxe</t>
  </si>
  <si>
    <t>Bleeding Cut</t>
  </si>
  <si>
    <t>Recovery Time +50%, 10% of Damage is reapplied as bleeding every 3s for 60s</t>
  </si>
  <si>
    <t>Club</t>
  </si>
  <si>
    <t>Bewildering Blows</t>
  </si>
  <si>
    <t>Damage -25%, Target has -15 Will for 10s</t>
  </si>
  <si>
    <t>Flail</t>
  </si>
  <si>
    <t>Unbalanced Strikes</t>
  </si>
  <si>
    <t>Damage -15%, Target has -25 Reflex for 10s</t>
  </si>
  <si>
    <t>Hatchet</t>
  </si>
  <si>
    <t>Interfering Strikes</t>
  </si>
  <si>
    <t>Damage -25%, Target has -10 Accuracy for 12s</t>
  </si>
  <si>
    <t>Mace</t>
  </si>
  <si>
    <t>Rendering Smash</t>
  </si>
  <si>
    <t>Recovery Time +50%, Target has -1 Armor for 10s</t>
  </si>
  <si>
    <t>Rapier</t>
  </si>
  <si>
    <t>Needle Strike</t>
  </si>
  <si>
    <t>Recovery Time +50%, Accuracy +20</t>
  </si>
  <si>
    <t>Sabre</t>
  </si>
  <si>
    <t>Windmill Slash</t>
  </si>
  <si>
    <t>Recovery Time +50%, Penetration +2</t>
  </si>
  <si>
    <t>Spear</t>
  </si>
  <si>
    <t>Engaging Thrust</t>
  </si>
  <si>
    <t>Stride -15%, Enemies Engaged +1</t>
  </si>
  <si>
    <t>Stiletto</t>
  </si>
  <si>
    <t>Piercing Thrust</t>
  </si>
  <si>
    <t>Sword</t>
  </si>
  <si>
    <t>Half-Sword</t>
  </si>
  <si>
    <t>Deflection -15, Penetration +2</t>
  </si>
  <si>
    <t>Warhammer</t>
  </si>
  <si>
    <t>Piercing Blows</t>
  </si>
  <si>
    <t>Small Shield</t>
  </si>
  <si>
    <t>Blinding Block</t>
  </si>
  <si>
    <t>Recovery Time +25%, Accuracy +15 with weapons after being missed</t>
  </si>
  <si>
    <t>Medium Shield</t>
  </si>
  <si>
    <t>Block</t>
  </si>
  <si>
    <t>Recovery Time +25%, 30% Resistance against Weapons</t>
  </si>
  <si>
    <t>Large Shield</t>
  </si>
  <si>
    <t>The Wall</t>
  </si>
  <si>
    <t>Damage from Ranged Weapons -50%, Damage vs Reflex and Immobilized -50%</t>
  </si>
  <si>
    <t>Estoc</t>
  </si>
  <si>
    <t>Vulnerable Thrust</t>
  </si>
  <si>
    <t>Greatsword</t>
  </si>
  <si>
    <t>Savage Attack</t>
  </si>
  <si>
    <t>Accuracy -15, Damage +50%</t>
  </si>
  <si>
    <t>Morning Star</t>
  </si>
  <si>
    <t>Body Blows</t>
  </si>
  <si>
    <t>Damage -25%, Target has -25 Fortitude for 10s</t>
  </si>
  <si>
    <t>Pike</t>
  </si>
  <si>
    <t>Exposing Strikes</t>
  </si>
  <si>
    <t>Damage -25%, Target has -10 Deflection for 10s</t>
  </si>
  <si>
    <t>Poleaxe</t>
  </si>
  <si>
    <t>Engaging Threat</t>
  </si>
  <si>
    <t>Damage -15%, Enemies Engaged +1</t>
  </si>
  <si>
    <t>Quarterstaff</t>
  </si>
  <si>
    <t>Defensive Strike</t>
  </si>
  <si>
    <t>Recovery Time +50%, Deflection +20</t>
  </si>
  <si>
    <t>Haymaker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</si>
</sst>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9"/>
      <name val="Times New Roman"/>
      <charset val="0"/>
    </font>
  </fonts>
  <fills count="44">
    <fill>
      <patternFill patternType="none"/>
    </fill>
    <fill>
      <patternFill patternType="gray125"/>
    </fill>
    <fill>
      <patternFill patternType="solid">
        <fgColor rgb="FFB5655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4" borderId="12" applyNumberFormat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5" borderId="1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5" fillId="34" borderId="1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34" borderId="17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Protection="1">
      <alignment vertical="center"/>
      <protection locked="0" hidden="1"/>
    </xf>
    <xf numFmtId="0" fontId="0" fillId="2" borderId="1" xfId="0" applyFill="1" applyBorder="1" applyProtection="1">
      <alignment vertical="center"/>
      <protection locked="0" hidden="1"/>
    </xf>
    <xf numFmtId="0" fontId="0" fillId="3" borderId="1" xfId="0" applyFill="1" applyBorder="1" applyProtection="1">
      <alignment vertical="center"/>
      <protection locked="0" hidden="1"/>
    </xf>
    <xf numFmtId="0" fontId="0" fillId="3" borderId="1" xfId="0" applyFont="1" applyFill="1" applyBorder="1" applyAlignment="1" applyProtection="1">
      <protection locked="0" hidden="1"/>
    </xf>
    <xf numFmtId="0" fontId="0" fillId="0" borderId="1" xfId="0" applyNumberFormat="1" applyBorder="1" applyProtection="1">
      <alignment vertical="center"/>
      <protection locked="0" hidden="1"/>
    </xf>
    <xf numFmtId="0" fontId="0" fillId="4" borderId="1" xfId="0" applyFill="1" applyBorder="1" applyProtection="1">
      <alignment vertical="center"/>
      <protection locked="0" hidden="1"/>
    </xf>
    <xf numFmtId="0" fontId="0" fillId="5" borderId="1" xfId="0" applyFill="1" applyBorder="1" applyProtection="1">
      <alignment vertical="center"/>
      <protection locked="0" hidden="1"/>
    </xf>
    <xf numFmtId="0" fontId="0" fillId="6" borderId="1" xfId="0" applyFill="1" applyBorder="1" applyProtection="1">
      <alignment vertical="center"/>
      <protection locked="0" hidden="1"/>
    </xf>
    <xf numFmtId="0" fontId="0" fillId="7" borderId="1" xfId="0" applyFill="1" applyBorder="1" applyProtection="1">
      <alignment vertical="center"/>
      <protection locked="0" hidden="1"/>
    </xf>
    <xf numFmtId="0" fontId="0" fillId="8" borderId="1" xfId="0" applyFill="1" applyBorder="1" applyProtection="1">
      <alignment vertical="center"/>
      <protection locked="0" hidden="1"/>
    </xf>
    <xf numFmtId="0" fontId="0" fillId="0" borderId="2" xfId="0" applyBorder="1" applyAlignment="1" applyProtection="1">
      <alignment horizontal="center" vertical="center"/>
      <protection locked="0" hidden="1"/>
    </xf>
    <xf numFmtId="0" fontId="0" fillId="0" borderId="3" xfId="0" applyBorder="1" applyAlignment="1" applyProtection="1">
      <alignment horizontal="center" vertical="center"/>
      <protection locked="0" hidden="1"/>
    </xf>
    <xf numFmtId="0" fontId="0" fillId="9" borderId="1" xfId="0" applyFill="1" applyBorder="1" applyProtection="1">
      <alignment vertical="center"/>
      <protection locked="0" hidden="1"/>
    </xf>
    <xf numFmtId="0" fontId="0" fillId="10" borderId="1" xfId="0" applyFill="1" applyBorder="1" applyProtection="1">
      <alignment vertical="center"/>
      <protection locked="0" hidden="1"/>
    </xf>
    <xf numFmtId="0" fontId="1" fillId="0" borderId="1" xfId="0" applyFont="1" applyFill="1" applyBorder="1" applyAlignment="1" applyProtection="1">
      <protection locked="0" hidden="1"/>
    </xf>
    <xf numFmtId="0" fontId="0" fillId="0" borderId="1" xfId="0" applyFont="1" applyFill="1" applyBorder="1" applyAlignment="1" applyProtection="1">
      <protection locked="0" hidden="1"/>
    </xf>
    <xf numFmtId="0" fontId="0" fillId="0" borderId="1" xfId="0" applyBorder="1" applyAlignment="1" applyProtection="1">
      <alignment vertical="center"/>
      <protection locked="0" hidden="1"/>
    </xf>
    <xf numFmtId="0" fontId="0" fillId="0" borderId="1" xfId="0" applyBorder="1" applyProtection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5" borderId="1" xfId="0" applyFill="1" applyBorder="1" applyProtection="1">
      <alignment vertical="center"/>
    </xf>
    <xf numFmtId="0" fontId="0" fillId="0" borderId="1" xfId="0" applyFont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 vertical="center"/>
    </xf>
    <xf numFmtId="0" fontId="0" fillId="11" borderId="1" xfId="0" applyNumberFormat="1" applyFill="1" applyBorder="1" applyProtection="1">
      <alignment vertical="center"/>
    </xf>
    <xf numFmtId="0" fontId="0" fillId="3" borderId="1" xfId="0" applyFill="1" applyBorder="1" applyProtection="1">
      <alignment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1" xfId="0" applyFill="1" applyBorder="1" applyProtection="1">
      <alignment vertical="center"/>
    </xf>
    <xf numFmtId="0" fontId="0" fillId="11" borderId="1" xfId="0" applyFill="1" applyBorder="1" applyProtection="1">
      <alignment vertical="center"/>
    </xf>
    <xf numFmtId="0" fontId="0" fillId="7" borderId="4" xfId="0" applyFill="1" applyBorder="1" applyAlignment="1" applyProtection="1">
      <alignment horizontal="center" vertical="center"/>
    </xf>
    <xf numFmtId="0" fontId="0" fillId="7" borderId="5" xfId="0" applyFill="1" applyBorder="1" applyAlignment="1" applyProtection="1">
      <alignment horizontal="center" vertical="center"/>
    </xf>
    <xf numFmtId="0" fontId="0" fillId="7" borderId="1" xfId="0" applyFill="1" applyBorder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0" fillId="7" borderId="7" xfId="0" applyFill="1" applyBorder="1" applyAlignment="1" applyProtection="1">
      <alignment horizontal="center" vertical="center"/>
    </xf>
    <xf numFmtId="0" fontId="0" fillId="7" borderId="8" xfId="0" applyFill="1" applyBorder="1" applyAlignment="1" applyProtection="1">
      <alignment horizontal="center" vertical="center"/>
    </xf>
    <xf numFmtId="0" fontId="0" fillId="7" borderId="9" xfId="0" applyFill="1" applyBorder="1" applyAlignment="1" applyProtection="1">
      <alignment horizontal="center" vertical="center"/>
    </xf>
    <xf numFmtId="0" fontId="0" fillId="7" borderId="10" xfId="0" applyFill="1" applyBorder="1" applyAlignment="1" applyProtection="1">
      <alignment horizontal="center" vertical="center"/>
    </xf>
    <xf numFmtId="0" fontId="2" fillId="12" borderId="1" xfId="0" applyFont="1" applyFill="1" applyBorder="1" applyAlignment="1" applyProtection="1">
      <alignment vertical="center"/>
    </xf>
    <xf numFmtId="0" fontId="2" fillId="12" borderId="1" xfId="0" applyFont="1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0" borderId="1" xfId="0" applyFill="1" applyBorder="1" applyProtection="1">
      <alignment vertical="center"/>
    </xf>
    <xf numFmtId="0" fontId="0" fillId="9" borderId="1" xfId="0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0" fillId="11" borderId="1" xfId="0" applyFill="1" applyBorder="1" applyAlignment="1" applyProtection="1">
      <alignment vertical="center"/>
    </xf>
    <xf numFmtId="0" fontId="0" fillId="9" borderId="3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B565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Code!$A$69" max="15" page="10" val="7"/>
</file>

<file path=xl/ctrlProps/ctrlProp10.xml><?xml version="1.0" encoding="utf-8"?>
<formControlPr xmlns="http://schemas.microsoft.com/office/spreadsheetml/2009/9/main" objectType="Spin" dx="16" fmlaLink="Code!$D$73" max="100" page="10" val="0"/>
</file>

<file path=xl/ctrlProps/ctrlProp11.xml><?xml version="1.0" encoding="utf-8"?>
<formControlPr xmlns="http://schemas.microsoft.com/office/spreadsheetml/2009/9/main" objectType="Spin" dx="16" fmlaLink="Code!$E$73" max="100" page="10" val="0"/>
</file>

<file path=xl/ctrlProps/ctrlProp12.xml><?xml version="1.0" encoding="utf-8"?>
<formControlPr xmlns="http://schemas.microsoft.com/office/spreadsheetml/2009/9/main" objectType="Spin" dx="16" fmlaLink="Code!$F$73" max="100" page="10" val="0"/>
</file>

<file path=xl/ctrlProps/ctrlProp13.xml><?xml version="1.0" encoding="utf-8"?>
<formControlPr xmlns="http://schemas.microsoft.com/office/spreadsheetml/2009/9/main" objectType="Spin" dx="16" fmlaLink="Code!$G$73" max="100" page="10" val="0"/>
</file>

<file path=xl/ctrlProps/ctrlProp14.xml><?xml version="1.0" encoding="utf-8"?>
<formControlPr xmlns="http://schemas.microsoft.com/office/spreadsheetml/2009/9/main" objectType="Spin" dx="16" fmlaLink="Code!$A$77" max="100" page="10" val="0"/>
</file>

<file path=xl/ctrlProps/ctrlProp15.xml><?xml version="1.0" encoding="utf-8"?>
<formControlPr xmlns="http://schemas.microsoft.com/office/spreadsheetml/2009/9/main" objectType="Spin" dx="16" fmlaLink="Code!$B$77" max="100" page="10" val="0"/>
</file>

<file path=xl/ctrlProps/ctrlProp16.xml><?xml version="1.0" encoding="utf-8"?>
<formControlPr xmlns="http://schemas.microsoft.com/office/spreadsheetml/2009/9/main" objectType="Spin" dx="16" fmlaLink="Code!$C$77" max="100" page="10" val="0"/>
</file>

<file path=xl/ctrlProps/ctrlProp17.xml><?xml version="1.0" encoding="utf-8"?>
<formControlPr xmlns="http://schemas.microsoft.com/office/spreadsheetml/2009/9/main" objectType="Spin" dx="16" fmlaLink="Code!$D$77" max="100" page="10" val="0"/>
</file>

<file path=xl/ctrlProps/ctrlProp18.xml><?xml version="1.0" encoding="utf-8"?>
<formControlPr xmlns="http://schemas.microsoft.com/office/spreadsheetml/2009/9/main" objectType="Spin" dx="16" fmlaLink="Code!$E$77" max="100" page="10" val="0"/>
</file>

<file path=xl/ctrlProps/ctrlProp19.xml><?xml version="1.0" encoding="utf-8"?>
<formControlPr xmlns="http://schemas.microsoft.com/office/spreadsheetml/2009/9/main" objectType="Spin" dx="16" fmlaLink="Code!$F$77" max="100" page="10" val="0"/>
</file>

<file path=xl/ctrlProps/ctrlProp2.xml><?xml version="1.0" encoding="utf-8"?>
<formControlPr xmlns="http://schemas.microsoft.com/office/spreadsheetml/2009/9/main" objectType="Spin" dx="16" fmlaLink="Code!$B$69" max="15" page="10" val="7"/>
</file>

<file path=xl/ctrlProps/ctrlProp20.xml><?xml version="1.0" encoding="utf-8"?>
<formControlPr xmlns="http://schemas.microsoft.com/office/spreadsheetml/2009/9/main" objectType="Spin" dx="16" fmlaLink="Code!$G$77" max="100" page="10" val="0"/>
</file>

<file path=xl/ctrlProps/ctrlProp21.xml><?xml version="1.0" encoding="utf-8"?>
<formControlPr xmlns="http://schemas.microsoft.com/office/spreadsheetml/2009/9/main" objectType="Spin" dx="16" fmlaLink="Code!$H$77" max="100" page="10" val="0"/>
</file>

<file path=xl/ctrlProps/ctrlProp22.xml><?xml version="1.0" encoding="utf-8"?>
<formControlPr xmlns="http://schemas.microsoft.com/office/spreadsheetml/2009/9/main" objectType="Spin" dx="16" fmlaLink="Code!$I$77" max="100" page="10" val="0"/>
</file>

<file path=xl/ctrlProps/ctrlProp23.xml><?xml version="1.0" encoding="utf-8"?>
<formControlPr xmlns="http://schemas.microsoft.com/office/spreadsheetml/2009/9/main" objectType="Spin" dx="16" fmlaLink="$L$1" max="20" min="1" page="10" val="1"/>
</file>

<file path=xl/ctrlProps/ctrlProp3.xml><?xml version="1.0" encoding="utf-8"?>
<formControlPr xmlns="http://schemas.microsoft.com/office/spreadsheetml/2009/9/main" objectType="Spin" dx="16" fmlaLink="Code!$C$69" max="15" page="10" val="7"/>
</file>

<file path=xl/ctrlProps/ctrlProp4.xml><?xml version="1.0" encoding="utf-8"?>
<formControlPr xmlns="http://schemas.microsoft.com/office/spreadsheetml/2009/9/main" objectType="Spin" dx="16" fmlaLink="Code!$D$69" max="15" page="10" val="7"/>
</file>

<file path=xl/ctrlProps/ctrlProp5.xml><?xml version="1.0" encoding="utf-8"?>
<formControlPr xmlns="http://schemas.microsoft.com/office/spreadsheetml/2009/9/main" objectType="Spin" dx="16" fmlaLink="Code!$E$69" max="15" page="10" val="7"/>
</file>

<file path=xl/ctrlProps/ctrlProp6.xml><?xml version="1.0" encoding="utf-8"?>
<formControlPr xmlns="http://schemas.microsoft.com/office/spreadsheetml/2009/9/main" objectType="Spin" dx="16" fmlaLink="Code!$F$69" max="15" page="10" val="7"/>
</file>

<file path=xl/ctrlProps/ctrlProp7.xml><?xml version="1.0" encoding="utf-8"?>
<formControlPr xmlns="http://schemas.microsoft.com/office/spreadsheetml/2009/9/main" objectType="Spin" dx="16" fmlaLink="Code!$A$73" max="100" page="10" val="0"/>
</file>

<file path=xl/ctrlProps/ctrlProp8.xml><?xml version="1.0" encoding="utf-8"?>
<formControlPr xmlns="http://schemas.microsoft.com/office/spreadsheetml/2009/9/main" objectType="Spin" dx="16" fmlaLink="Code!$B$73" max="100" page="10" val="0"/>
</file>

<file path=xl/ctrlProps/ctrlProp9.xml><?xml version="1.0" encoding="utf-8"?>
<formControlPr xmlns="http://schemas.microsoft.com/office/spreadsheetml/2009/9/main" objectType="Spin" dx="16" fmlaLink="Code!$C$73" max="100" page="10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6985</xdr:rowOff>
        </xdr:from>
        <xdr:to>
          <xdr:col>3</xdr:col>
          <xdr:colOff>297180</xdr:colOff>
          <xdr:row>4</xdr:row>
          <xdr:rowOff>532765</xdr:rowOff>
        </xdr:to>
        <xdr:sp>
          <xdr:nvSpPr>
            <xdr:cNvPr id="1032" name="Spinne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3794760" y="1203325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297180</xdr:colOff>
          <xdr:row>4</xdr:row>
          <xdr:rowOff>525780</xdr:rowOff>
        </xdr:to>
        <xdr:sp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5273040" y="119634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297180</xdr:colOff>
          <xdr:row>4</xdr:row>
          <xdr:rowOff>525780</xdr:rowOff>
        </xdr:to>
        <xdr:sp>
          <xdr:nvSpPr>
            <xdr:cNvPr id="1035" name="Spinne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6004560" y="119634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297180</xdr:colOff>
          <xdr:row>4</xdr:row>
          <xdr:rowOff>525780</xdr:rowOff>
        </xdr:to>
        <xdr:sp>
          <xdr:nvSpPr>
            <xdr:cNvPr id="1036" name="Spinner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6591300" y="119634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297180</xdr:colOff>
          <xdr:row>4</xdr:row>
          <xdr:rowOff>525780</xdr:rowOff>
        </xdr:to>
        <xdr:sp>
          <xdr:nvSpPr>
            <xdr:cNvPr id="1037" name="Spinner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7261860" y="119634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297180</xdr:colOff>
          <xdr:row>4</xdr:row>
          <xdr:rowOff>525780</xdr:rowOff>
        </xdr:to>
        <xdr:sp>
          <xdr:nvSpPr>
            <xdr:cNvPr id="1038" name="Spinner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7932420" y="119634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297180</xdr:colOff>
          <xdr:row>9</xdr:row>
          <xdr:rowOff>525780</xdr:rowOff>
        </xdr:to>
        <xdr:sp>
          <xdr:nvSpPr>
            <xdr:cNvPr id="1041" name="Spinner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79476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297180</xdr:colOff>
          <xdr:row>9</xdr:row>
          <xdr:rowOff>525780</xdr:rowOff>
        </xdr:to>
        <xdr:sp>
          <xdr:nvSpPr>
            <xdr:cNvPr id="1057" name="Spinner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527304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297180</xdr:colOff>
          <xdr:row>9</xdr:row>
          <xdr:rowOff>525780</xdr:rowOff>
        </xdr:to>
        <xdr:sp>
          <xdr:nvSpPr>
            <xdr:cNvPr id="1058" name="Spinner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600456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297180</xdr:colOff>
          <xdr:row>9</xdr:row>
          <xdr:rowOff>525780</xdr:rowOff>
        </xdr:to>
        <xdr:sp>
          <xdr:nvSpPr>
            <xdr:cNvPr id="1059" name="Spinner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659130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297180</xdr:colOff>
          <xdr:row>9</xdr:row>
          <xdr:rowOff>525780</xdr:rowOff>
        </xdr:to>
        <xdr:sp>
          <xdr:nvSpPr>
            <xdr:cNvPr id="1060" name="Spinner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726186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297180</xdr:colOff>
          <xdr:row>9</xdr:row>
          <xdr:rowOff>525780</xdr:rowOff>
        </xdr:to>
        <xdr:sp>
          <xdr:nvSpPr>
            <xdr:cNvPr id="1061" name="Spinner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793242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297180</xdr:colOff>
          <xdr:row>9</xdr:row>
          <xdr:rowOff>525780</xdr:rowOff>
        </xdr:to>
        <xdr:sp>
          <xdr:nvSpPr>
            <xdr:cNvPr id="1062" name="Spinner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8831580" y="246126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297180</xdr:colOff>
          <xdr:row>13</xdr:row>
          <xdr:rowOff>525780</xdr:rowOff>
        </xdr:to>
        <xdr:sp>
          <xdr:nvSpPr>
            <xdr:cNvPr id="1071" name="Spinner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379476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297180</xdr:colOff>
          <xdr:row>13</xdr:row>
          <xdr:rowOff>525780</xdr:rowOff>
        </xdr:to>
        <xdr:sp>
          <xdr:nvSpPr>
            <xdr:cNvPr id="1072" name="Spinner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527304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297180</xdr:colOff>
          <xdr:row>13</xdr:row>
          <xdr:rowOff>525780</xdr:rowOff>
        </xdr:to>
        <xdr:sp>
          <xdr:nvSpPr>
            <xdr:cNvPr id="1073" name="Spinner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600456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297180</xdr:colOff>
          <xdr:row>13</xdr:row>
          <xdr:rowOff>525780</xdr:rowOff>
        </xdr:to>
        <xdr:sp>
          <xdr:nvSpPr>
            <xdr:cNvPr id="1074" name="Spinner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659130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297180</xdr:colOff>
          <xdr:row>13</xdr:row>
          <xdr:rowOff>525780</xdr:rowOff>
        </xdr:to>
        <xdr:sp>
          <xdr:nvSpPr>
            <xdr:cNvPr id="1075" name="Spinner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726186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8</xdr:col>
          <xdr:colOff>297180</xdr:colOff>
          <xdr:row>13</xdr:row>
          <xdr:rowOff>525780</xdr:rowOff>
        </xdr:to>
        <xdr:sp>
          <xdr:nvSpPr>
            <xdr:cNvPr id="1076" name="Spinner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793242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9</xdr:col>
          <xdr:colOff>297180</xdr:colOff>
          <xdr:row>13</xdr:row>
          <xdr:rowOff>525780</xdr:rowOff>
        </xdr:to>
        <xdr:sp>
          <xdr:nvSpPr>
            <xdr:cNvPr id="1077" name="Spinner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883158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10</xdr:col>
          <xdr:colOff>297180</xdr:colOff>
          <xdr:row>13</xdr:row>
          <xdr:rowOff>525780</xdr:rowOff>
        </xdr:to>
        <xdr:sp>
          <xdr:nvSpPr>
            <xdr:cNvPr id="1078" name="Spinner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41832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11</xdr:col>
          <xdr:colOff>297180</xdr:colOff>
          <xdr:row>13</xdr:row>
          <xdr:rowOff>525780</xdr:rowOff>
        </xdr:to>
        <xdr:sp>
          <xdr:nvSpPr>
            <xdr:cNvPr id="1079" name="Spinner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0066020" y="354330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0</xdr:rowOff>
        </xdr:from>
        <xdr:to>
          <xdr:col>11</xdr:col>
          <xdr:colOff>297180</xdr:colOff>
          <xdr:row>0</xdr:row>
          <xdr:rowOff>525780</xdr:rowOff>
        </xdr:to>
        <xdr:sp>
          <xdr:nvSpPr>
            <xdr:cNvPr id="1080" name="Spinner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066020" y="0"/>
              <a:ext cx="297180" cy="52578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6" Type="http://schemas.openxmlformats.org/officeDocument/2006/relationships/ctrlProp" Target="../ctrlProps/ctrlProp23.xml"/><Relationship Id="rId25" Type="http://schemas.openxmlformats.org/officeDocument/2006/relationships/ctrlProp" Target="../ctrlProps/ctrlProp22.xml"/><Relationship Id="rId24" Type="http://schemas.openxmlformats.org/officeDocument/2006/relationships/ctrlProp" Target="../ctrlProps/ctrlProp21.xml"/><Relationship Id="rId23" Type="http://schemas.openxmlformats.org/officeDocument/2006/relationships/ctrlProp" Target="../ctrlProps/ctrlProp20.xml"/><Relationship Id="rId22" Type="http://schemas.openxmlformats.org/officeDocument/2006/relationships/ctrlProp" Target="../ctrlProps/ctrlProp19.xml"/><Relationship Id="rId21" Type="http://schemas.openxmlformats.org/officeDocument/2006/relationships/ctrlProp" Target="../ctrlProps/ctrlProp18.xml"/><Relationship Id="rId20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6" sqref="B6"/>
    </sheetView>
  </sheetViews>
  <sheetFormatPr defaultColWidth="15.7777777777778" defaultRowHeight="35" customHeight="1" outlineLevelRow="5" outlineLevelCol="1"/>
  <cols>
    <col min="1" max="1" width="15.7777777777778" style="51" customWidth="1"/>
    <col min="2" max="2" width="15.7777777777778" style="52" customWidth="1"/>
    <col min="3" max="16384" width="15.7777777777778" style="51" customWidth="1"/>
  </cols>
  <sheetData>
    <row r="1" customHeight="1" spans="1:2">
      <c r="A1" s="51" t="s">
        <v>0</v>
      </c>
      <c r="B1" s="52" t="s">
        <v>1</v>
      </c>
    </row>
    <row r="2" customHeight="1" spans="1:2">
      <c r="A2" s="53" t="s">
        <v>2</v>
      </c>
      <c r="B2" s="54" t="s">
        <v>3</v>
      </c>
    </row>
    <row r="3" customHeight="1" spans="1:2">
      <c r="A3" s="53" t="s">
        <v>4</v>
      </c>
      <c r="B3" s="54" t="s">
        <v>5</v>
      </c>
    </row>
    <row r="4" customHeight="1" spans="2:2">
      <c r="B4" s="52" t="s">
        <v>6</v>
      </c>
    </row>
    <row r="5" customHeight="1" spans="2:2">
      <c r="B5" s="52" t="s">
        <v>7</v>
      </c>
    </row>
    <row r="6" customHeight="1" spans="1:2">
      <c r="A6" s="53" t="s">
        <v>4</v>
      </c>
      <c r="B6" s="54" t="s">
        <v>8</v>
      </c>
    </row>
  </sheetData>
  <sheetProtection password="E147" sheet="1" objects="1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workbookViewId="0">
      <selection activeCell="O10" sqref="O10"/>
    </sheetView>
  </sheetViews>
  <sheetFormatPr defaultColWidth="8.88888888888889" defaultRowHeight="14.4"/>
  <cols>
    <col min="1" max="1" width="11.4444444444444" style="18" customWidth="1"/>
    <col min="2" max="2" width="19.3333333333333" style="18" customWidth="1"/>
    <col min="3" max="3" width="24.5555555555556" style="18" customWidth="1"/>
    <col min="4" max="4" width="21.5555555555556" style="18" customWidth="1"/>
    <col min="5" max="5" width="10.6666666666667" style="18" customWidth="1"/>
    <col min="6" max="6" width="8.55555555555556" style="18" customWidth="1"/>
    <col min="7" max="8" width="9.77777777777778" style="18" customWidth="1"/>
    <col min="9" max="9" width="13.1111111111111" style="18" customWidth="1"/>
    <col min="10" max="10" width="8.55555555555556" style="18" customWidth="1"/>
    <col min="11" max="11" width="9.44444444444444" style="18" customWidth="1"/>
    <col min="12" max="12" width="10.2222222222222" style="18" customWidth="1"/>
    <col min="13" max="13" width="7.44444444444444" style="18" customWidth="1"/>
    <col min="14" max="14" width="7" style="18" customWidth="1"/>
    <col min="15" max="15" width="10" style="18" customWidth="1"/>
    <col min="16" max="16" width="12" style="18" customWidth="1"/>
    <col min="17" max="17" width="8.11111111111111" style="18" customWidth="1"/>
    <col min="18" max="18" width="10.2222222222222" style="18" customWidth="1"/>
    <col min="19" max="19" width="7.88888888888889" style="18" customWidth="1"/>
    <col min="20" max="16384" width="8.88888888888889" style="18"/>
  </cols>
  <sheetData>
    <row r="1" ht="42" customHeight="1" spans="1:12">
      <c r="A1" s="18" t="s">
        <v>9</v>
      </c>
      <c r="B1" s="19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15</v>
      </c>
      <c r="I1" s="20" t="s">
        <v>16</v>
      </c>
      <c r="K1" s="38" t="s">
        <v>17</v>
      </c>
      <c r="L1" s="39">
        <v>1</v>
      </c>
    </row>
    <row r="2" ht="23.4" spans="1:12">
      <c r="A2" s="18" t="s">
        <v>18</v>
      </c>
      <c r="B2" s="19" t="s">
        <v>19</v>
      </c>
      <c r="C2" s="19" t="s">
        <v>20</v>
      </c>
      <c r="D2" s="21">
        <f>IF(B2="Aumaua",2,IF(B2="Dwarf",2,IF(B2="Human",1,IF(B2="Orlan",-1,0))))</f>
        <v>2</v>
      </c>
      <c r="E2" s="21">
        <f>IF(B2="Dwarf",1,0)</f>
        <v>0</v>
      </c>
      <c r="F2" s="21">
        <f>IF(B2="Dwarf",-1,IF(B2="Elf",1,IF(B2="Godlike",1,0)))</f>
        <v>0</v>
      </c>
      <c r="G2" s="21">
        <f>IF(B2="Elf",1,IF(B2="Orlan",2,0))</f>
        <v>0</v>
      </c>
      <c r="H2" s="21">
        <f>IF(B2="Godlike",1,0)</f>
        <v>0</v>
      </c>
      <c r="I2" s="21">
        <f>IF(B2="Human",1,IF(B2="Orlan",1,0))</f>
        <v>0</v>
      </c>
      <c r="J2" s="40" t="s">
        <v>21</v>
      </c>
      <c r="K2" s="41"/>
      <c r="L2" s="41"/>
    </row>
    <row r="3" spans="1:13">
      <c r="A3" s="18" t="s">
        <v>22</v>
      </c>
      <c r="B3" s="19" t="s">
        <v>23</v>
      </c>
      <c r="D3" s="21">
        <f>IF(B3="The Living Lands",1,0)</f>
        <v>0</v>
      </c>
      <c r="E3" s="21">
        <f>IF(B3="Rauatai",1,0)</f>
        <v>0</v>
      </c>
      <c r="F3" s="21">
        <f>IF(B3="Deadfire Archipelago",1,0)</f>
        <v>0</v>
      </c>
      <c r="G3" s="21">
        <f>IF(B3="The White that Wends",1,0)</f>
        <v>0</v>
      </c>
      <c r="H3" s="21">
        <f>IF(B3="Old Vailia",1,0)</f>
        <v>0</v>
      </c>
      <c r="I3" s="21">
        <f>IF(B3="Aedyr",1,IF(B3="Ixamitl Plains",1,0))</f>
        <v>1</v>
      </c>
      <c r="J3" s="40" t="s">
        <v>24</v>
      </c>
      <c r="K3" s="42"/>
      <c r="L3" s="42"/>
      <c r="M3" s="42"/>
    </row>
    <row r="4" spans="1:2">
      <c r="A4" s="18" t="s">
        <v>25</v>
      </c>
      <c r="B4" s="19" t="s">
        <v>26</v>
      </c>
    </row>
    <row r="5" ht="42" customHeight="1" spans="1:12">
      <c r="A5" s="18" t="s">
        <v>27</v>
      </c>
      <c r="B5" s="22" t="s">
        <v>28</v>
      </c>
      <c r="C5" s="19" t="s">
        <v>29</v>
      </c>
      <c r="D5" s="23">
        <f>Code!A70</f>
        <v>0</v>
      </c>
      <c r="E5" s="23">
        <f>Code!B70</f>
        <v>0</v>
      </c>
      <c r="F5" s="23">
        <f>Code!C70</f>
        <v>0</v>
      </c>
      <c r="G5" s="23">
        <f>Code!D70</f>
        <v>0</v>
      </c>
      <c r="H5" s="23">
        <f>Code!E70</f>
        <v>0</v>
      </c>
      <c r="I5" s="23">
        <f>Code!F70</f>
        <v>0</v>
      </c>
      <c r="J5" s="43" t="str">
        <f>IF(Code!G69="Done","-","Allocate")</f>
        <v>Allocate</v>
      </c>
      <c r="K5" s="44" t="str">
        <f>IF(Code!G69="Done","Over Point Allocation Limit","")</f>
        <v/>
      </c>
      <c r="L5" s="45"/>
    </row>
    <row r="6" spans="1:10">
      <c r="A6" s="18" t="str">
        <f>IF(B4="Yes","Class","_")</f>
        <v>Class</v>
      </c>
      <c r="B6" s="19" t="s">
        <v>30</v>
      </c>
      <c r="C6" s="19" t="s">
        <v>31</v>
      </c>
      <c r="D6" s="24">
        <f t="shared" ref="D6:I6" si="0">SUM(D2:D5)+10</f>
        <v>12</v>
      </c>
      <c r="E6" s="24">
        <f t="shared" si="0"/>
        <v>10</v>
      </c>
      <c r="F6" s="24">
        <f t="shared" si="0"/>
        <v>10</v>
      </c>
      <c r="G6" s="24">
        <f t="shared" si="0"/>
        <v>10</v>
      </c>
      <c r="H6" s="24">
        <f t="shared" si="0"/>
        <v>10</v>
      </c>
      <c r="I6" s="24">
        <f t="shared" si="0"/>
        <v>11</v>
      </c>
      <c r="J6" s="46" t="s">
        <v>32</v>
      </c>
    </row>
    <row r="7" spans="1:10">
      <c r="A7" s="25" t="s">
        <v>33</v>
      </c>
      <c r="B7" s="25" t="str">
        <f>IF(Code!C13="",Code!C14,Code!C13)</f>
        <v>Howler</v>
      </c>
      <c r="C7" s="25"/>
      <c r="H7" s="26" t="s">
        <v>34</v>
      </c>
      <c r="I7" s="47"/>
      <c r="J7" s="27">
        <f>15-SUM(D5:I5)</f>
        <v>15</v>
      </c>
    </row>
    <row r="8" spans="4:10">
      <c r="D8" s="18" t="s">
        <v>35</v>
      </c>
      <c r="E8" s="18" t="s">
        <v>36</v>
      </c>
      <c r="F8" s="18" t="s">
        <v>37</v>
      </c>
      <c r="G8" s="18" t="s">
        <v>38</v>
      </c>
      <c r="H8" s="18" t="s">
        <v>39</v>
      </c>
      <c r="I8" s="18" t="s">
        <v>40</v>
      </c>
      <c r="J8" s="18" t="s">
        <v>41</v>
      </c>
    </row>
    <row r="9" spans="1:12">
      <c r="A9" s="18" t="s">
        <v>42</v>
      </c>
      <c r="B9" s="19" t="s">
        <v>43</v>
      </c>
      <c r="C9" s="21" t="s">
        <v>44</v>
      </c>
      <c r="D9" s="21">
        <f>IF($B$9="Hunter",1,IF($B$9="Colonist",1,0))+IF($B$4="No",IF($B$5="Druid",2,IF($B$5="Monk",2,IF($B$5="Priest",2,IF($B$5="Ranger",2,0)))),IF($B$5="Druid",1,IF($B$5="Monk",1,IF($B$5="Priest",1,IF($B$5="Ranger",1,0)))))+IF($B$4="Yes",IF($B$6="Druid",1,IF($B$6="Monk",1,IF($B$6="Priest",1,IF($B$6="Ranger",1,0)))),0)</f>
        <v>0</v>
      </c>
      <c r="E9" s="21">
        <f>IF($B$9="Mystic",1,IF($B$9="Scholar",1,IF($B$9="Scientist",1,0)))+IF($B$4="No",IF($B$5="Chanter",2,IF($B$5="Paladin",2,IF($B$5="Priest",2,IF($B$5="Wizard",2,0)))),IF($B$5="Chanter",1,IF($B$5="Paladin",1,IF($B$5="Priest",1,IF($B$5="Wizard",1,0)))))+IF($B$4="Yes",IF($B$6="Chanter",1,IF($B$6="Paladin",1,IF($B$6="Priest",1,IF($B$6="Wizard",1,0)))),0)</f>
        <v>1</v>
      </c>
      <c r="F9" s="21">
        <f>IF($B$9="Laborer",2,IF($B$9="Mercenary",1,IF($B$9="Slave",1,IF($B$9="Colonist",1,IF($B$9="Raider",1,0)))))+IF($B$4="No",IF($B$5="Fighter",2,IF($B$5="Monk",2,IF($B$5="Paladin",2,IF($B$5="Barbarian",2,0)))),IF($B$5="Fighter",1,IF($B$5="Monk",1,IF($B$5="Paladin",1,IF($B$5="Barbarian",1,0)))))+IF($B$4="Yes",IF($B$6="Fighter",1,IF($B$6="Monk",1,IF($B$6="Paladin",1,IF($B$6="Barbarian",1,0)))),0)</f>
        <v>1</v>
      </c>
      <c r="G9" s="21">
        <f>IF($B$9="Scientist",1,0)+IF($B$4="No",IF($B$5="Fighter",2,IF($B$5="Druid",2,IF($B$5="Wizard",2,0))),IF($B$5="Fighter",1,IF($B$5="Druid",1,IF($B$5="Wizard",1,0))))+IF($B$4="Yes",IF($B$6="Fighter",1,IF($B$6="Druid",1,IF($B$6="Wizard",1,0))),0)</f>
        <v>0</v>
      </c>
      <c r="H9" s="21">
        <f>IF($B$9="Artist",1,IF($B$9="Hunter",1,0))+IF($B$4="No",IF($B$5="Cipher",2,IF($B$5="Rogue",2,0)),IF($B$5="Cipher",1,IF($B$5="Rogue",1,0)))+IF($B$4="Yes",IF($B$6="Cipher",1,IF($B$6="Rogue",1,0)),0)</f>
        <v>0</v>
      </c>
      <c r="I9" s="21">
        <f>IF($B$9="Drifter",1,0)+IF($B$4="No",IF($B$5="Cipher",2,IF($B$5="Chanter",2,0)),IF($B$5="Cipher",1,IF($B$5="Chanter",1,0)))+IF($B$4="Yes",IF($B$6="Cipher",1,IF($B$6="Chanter",1,0)),0)</f>
        <v>1</v>
      </c>
      <c r="J9" s="21">
        <f>IF($B$9="Dissident",1,IF($B$9="Raider",1,0))+IF($B$4="No",IF($B$5="Ranger",2,IF($B$5="Rogue",2,0)),IF($B$5="Ranger",1,IF($B$5="Rogue",1,0)))+IF($B$4="Yes",IF($B$6="Ranger",1,IF($B$6="Rogue",1,0)),)</f>
        <v>0</v>
      </c>
      <c r="K9" s="42"/>
      <c r="L9" s="42"/>
    </row>
    <row r="10" ht="42" customHeight="1" spans="3:12">
      <c r="C10" s="27" t="s">
        <v>45</v>
      </c>
      <c r="D10" s="23">
        <f>Code!A74</f>
        <v>0</v>
      </c>
      <c r="E10" s="23">
        <f>Code!B74</f>
        <v>0</v>
      </c>
      <c r="F10" s="23">
        <f>Code!C74</f>
        <v>0</v>
      </c>
      <c r="G10" s="23">
        <f>Code!D74</f>
        <v>0</v>
      </c>
      <c r="H10" s="23">
        <f>Code!E74</f>
        <v>0</v>
      </c>
      <c r="I10" s="23">
        <f>Code!F74</f>
        <v>0</v>
      </c>
      <c r="J10" s="23">
        <f>Code!G74</f>
        <v>0</v>
      </c>
      <c r="K10" s="48" t="str">
        <f>IF(Code!H73="Done","Over Point Allocation Limit","")</f>
        <v/>
      </c>
      <c r="L10" s="49"/>
    </row>
    <row r="11" spans="2:10">
      <c r="B11" s="27" t="s">
        <v>46</v>
      </c>
      <c r="C11" s="27">
        <f>Code!F36</f>
        <v>0</v>
      </c>
      <c r="D11" s="28">
        <f>D9+D10</f>
        <v>0</v>
      </c>
      <c r="E11" s="28">
        <f t="shared" ref="E11:J11" si="1">E9+E10</f>
        <v>1</v>
      </c>
      <c r="F11" s="28">
        <f t="shared" si="1"/>
        <v>1</v>
      </c>
      <c r="G11" s="28">
        <f t="shared" si="1"/>
        <v>0</v>
      </c>
      <c r="H11" s="28">
        <f t="shared" si="1"/>
        <v>0</v>
      </c>
      <c r="I11" s="28">
        <f t="shared" si="1"/>
        <v>1</v>
      </c>
      <c r="J11" s="28">
        <f t="shared" si="1"/>
        <v>0</v>
      </c>
    </row>
    <row r="12" spans="4:12">
      <c r="D12" s="18" t="s">
        <v>47</v>
      </c>
      <c r="E12" s="18" t="s">
        <v>48</v>
      </c>
      <c r="F12" s="18" t="s">
        <v>49</v>
      </c>
      <c r="G12" s="18" t="s">
        <v>50</v>
      </c>
      <c r="H12" s="18" t="s">
        <v>51</v>
      </c>
      <c r="I12" s="18" t="s">
        <v>52</v>
      </c>
      <c r="J12" s="18" t="s">
        <v>53</v>
      </c>
      <c r="K12" s="18" t="s">
        <v>54</v>
      </c>
      <c r="L12" s="18" t="s">
        <v>55</v>
      </c>
    </row>
    <row r="13" spans="3:12">
      <c r="C13" s="21" t="s">
        <v>44</v>
      </c>
      <c r="D13" s="21">
        <f>IF($B$9="Aristocrat",1,IF($B$9="Drifter",1,IF($B$9="Merchant",1,0)))+IF($B$4="No",IF($B$5="Chanter",2,IF($B$5="Cipher",2,IF($B$5="Ranger",2,IF($B$5="Rogue",2,0)))),IF($B$5="Chanter",1,IF($B$5="Cipher",1,IF($B$5="Ranger",1,IF($B$5="Rogue",1,0)))))+IF($B$4="Yes",IF($B$6="Chanter",1,IF($B$6="Cipher",1,IF($B$6="Ranger",1,IF($B$6="Rogue",1,0)))),0)</f>
        <v>2</v>
      </c>
      <c r="E13" s="21">
        <f>IF($B$9="Aristocrat",1,IF($B$9="Explorer",1,IF($B$9="Merchant",1,0)))+IF($B$4="No",IF($B$5="Chanter",2,IF($B$5="Paladin",2,IF($B$5="Ranger",2,IF($B$5="Priest",2,0)))),IF($B$5="Chanter",1,IF($B$5="Paladin",1,IF($B$5="Ranger",1,IF($B$5="Priest",1,0)))))+IF($B$4="Yes",IF($B$6="Chanter",1,IF($B$6="Paladin",1,IF($B$6="Ranger",1,IF($B$6="Priest",1,0)))),0)</f>
        <v>2</v>
      </c>
      <c r="F13" s="21">
        <f>IF($B$9="Artist",1,IF($B$9="Explorer",1,IF($B$9="Dissident",1,IF($B$9="Scholar",1,0))))+IF($B$4="No",IF($B$5="Chanter",2,IF($B$5="Priest",2,IF($B$5="Wizard",2,IF($B$5="Barbarian",2,0)))),IF($B$5="Chanter",1,IF($B$5="Priest",1,IF($B$5="Wizard",1,IF($B$5="Barbarian",1,0)))))+IF($B$4="Yes",IF($B$6="Chanter",1,IF($B$6="Priest",1,IF($B$6="Wizard",1,IF($B$6="Barbarian",1,0)))),0)</f>
        <v>2</v>
      </c>
      <c r="G13" s="21">
        <f>IF($B$9="Artist",1,IF($B$9="Philosopher",2,0))+IF($B$4="No",IF($B$5="Cipher",2,IF($B$5="Monk",2,IF($B$5="Rogue",2,IF($B$5="Wizard",2,0)))),IF($B$5="Cipher",1,IF($B$5="Monk",1,IF($B$5="Rogue",1,IF($B$5="Wizard",1,0)))))+IF($B$4="Yes",IF($B$6="Cipher",1,IF($B$6="Monk",1,IF($B$6="Rogue",1,IF($B$6="Wizard",1,0)))),0)</f>
        <v>0</v>
      </c>
      <c r="H13" s="21">
        <f>IF($B$9="Aristocrat",1,IF($B$9="Dissident",1,IF($B$9="Mercenary",1,0)))+IF($B$4="No",IF($B$5="Fighter",2,IF($B$5="Paladin",2,IF($B$5="Barbarian",2,0))),IF($B$5="Fighter",1,IF($B$5="Paladin",1,IF($B$5="Barbarian",1,0))))+IF($B$4="Yes",IF($B$6="Fighter",1,IF($B$6="Paladin",1,IF($B$6="Barbarian",1,0))),0)</f>
        <v>2</v>
      </c>
      <c r="I13" s="21">
        <f>IF($B$9="Mystic",1,IF($B$9="Scholar",1,IF($B$9="Scientist",1,0)))+IF($B$4="No",IF($B$5="Cipher",2,IF($B$5="Druid",2,IF($B$5="Monk",2,IF($B$5="Wizard",2,0)))),IF($B$5="Cipher",1,IF($B$5="Druid",1,IF($B$5="Monk",1,IF($B$5="Wizard",1,0)))))+IF($B$4="Yes",IF($B$6="Cipher",1,IF($B$6="Druid",1,IF($B$6="Monk",1,IF($B$6="Wizard",1,0)))),0)</f>
        <v>0</v>
      </c>
      <c r="J13" s="21">
        <f>IF($B$9="Priest",2,IF($B$9="Mystic",1,IF($B$9="Clergy",2,0)))+IF($B$4="No",IF($B$5="Druid",2,IF($B$5="Monk",2,IF($B$5="Paladin",2,IF($B$5="Priest",2,0)))),IF($B$5="Druid",1,IF($B$5="Monk",1,IF($B$5="Paladin",1,IF($B$5="Priest",1,0)))))+IF($B$4="Yes",IF($B$6="Druid",1,IF($B$6="Monk",1,IF($B$6="Paladin",1,IF($B$6="Priest",1,0)))),0)</f>
        <v>0</v>
      </c>
      <c r="K13" s="21">
        <f>IF($B$9="Drifter",1,IF($B$9="Mercenary",1,IF($B$9="Merchant",1,IF($B$9="Slave",1,IF($B$9="Raider",1,0)))))+IF($B$4="No",IF($B$5="Fighter",2,IF($B$5="Rogue",2,0)),IF($B$5="Fighter",1,IF($B$5="Rogue",1,0)))+IF($B$4="Yes",IF($B$6="Fighter",1,IF($B$6="Rogue",1,0)),0)</f>
        <v>0</v>
      </c>
      <c r="L13" s="21">
        <f>IF($B$9="Colonist",1,IF($B$9="Explorer",1,IF($B$9="Hunter",1,IF($B$9="Slave",1,0))))+IF($B$4="No",IF($B$5="Fighter",2,IF($B$5="Druid",2,IF($B$5="Ranger",2,IF($B$5="Barbarian",2,0)))),IF($B$5="Fighter",1,IF($B$5="Druid",1,IF($B$5="Ranger",1,IF($B$5="Barbarian",1,0)))))+IF($B$4="Yes",IF($B$6="Fighter",1,IF($B$6="Druid",1,IF($B$6="Ranger",1,IF($B$6="Barbarian",1,0)))),0)</f>
        <v>1</v>
      </c>
    </row>
    <row r="14" ht="42" customHeight="1" spans="3:14">
      <c r="C14" s="27" t="s">
        <v>45</v>
      </c>
      <c r="D14" s="23">
        <f>Code!A78</f>
        <v>0</v>
      </c>
      <c r="E14" s="23">
        <f>Code!B78</f>
        <v>0</v>
      </c>
      <c r="F14" s="23">
        <f>Code!C78</f>
        <v>0</v>
      </c>
      <c r="G14" s="23">
        <f>Code!D78</f>
        <v>0</v>
      </c>
      <c r="H14" s="23">
        <f>Code!E78</f>
        <v>0</v>
      </c>
      <c r="I14" s="23">
        <f>Code!F78</f>
        <v>0</v>
      </c>
      <c r="J14" s="23">
        <f>Code!G78</f>
        <v>0</v>
      </c>
      <c r="K14" s="23">
        <f>Code!H78</f>
        <v>0</v>
      </c>
      <c r="L14" s="23">
        <f>Code!I78</f>
        <v>0</v>
      </c>
      <c r="M14" s="44" t="str">
        <f>IF(Code!J77="Done","Over Point Allocation Limit","")</f>
        <v/>
      </c>
      <c r="N14" s="45"/>
    </row>
    <row r="15" spans="2:12">
      <c r="B15" s="27" t="s">
        <v>46</v>
      </c>
      <c r="C15" s="27">
        <f>Code!F37</f>
        <v>0</v>
      </c>
      <c r="D15" s="28">
        <f>D13+D14</f>
        <v>2</v>
      </c>
      <c r="E15" s="28">
        <f t="shared" ref="E15:L15" si="2">E13+E14</f>
        <v>2</v>
      </c>
      <c r="F15" s="28">
        <f t="shared" si="2"/>
        <v>2</v>
      </c>
      <c r="G15" s="28">
        <f t="shared" si="2"/>
        <v>0</v>
      </c>
      <c r="H15" s="28">
        <f t="shared" si="2"/>
        <v>2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1</v>
      </c>
    </row>
    <row r="16" spans="1:14">
      <c r="A16" s="29" t="s">
        <v>56</v>
      </c>
      <c r="B16" s="30"/>
      <c r="C16" s="31" t="s">
        <v>57</v>
      </c>
      <c r="D16" s="18" t="str">
        <f>VLOOKUP(C16,Code!$A$33:$D$65,3,FALSE)</f>
        <v>Haymaker</v>
      </c>
      <c r="E16" s="32" t="str">
        <f>VLOOKUP(C16,Code!$A$33:$D$65,4,FALSE)</f>
        <v>Recovery Time +50%, Penetration +2</v>
      </c>
      <c r="F16" s="33"/>
      <c r="G16" s="33"/>
      <c r="H16" s="33"/>
      <c r="I16" s="33"/>
      <c r="J16" s="33"/>
      <c r="K16" s="33"/>
      <c r="L16" s="33"/>
      <c r="M16" s="33"/>
      <c r="N16" s="50"/>
    </row>
    <row r="17" spans="1:14">
      <c r="A17" s="34"/>
      <c r="B17" s="35"/>
      <c r="C17" s="31" t="s">
        <v>58</v>
      </c>
      <c r="D17" s="18" t="str">
        <f>VLOOKUP(C17,Code!$A$33:$D$65,3,FALSE)</f>
        <v>Overbearing Shot</v>
      </c>
      <c r="E17" s="32" t="str">
        <f>VLOOKUP(C17,Code!$A$33:$D$65,4,FALSE)</f>
        <v>If hit knocked prone, -25% Action Speed</v>
      </c>
      <c r="F17" s="33"/>
      <c r="G17" s="33"/>
      <c r="H17" s="33"/>
      <c r="I17" s="33"/>
      <c r="J17" s="33"/>
      <c r="K17" s="33"/>
      <c r="L17" s="33"/>
      <c r="M17" s="33"/>
      <c r="N17" s="50"/>
    </row>
    <row r="18" spans="1:14">
      <c r="A18" s="34"/>
      <c r="B18" s="35"/>
      <c r="C18" s="31" t="s">
        <v>59</v>
      </c>
      <c r="D18" s="18" t="str">
        <f>VLOOKUP(C18,Code!$A$33:$D$65,3,FALSE)</f>
        <v>Interrupting Shot</v>
      </c>
      <c r="E18" s="32" t="str">
        <f>VLOOKUP(C18,Code!$A$33:$D$65,4,FALSE)</f>
        <v>Interrupt on Hit, -25% Action Speed</v>
      </c>
      <c r="F18" s="33"/>
      <c r="G18" s="33"/>
      <c r="H18" s="33"/>
      <c r="I18" s="33"/>
      <c r="J18" s="33"/>
      <c r="K18" s="33"/>
      <c r="L18" s="33"/>
      <c r="M18" s="33"/>
      <c r="N18" s="50"/>
    </row>
    <row r="19" spans="1:14">
      <c r="A19" s="34"/>
      <c r="B19" s="35"/>
      <c r="C19" s="31" t="s">
        <v>60</v>
      </c>
      <c r="D19" s="18" t="str">
        <f>VLOOKUP(C19,Code!$A$33:$D$65,3,FALSE)</f>
        <v>_</v>
      </c>
      <c r="E19" s="32" t="str">
        <f>VLOOKUP(C19,Code!$A$33:$D$65,4,FALSE)</f>
        <v>_</v>
      </c>
      <c r="F19" s="33"/>
      <c r="G19" s="33"/>
      <c r="H19" s="33"/>
      <c r="I19" s="33"/>
      <c r="J19" s="33"/>
      <c r="K19" s="33"/>
      <c r="L19" s="33"/>
      <c r="M19" s="33"/>
      <c r="N19" s="50"/>
    </row>
    <row r="20" spans="1:14">
      <c r="A20" s="34"/>
      <c r="B20" s="35"/>
      <c r="C20" s="31" t="s">
        <v>60</v>
      </c>
      <c r="D20" s="18" t="str">
        <f>VLOOKUP(C20,Code!$A$33:$D$65,3,FALSE)</f>
        <v>_</v>
      </c>
      <c r="E20" s="32" t="str">
        <f>VLOOKUP(C20,Code!$A$33:$D$65,4,FALSE)</f>
        <v>_</v>
      </c>
      <c r="F20" s="33"/>
      <c r="G20" s="33"/>
      <c r="H20" s="33"/>
      <c r="I20" s="33"/>
      <c r="J20" s="33"/>
      <c r="K20" s="33"/>
      <c r="L20" s="33"/>
      <c r="M20" s="33"/>
      <c r="N20" s="50"/>
    </row>
    <row r="21" spans="1:14">
      <c r="A21" s="34"/>
      <c r="B21" s="35"/>
      <c r="C21" s="31" t="s">
        <v>60</v>
      </c>
      <c r="D21" s="18" t="str">
        <f>VLOOKUP(C21,Code!$A$33:$D$65,3,FALSE)</f>
        <v>_</v>
      </c>
      <c r="E21" s="32" t="str">
        <f>VLOOKUP(C21,Code!$A$33:$D$65,4,FALSE)</f>
        <v>_</v>
      </c>
      <c r="F21" s="33"/>
      <c r="G21" s="33"/>
      <c r="H21" s="33"/>
      <c r="I21" s="33"/>
      <c r="J21" s="33"/>
      <c r="K21" s="33"/>
      <c r="L21" s="33"/>
      <c r="M21" s="33"/>
      <c r="N21" s="50"/>
    </row>
    <row r="22" spans="1:14">
      <c r="A22" s="34"/>
      <c r="B22" s="35"/>
      <c r="C22" s="31" t="s">
        <v>60</v>
      </c>
      <c r="D22" s="18" t="str">
        <f>VLOOKUP(C22,Code!$A$33:$D$65,3,FALSE)</f>
        <v>_</v>
      </c>
      <c r="E22" s="32" t="str">
        <f>VLOOKUP(C22,Code!$A$33:$D$65,4,FALSE)</f>
        <v>_</v>
      </c>
      <c r="F22" s="33"/>
      <c r="G22" s="33"/>
      <c r="H22" s="33"/>
      <c r="I22" s="33"/>
      <c r="J22" s="33"/>
      <c r="K22" s="33"/>
      <c r="L22" s="33"/>
      <c r="M22" s="33"/>
      <c r="N22" s="50"/>
    </row>
    <row r="23" spans="1:14">
      <c r="A23" s="34"/>
      <c r="B23" s="35"/>
      <c r="C23" s="31" t="s">
        <v>60</v>
      </c>
      <c r="D23" s="18" t="str">
        <f>VLOOKUP(C23,Code!$A$33:$D$65,3,FALSE)</f>
        <v>_</v>
      </c>
      <c r="E23" s="32" t="str">
        <f>VLOOKUP(C23,Code!$A$33:$D$65,4,FALSE)</f>
        <v>_</v>
      </c>
      <c r="F23" s="33"/>
      <c r="G23" s="33"/>
      <c r="H23" s="33"/>
      <c r="I23" s="33"/>
      <c r="J23" s="33"/>
      <c r="K23" s="33"/>
      <c r="L23" s="33"/>
      <c r="M23" s="33"/>
      <c r="N23" s="50"/>
    </row>
    <row r="24" spans="1:14">
      <c r="A24" s="36"/>
      <c r="B24" s="37"/>
      <c r="C24" s="31" t="s">
        <v>60</v>
      </c>
      <c r="D24" s="18" t="str">
        <f>VLOOKUP(C24,Code!$A$33:$D$65,3,FALSE)</f>
        <v>_</v>
      </c>
      <c r="E24" s="32" t="str">
        <f>VLOOKUP(C24,Code!$A$33:$D$65,4,FALSE)</f>
        <v>_</v>
      </c>
      <c r="F24" s="33"/>
      <c r="G24" s="33"/>
      <c r="H24" s="33"/>
      <c r="I24" s="33"/>
      <c r="J24" s="33"/>
      <c r="K24" s="33"/>
      <c r="L24" s="33"/>
      <c r="M24" s="33"/>
      <c r="N24" s="50"/>
    </row>
  </sheetData>
  <sheetProtection password="E147" sheet="1" objects="1"/>
  <mergeCells count="14">
    <mergeCell ref="K5:L5"/>
    <mergeCell ref="H7:I7"/>
    <mergeCell ref="K10:L10"/>
    <mergeCell ref="M14:N14"/>
    <mergeCell ref="E16:N16"/>
    <mergeCell ref="E17:N17"/>
    <mergeCell ref="E18:N18"/>
    <mergeCell ref="E19:N19"/>
    <mergeCell ref="E20:N20"/>
    <mergeCell ref="E21:N21"/>
    <mergeCell ref="E22:N22"/>
    <mergeCell ref="E23:N23"/>
    <mergeCell ref="E24:N24"/>
    <mergeCell ref="A16:B24"/>
  </mergeCells>
  <conditionalFormatting sqref="$A5:$XFD5">
    <cfRule type="cellIs" dxfId="0" priority="6" operator="equal">
      <formula>"-"</formula>
    </cfRule>
    <cfRule type="cellIs" dxfId="0" priority="5" operator="equal">
      <formula>"Over Point Allocation Limit"</formula>
    </cfRule>
  </conditionalFormatting>
  <conditionalFormatting sqref="D10:L10">
    <cfRule type="cellIs" dxfId="0" priority="4" operator="equal">
      <formula>"Over Point Allocation Limit"</formula>
    </cfRule>
    <cfRule type="cellIs" dxfId="0" priority="3" operator="equal">
      <formula>"-"</formula>
    </cfRule>
  </conditionalFormatting>
  <conditionalFormatting sqref="D14:N14">
    <cfRule type="cellIs" dxfId="0" priority="2" operator="equal">
      <formula>"-"</formula>
    </cfRule>
    <cfRule type="cellIs" dxfId="0" priority="1" operator="equal">
      <formula>"Over Point Allocation Limit"</formula>
    </cfRule>
  </conditionalFormatting>
  <dataValidations count="11">
    <dataValidation type="list" showInputMessage="1" showErrorMessage="1" sqref="B9">
      <formula1>INDIRECT(SUBSTITUTE(B3," ","_"))</formula1>
    </dataValidation>
    <dataValidation type="list" allowBlank="1" showInputMessage="1" showErrorMessage="1" sqref="B6">
      <formula1>INDIRECT(SUBSTITUTE(A6,"_","_"))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B2">
      <formula1>INDIRECT("Race")</formula1>
    </dataValidation>
    <dataValidation type="list" allowBlank="1" showInputMessage="1" showErrorMessage="1" sqref="B1">
      <formula1>INDIRECT("Gender")</formula1>
    </dataValidation>
    <dataValidation type="list" allowBlank="1" showInputMessage="1" showErrorMessage="1" sqref="C2 B5">
      <formula1>INDIRECT(A2)</formula1>
    </dataValidation>
    <dataValidation type="list" allowBlank="1" showInputMessage="1" showErrorMessage="1" sqref="B3">
      <formula1>INDIRECT("Culture")</formula1>
    </dataValidation>
    <dataValidation type="list" allowBlank="1" showInputMessage="1" showErrorMessage="1" sqref="C5">
      <formula1>INDIRECT($B$5)</formula1>
    </dataValidation>
    <dataValidation type="list" allowBlank="1" showInputMessage="1" showErrorMessage="1" sqref="C6">
      <formula1>INDIRECT($B$6)</formula1>
    </dataValidation>
    <dataValidation type="list" allowBlank="1" showInputMessage="1" showErrorMessage="1" sqref="C17">
      <formula1>INDIRECT("Weapons")</formula1>
    </dataValidation>
    <dataValidation type="list" allowBlank="1" showInputMessage="1" showErrorMessage="1" sqref="C18 C19 C20 C21 C22 C23 C24">
      <formula1>INDIRECT(Code!B33)</formula1>
    </dataValidation>
  </dataValidations>
  <pageMargins left="0.75" right="0.75" top="1" bottom="1" header="0.5" footer="0.5"/>
  <pageSetup paperSize="8" orientation="landscape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name="Spinner 8" r:id="rId4">
              <controlPr defaultSize="0">
                <anchor moveWithCells="1">
                  <from>
                    <xdr:col>3</xdr:col>
                    <xdr:colOff>0</xdr:colOff>
                    <xdr:row>4</xdr:row>
                    <xdr:rowOff>6985</xdr:rowOff>
                  </from>
                  <to>
                    <xdr:col>3</xdr:col>
                    <xdr:colOff>297180</xdr:colOff>
                    <xdr:row>4</xdr:row>
                    <xdr:rowOff>532765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Spinner 10" r:id="rId5">
              <controlPr defaultSize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4</xdr:col>
                    <xdr:colOff>297180</xdr:colOff>
                    <xdr:row>4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Spinner 11" r:id="rId6">
              <controlPr defaultSize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5</xdr:col>
                    <xdr:colOff>297180</xdr:colOff>
                    <xdr:row>4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Spinner 12" r:id="rId7">
              <controlPr defaultSize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6</xdr:col>
                    <xdr:colOff>297180</xdr:colOff>
                    <xdr:row>4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Spinner 13" r:id="rId8">
              <controlPr defaultSize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7</xdr:col>
                    <xdr:colOff>297180</xdr:colOff>
                    <xdr:row>4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Spinner 14" r:id="rId9">
              <controlPr defaultSize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8</xdr:col>
                    <xdr:colOff>297180</xdr:colOff>
                    <xdr:row>4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Spinner 17" r:id="rId10">
              <controlPr defaultSize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Spinner 33" r:id="rId11">
              <controlPr defaultSize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4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Spinner 34" r:id="rId12">
              <controlPr defaultSize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5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Spinner 35" r:id="rId13">
              <controlPr defaultSize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6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Spinner 36" r:id="rId14">
              <controlPr defaultSize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7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Spinner 37" r:id="rId15">
              <controlPr defaultSize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8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Spinner 38" r:id="rId16">
              <controlPr defaultSize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9</xdr:col>
                    <xdr:colOff>297180</xdr:colOff>
                    <xdr:row>9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Spinner 47" r:id="rId17">
              <controlPr defaultSize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3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Spinner 48" r:id="rId18">
              <controlPr defaultSize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4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Spinner 49" r:id="rId19">
              <controlPr defaultSize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Spinner 50" r:id="rId20">
              <controlPr defaultSize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6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Spinner 51" r:id="rId21">
              <controlPr defaultSize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7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Spinner 52" r:id="rId22">
              <controlPr defaultSize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8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Spinner 53" r:id="rId23">
              <controlPr defaultSize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9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Spinner 54" r:id="rId24">
              <controlPr defaultSize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10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Spinner 55" r:id="rId25">
              <controlPr defaultSize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11</xdr:col>
                    <xdr:colOff>297180</xdr:colOff>
                    <xdr:row>13</xdr:row>
                    <xdr:rowOff>525780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Spinner 56" r:id="rId26">
              <controlPr defaultSize="0">
                <anchor mov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297180</xdr:colOff>
                    <xdr:row>0</xdr:row>
                    <xdr:rowOff>525780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8"/>
  <sheetViews>
    <sheetView workbookViewId="0">
      <selection activeCell="D25" sqref="D25"/>
    </sheetView>
  </sheetViews>
  <sheetFormatPr defaultColWidth="8.88888888888889" defaultRowHeight="14.4"/>
  <cols>
    <col min="1" max="1" width="12.2222222222222" style="1" customWidth="1"/>
    <col min="2" max="2" width="10.5555555555556" style="1" customWidth="1"/>
    <col min="3" max="3" width="22.1111111111111" style="1" customWidth="1"/>
    <col min="4" max="4" width="72.4444444444444" style="1" customWidth="1"/>
    <col min="5" max="5" width="23.7777777777778" style="1" customWidth="1"/>
    <col min="6" max="6" width="27.4444444444444" style="1" customWidth="1"/>
    <col min="7" max="7" width="16.6666666666667" style="1" customWidth="1"/>
    <col min="8" max="8" width="21" style="1" customWidth="1"/>
    <col min="9" max="9" width="14.5555555555556" style="1" customWidth="1"/>
    <col min="10" max="10" width="15.8888888888889" style="1" customWidth="1"/>
    <col min="11" max="11" width="16" style="1" customWidth="1"/>
    <col min="12" max="12" width="11.5555555555556" style="1" customWidth="1"/>
    <col min="13" max="16" width="8.88888888888889" style="1"/>
    <col min="17" max="17" width="14" style="1" customWidth="1"/>
    <col min="18" max="18" width="12.1111111111111" style="1" customWidth="1"/>
    <col min="19" max="19" width="14.1111111111111" style="1" customWidth="1"/>
    <col min="20" max="20" width="14.2222222222222" style="1" customWidth="1"/>
    <col min="21" max="16384" width="8.88888888888889" style="1"/>
  </cols>
  <sheetData>
    <row r="1" spans="1:11">
      <c r="A1" s="2" t="s">
        <v>28</v>
      </c>
      <c r="B1" s="1">
        <f>IF(OR(Main!$B$5=A1,Main!$B$6=A1),1,0)</f>
        <v>1</v>
      </c>
      <c r="C1" s="3" t="s">
        <v>29</v>
      </c>
      <c r="D1" s="3" t="s">
        <v>61</v>
      </c>
      <c r="E1" s="3" t="s">
        <v>62</v>
      </c>
      <c r="F1" s="3" t="s">
        <v>63</v>
      </c>
      <c r="G1" s="3"/>
      <c r="H1" s="3"/>
      <c r="I1" s="1" t="s">
        <v>26</v>
      </c>
      <c r="J1" s="1">
        <v>0</v>
      </c>
      <c r="K1" s="1">
        <f>IF(Main!$J$7&gt;=J1,J1,0)</f>
        <v>0</v>
      </c>
    </row>
    <row r="2" spans="1:11">
      <c r="A2" s="2" t="s">
        <v>30</v>
      </c>
      <c r="B2" s="1">
        <f>IF(OR(Main!$B$5=A2,Main!$B$6=A2),2,0)</f>
        <v>2</v>
      </c>
      <c r="C2" s="3" t="s">
        <v>31</v>
      </c>
      <c r="D2" s="3" t="s">
        <v>64</v>
      </c>
      <c r="E2" s="3" t="s">
        <v>65</v>
      </c>
      <c r="F2" s="3" t="s">
        <v>66</v>
      </c>
      <c r="G2" s="3"/>
      <c r="H2" s="3"/>
      <c r="I2" s="1" t="s">
        <v>67</v>
      </c>
      <c r="J2" s="1">
        <v>1</v>
      </c>
      <c r="K2" s="1">
        <f>IF(Main!$J$7&gt;=J2,J2,0)</f>
        <v>1</v>
      </c>
    </row>
    <row r="3" spans="1:11">
      <c r="A3" s="2" t="s">
        <v>68</v>
      </c>
      <c r="B3" s="1">
        <f>IF(OR(Main!$B$5=A3,Main!$B$6=A3),4,0)</f>
        <v>0</v>
      </c>
      <c r="C3" s="3" t="s">
        <v>69</v>
      </c>
      <c r="D3" s="3" t="s">
        <v>70</v>
      </c>
      <c r="E3" s="4" t="s">
        <v>71</v>
      </c>
      <c r="F3" s="4" t="s">
        <v>72</v>
      </c>
      <c r="G3" s="3"/>
      <c r="H3" s="3"/>
      <c r="J3" s="1">
        <v>2</v>
      </c>
      <c r="K3" s="1">
        <f>IF(Main!$J$7&gt;=J3,J3,0)</f>
        <v>2</v>
      </c>
    </row>
    <row r="4" spans="1:11">
      <c r="A4" s="2" t="s">
        <v>73</v>
      </c>
      <c r="B4" s="1">
        <f>IF(OR(Main!$B$5=A4,Main!$B$6=A4),8,0)</f>
        <v>0</v>
      </c>
      <c r="C4" s="3" t="s">
        <v>74</v>
      </c>
      <c r="D4" s="3" t="s">
        <v>75</v>
      </c>
      <c r="E4" s="3" t="s">
        <v>76</v>
      </c>
      <c r="F4" s="4" t="s">
        <v>77</v>
      </c>
      <c r="G4" s="3" t="s">
        <v>78</v>
      </c>
      <c r="H4" s="3"/>
      <c r="J4" s="1">
        <v>3</v>
      </c>
      <c r="K4" s="1">
        <f>IF(Main!$J$7&gt;=J4,J4,0)</f>
        <v>3</v>
      </c>
    </row>
    <row r="5" spans="1:11">
      <c r="A5" s="2" t="s">
        <v>79</v>
      </c>
      <c r="B5" s="1">
        <f>IF(OR(Main!$B$5=A5,Main!$B$6=A5),16,0)</f>
        <v>0</v>
      </c>
      <c r="C5" s="3" t="s">
        <v>80</v>
      </c>
      <c r="D5" s="3" t="s">
        <v>81</v>
      </c>
      <c r="E5" s="3" t="s">
        <v>82</v>
      </c>
      <c r="F5" s="4" t="s">
        <v>83</v>
      </c>
      <c r="G5" s="3"/>
      <c r="H5" s="3"/>
      <c r="J5" s="1">
        <v>4</v>
      </c>
      <c r="K5" s="1">
        <f>IF(Main!$J$7&gt;=J5,J5,0)</f>
        <v>4</v>
      </c>
    </row>
    <row r="6" spans="1:11">
      <c r="A6" s="2" t="s">
        <v>84</v>
      </c>
      <c r="B6" s="1">
        <f>IF(OR(Main!$B$5=A6,Main!$B$6=A6),32,0)</f>
        <v>0</v>
      </c>
      <c r="C6" s="3" t="s">
        <v>85</v>
      </c>
      <c r="D6" s="3" t="s">
        <v>86</v>
      </c>
      <c r="E6" s="3" t="s">
        <v>87</v>
      </c>
      <c r="F6" s="4" t="s">
        <v>88</v>
      </c>
      <c r="G6" s="3"/>
      <c r="H6" s="3"/>
      <c r="J6" s="1">
        <v>5</v>
      </c>
      <c r="K6" s="1">
        <f>IF(Main!$J$7&gt;=J6,J6,0)</f>
        <v>5</v>
      </c>
    </row>
    <row r="7" spans="1:11">
      <c r="A7" s="2" t="s">
        <v>89</v>
      </c>
      <c r="B7" s="1">
        <f>IF(OR(Main!$B$5=A7,Main!$B$6=A7),64,0)</f>
        <v>0</v>
      </c>
      <c r="C7" s="3" t="s">
        <v>90</v>
      </c>
      <c r="D7" s="3" t="s">
        <v>91</v>
      </c>
      <c r="E7" s="3" t="s">
        <v>92</v>
      </c>
      <c r="F7" s="4" t="s">
        <v>93</v>
      </c>
      <c r="G7" s="3" t="s">
        <v>94</v>
      </c>
      <c r="H7" s="3"/>
      <c r="J7" s="1">
        <v>6</v>
      </c>
      <c r="K7" s="1">
        <f>IF(Main!$J$7&gt;=J7,J7,0)</f>
        <v>6</v>
      </c>
    </row>
    <row r="8" spans="1:11">
      <c r="A8" s="2" t="s">
        <v>95</v>
      </c>
      <c r="B8" s="1">
        <f>IF(OR(Main!$B$5=A8,Main!$B$6=A8),128,0)</f>
        <v>0</v>
      </c>
      <c r="C8" s="3" t="s">
        <v>96</v>
      </c>
      <c r="D8" s="3" t="s">
        <v>97</v>
      </c>
      <c r="E8" s="3" t="s">
        <v>98</v>
      </c>
      <c r="F8" s="4" t="s">
        <v>99</v>
      </c>
      <c r="G8" s="3" t="s">
        <v>100</v>
      </c>
      <c r="H8" s="3" t="s">
        <v>101</v>
      </c>
      <c r="I8" s="1" t="s">
        <v>60</v>
      </c>
      <c r="J8" s="1">
        <v>7</v>
      </c>
      <c r="K8" s="1">
        <f>IF(Main!$J$7&gt;=J8,J8,0)</f>
        <v>7</v>
      </c>
    </row>
    <row r="9" spans="1:11">
      <c r="A9" s="2" t="s">
        <v>102</v>
      </c>
      <c r="B9" s="1">
        <f>IF(OR(Main!$B$5=A9,Main!$B$6=A9),256,0)</f>
        <v>0</v>
      </c>
      <c r="C9" s="3" t="s">
        <v>103</v>
      </c>
      <c r="D9" s="3" t="s">
        <v>104</v>
      </c>
      <c r="E9" s="3" t="s">
        <v>105</v>
      </c>
      <c r="F9" s="4" t="s">
        <v>106</v>
      </c>
      <c r="G9" s="3"/>
      <c r="H9" s="3"/>
      <c r="J9" s="1">
        <v>8</v>
      </c>
      <c r="K9" s="1">
        <f>IF(Main!$J$7&gt;=J9,J9,0)</f>
        <v>8</v>
      </c>
    </row>
    <row r="10" spans="1:10">
      <c r="A10" s="2" t="s">
        <v>107</v>
      </c>
      <c r="B10" s="1">
        <f>IF(OR(Main!$B$5=A10,Main!$B$6=A10),512,0)</f>
        <v>0</v>
      </c>
      <c r="C10" s="3" t="s">
        <v>108</v>
      </c>
      <c r="D10" s="3" t="s">
        <v>109</v>
      </c>
      <c r="E10" s="3" t="s">
        <v>110</v>
      </c>
      <c r="F10" s="4" t="s">
        <v>111</v>
      </c>
      <c r="G10" s="3"/>
      <c r="H10" s="3"/>
      <c r="J10" s="1">
        <v>9</v>
      </c>
    </row>
    <row r="11" spans="1:10">
      <c r="A11" s="2" t="s">
        <v>112</v>
      </c>
      <c r="B11" s="1">
        <f>IF(OR(Main!$B$5=A11,Main!$B$6=A11),1024,0)</f>
        <v>0</v>
      </c>
      <c r="C11" s="3" t="s">
        <v>113</v>
      </c>
      <c r="D11" s="3" t="s">
        <v>114</v>
      </c>
      <c r="E11" s="3" t="s">
        <v>115</v>
      </c>
      <c r="F11" s="4" t="s">
        <v>116</v>
      </c>
      <c r="G11" s="3" t="s">
        <v>117</v>
      </c>
      <c r="H11" s="3" t="s">
        <v>118</v>
      </c>
      <c r="J11" s="1">
        <v>10</v>
      </c>
    </row>
    <row r="12" spans="1:10">
      <c r="A12" s="2" t="s">
        <v>119</v>
      </c>
      <c r="B12" s="1">
        <f>IF(Main!$B$5=A12,0,0)</f>
        <v>0</v>
      </c>
      <c r="J12" s="1">
        <v>11</v>
      </c>
    </row>
    <row r="13" spans="1:10">
      <c r="A13" s="1" t="str">
        <f>""</f>
        <v/>
      </c>
      <c r="B13" s="5">
        <f>SUM(B1:B12)</f>
        <v>3</v>
      </c>
      <c r="C13" s="6" t="str">
        <f>IF(B13=1,"Barbarian",IF(B13=2,"Chanter",IF(B13=3,"Howler",IF(B13=4,"Cipher",IF(B13=5,"Witch",IF(B13=6,"Spiritualist",IF(B13=8,"Druid",IF(B13=9,"Tempest",IF(B13=10,"Theurge",IF(B13=12,"Oracle",IF(B13=16,"Fighter",IF(B13=17,"Brute",IF(B13=18,"Warcaller",IF(B13=20,"PsyBlade",IF(B13=24,"Warden",IF(B13=32,"Monk",IF(B13=33,"Ravager",IF(B13=34,"Cantor",IF(B13=36,"Transcend",IF(B13=40,"Ascetic",IF(B13=48,"Brawler",IF(B13=64,"Paladin",IF(B13=65,"Fanatic",IF(B13=66,"Herald",IF(B13=68,"Inquisitor",IF(B13=72,"Liberator",IF(B13=80,"Crusader",IF(B13=96,"Votary",IF(B13=128,"Priest",IF(B13=129,"Shaman",IF(B13=130,"Celebrant",IF(B13=132,"Mystic",IF(B13=136,"Universalist",IF(B13=144,"Cleric",IF(B13=160,"Contemplative",IF(B13=192,"Templar",IF(B13=256,"Ranger",IF(B13=257,"Savage",IF(B13=258,"Wildrhymer",IF(B13=260,"Seer",IF(B13=264,"Beastmaster",IF(B13=272,"Hunter",IF(B13=288,"Wanderer",IF(B13=320,"Shepherd",IF(B13=384,"Itinerant",IF(B13=512,"Rogue",IF(B13=513,"Marauder",IF(B13=514,"Harbinger",IF(B13=516,"Mindstalker",IF(B13=520,"Pathfinder",IF(B13=528,"Swashbuckler",IF(B13=544,"Shadowdancer",IF(B13=576,"Holy Slayer",IF(B13=640,"Zealot",IF(B13=768,"Scout",IF(B13=1024,"Wizard",IF(B13=1025,"Warlock",IF(B13=1026,"Loremaster",IF(B13=1028,"Hierophant",IF(B13=1032,"Sorcerer",IF(B13=1040,"Battlemage",IF(B13=1056,"Sage",IF(B13=1088,"Arcane Knight",IF(B13=1152,"Thaumaturge",IF(B13=0,"No Class","")))))))))))))))))))))))))))))))))))))))))))))))))))))))))))))))))</f>
        <v>Howler</v>
      </c>
      <c r="D13" s="5"/>
      <c r="J13" s="1">
        <v>12</v>
      </c>
    </row>
    <row r="14" spans="1:10">
      <c r="A14" s="7" t="s">
        <v>10</v>
      </c>
      <c r="B14" s="7" t="s">
        <v>120</v>
      </c>
      <c r="C14" s="6" t="str">
        <f>IF(B13=1536,"Spellblade",IF(B13=1280,"Geomancer",""))</f>
        <v/>
      </c>
      <c r="J14" s="1">
        <v>13</v>
      </c>
    </row>
    <row r="15" spans="1:20">
      <c r="A15" s="8" t="s">
        <v>19</v>
      </c>
      <c r="B15" s="9" t="s">
        <v>20</v>
      </c>
      <c r="C15" s="9" t="s">
        <v>121</v>
      </c>
      <c r="D15" s="9"/>
      <c r="E15" s="9"/>
      <c r="J15" s="1">
        <v>14</v>
      </c>
      <c r="M15" s="15"/>
      <c r="N15" s="15"/>
      <c r="O15" s="15"/>
      <c r="P15" s="15"/>
      <c r="Q15" s="15"/>
      <c r="R15" s="15"/>
      <c r="S15" s="15"/>
      <c r="T15" s="15"/>
    </row>
    <row r="16" spans="1:20">
      <c r="A16" s="8" t="s">
        <v>122</v>
      </c>
      <c r="B16" s="9" t="s">
        <v>123</v>
      </c>
      <c r="C16" s="9" t="s">
        <v>124</v>
      </c>
      <c r="D16" s="9"/>
      <c r="E16" s="9"/>
      <c r="J16" s="1">
        <v>15</v>
      </c>
      <c r="M16" s="16"/>
      <c r="N16" s="16"/>
      <c r="O16" s="16"/>
      <c r="P16" s="16"/>
      <c r="Q16" s="16"/>
      <c r="R16" s="16"/>
      <c r="S16" s="16"/>
      <c r="T16" s="16"/>
    </row>
    <row r="17" spans="1:20">
      <c r="A17" s="8" t="s">
        <v>125</v>
      </c>
      <c r="B17" s="9" t="s">
        <v>126</v>
      </c>
      <c r="C17" s="9" t="s">
        <v>127</v>
      </c>
      <c r="D17" s="9"/>
      <c r="E17" s="9"/>
      <c r="M17" s="16"/>
      <c r="N17" s="16"/>
      <c r="O17" s="16"/>
      <c r="P17" s="16"/>
      <c r="Q17" s="16"/>
      <c r="R17" s="16"/>
      <c r="S17" s="16"/>
      <c r="T17" s="16"/>
    </row>
    <row r="18" spans="1:20">
      <c r="A18" s="8" t="s">
        <v>128</v>
      </c>
      <c r="B18" s="9" t="s">
        <v>129</v>
      </c>
      <c r="C18" s="9" t="s">
        <v>130</v>
      </c>
      <c r="D18" s="9" t="s">
        <v>131</v>
      </c>
      <c r="E18" s="9" t="s">
        <v>132</v>
      </c>
      <c r="M18" s="16"/>
      <c r="N18" s="16"/>
      <c r="O18" s="16"/>
      <c r="P18" s="16"/>
      <c r="Q18" s="16"/>
      <c r="R18" s="16"/>
      <c r="S18" s="16"/>
      <c r="T18" s="16"/>
    </row>
    <row r="19" spans="1:20">
      <c r="A19" s="8" t="s">
        <v>133</v>
      </c>
      <c r="B19" s="9" t="s">
        <v>134</v>
      </c>
      <c r="C19" s="9" t="s">
        <v>135</v>
      </c>
      <c r="D19" s="9" t="s">
        <v>136</v>
      </c>
      <c r="E19" s="9"/>
      <c r="M19" s="16"/>
      <c r="N19" s="16"/>
      <c r="O19" s="16"/>
      <c r="P19" s="16"/>
      <c r="Q19" s="16"/>
      <c r="R19" s="16"/>
      <c r="S19" s="16"/>
      <c r="T19" s="16"/>
    </row>
    <row r="20" spans="1:20">
      <c r="A20" s="8" t="s">
        <v>137</v>
      </c>
      <c r="B20" s="9" t="s">
        <v>138</v>
      </c>
      <c r="C20" s="9" t="s">
        <v>139</v>
      </c>
      <c r="D20" s="9"/>
      <c r="E20" s="9"/>
      <c r="M20" s="16"/>
      <c r="N20" s="16"/>
      <c r="O20" s="16"/>
      <c r="P20" s="16"/>
      <c r="Q20" s="16"/>
      <c r="R20" s="16"/>
      <c r="S20" s="16"/>
      <c r="T20" s="16"/>
    </row>
    <row r="21" spans="1:20">
      <c r="A21" s="8" t="s">
        <v>22</v>
      </c>
      <c r="B21" s="5" t="s">
        <v>23</v>
      </c>
      <c r="C21" s="1" t="s">
        <v>140</v>
      </c>
      <c r="D21" s="1" t="s">
        <v>141</v>
      </c>
      <c r="E21" s="1" t="s">
        <v>142</v>
      </c>
      <c r="F21" s="1" t="s">
        <v>143</v>
      </c>
      <c r="G21" s="1" t="s">
        <v>144</v>
      </c>
      <c r="H21" s="1" t="s">
        <v>145</v>
      </c>
      <c r="M21" s="16"/>
      <c r="N21" s="16"/>
      <c r="O21" s="16"/>
      <c r="P21" s="16"/>
      <c r="Q21" s="16"/>
      <c r="R21" s="16"/>
      <c r="S21" s="16"/>
      <c r="T21" s="16"/>
    </row>
    <row r="22" spans="2:20">
      <c r="B22" s="10" t="s">
        <v>43</v>
      </c>
      <c r="C22" s="10" t="s">
        <v>43</v>
      </c>
      <c r="D22" s="10" t="s">
        <v>43</v>
      </c>
      <c r="E22" s="10" t="s">
        <v>43</v>
      </c>
      <c r="F22" s="10" t="s">
        <v>43</v>
      </c>
      <c r="G22" s="10" t="s">
        <v>146</v>
      </c>
      <c r="H22" s="10" t="s">
        <v>43</v>
      </c>
      <c r="M22" s="16"/>
      <c r="N22" s="16"/>
      <c r="O22" s="16"/>
      <c r="P22" s="16"/>
      <c r="Q22" s="16"/>
      <c r="R22" s="16"/>
      <c r="S22" s="16"/>
      <c r="T22" s="16"/>
    </row>
    <row r="23" spans="2:20">
      <c r="B23" s="10" t="s">
        <v>147</v>
      </c>
      <c r="C23" s="10" t="s">
        <v>148</v>
      </c>
      <c r="D23" s="10" t="s">
        <v>149</v>
      </c>
      <c r="E23" s="10" t="s">
        <v>150</v>
      </c>
      <c r="F23" s="10" t="s">
        <v>149</v>
      </c>
      <c r="G23" s="10" t="s">
        <v>148</v>
      </c>
      <c r="H23" s="10" t="s">
        <v>148</v>
      </c>
      <c r="M23" s="16"/>
      <c r="N23" s="16"/>
      <c r="O23" s="16"/>
      <c r="P23" s="16"/>
      <c r="Q23" s="16"/>
      <c r="R23" s="16"/>
      <c r="S23" s="16"/>
      <c r="T23" s="16"/>
    </row>
    <row r="24" spans="2:20">
      <c r="B24" s="10" t="s">
        <v>146</v>
      </c>
      <c r="C24" s="10" t="s">
        <v>151</v>
      </c>
      <c r="D24" s="10" t="s">
        <v>148</v>
      </c>
      <c r="E24" s="10" t="s">
        <v>146</v>
      </c>
      <c r="F24" s="10" t="s">
        <v>148</v>
      </c>
      <c r="G24" s="10" t="s">
        <v>151</v>
      </c>
      <c r="H24" s="10" t="s">
        <v>151</v>
      </c>
      <c r="M24" s="16"/>
      <c r="N24" s="16"/>
      <c r="O24" s="16"/>
      <c r="P24" s="16"/>
      <c r="Q24" s="16"/>
      <c r="R24" s="16"/>
      <c r="S24" s="16"/>
      <c r="T24" s="16"/>
    </row>
    <row r="25" spans="2:20">
      <c r="B25" s="10" t="s">
        <v>149</v>
      </c>
      <c r="C25" s="10" t="s">
        <v>152</v>
      </c>
      <c r="D25" s="10" t="s">
        <v>152</v>
      </c>
      <c r="E25" s="10" t="s">
        <v>149</v>
      </c>
      <c r="F25" s="10" t="s">
        <v>152</v>
      </c>
      <c r="G25" s="10" t="s">
        <v>152</v>
      </c>
      <c r="H25" s="10" t="s">
        <v>152</v>
      </c>
      <c r="I25" s="1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2:20">
      <c r="B26" s="10" t="s">
        <v>148</v>
      </c>
      <c r="C26" s="10" t="s">
        <v>153</v>
      </c>
      <c r="D26" s="10" t="s">
        <v>153</v>
      </c>
      <c r="E26" s="10" t="s">
        <v>148</v>
      </c>
      <c r="F26" s="10" t="s">
        <v>153</v>
      </c>
      <c r="G26" s="10" t="s">
        <v>153</v>
      </c>
      <c r="H26" s="10" t="s">
        <v>153</v>
      </c>
      <c r="I26" s="1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2:20">
      <c r="B27" s="10" t="s">
        <v>152</v>
      </c>
      <c r="C27" s="10" t="s">
        <v>154</v>
      </c>
      <c r="D27" s="10" t="s">
        <v>154</v>
      </c>
      <c r="E27" s="10" t="s">
        <v>152</v>
      </c>
      <c r="F27" s="10" t="s">
        <v>154</v>
      </c>
      <c r="G27" s="10" t="s">
        <v>154</v>
      </c>
      <c r="H27" s="10" t="s">
        <v>155</v>
      </c>
      <c r="I27" s="1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2:8">
      <c r="B28" s="10" t="s">
        <v>153</v>
      </c>
      <c r="C28" s="10" t="s">
        <v>155</v>
      </c>
      <c r="D28" s="10" t="s">
        <v>155</v>
      </c>
      <c r="E28" s="10" t="s">
        <v>153</v>
      </c>
      <c r="F28" s="10" t="s">
        <v>155</v>
      </c>
      <c r="G28" s="10" t="s">
        <v>155</v>
      </c>
      <c r="H28" s="10" t="s">
        <v>156</v>
      </c>
    </row>
    <row r="29" spans="2:8">
      <c r="B29" s="10" t="s">
        <v>154</v>
      </c>
      <c r="C29" s="10" t="s">
        <v>147</v>
      </c>
      <c r="D29" s="10" t="s">
        <v>157</v>
      </c>
      <c r="E29" s="10" t="s">
        <v>154</v>
      </c>
      <c r="F29" s="10" t="s">
        <v>158</v>
      </c>
      <c r="G29" s="10" t="s">
        <v>159</v>
      </c>
      <c r="H29" s="10"/>
    </row>
    <row r="30" spans="2:8">
      <c r="B30" s="10" t="s">
        <v>155</v>
      </c>
      <c r="C30" s="10" t="s">
        <v>160</v>
      </c>
      <c r="D30" s="10" t="s">
        <v>158</v>
      </c>
      <c r="E30" s="10" t="s">
        <v>155</v>
      </c>
      <c r="F30" s="10" t="s">
        <v>160</v>
      </c>
      <c r="G30" s="10"/>
      <c r="H30" s="10"/>
    </row>
    <row r="31" spans="2:8">
      <c r="B31" s="10" t="s">
        <v>160</v>
      </c>
      <c r="C31" s="10" t="s">
        <v>161</v>
      </c>
      <c r="D31" s="10"/>
      <c r="E31" s="10" t="s">
        <v>160</v>
      </c>
      <c r="F31" s="10"/>
      <c r="G31" s="10"/>
      <c r="H31" s="10"/>
    </row>
    <row r="32" spans="1:6">
      <c r="A32" s="11" t="s">
        <v>162</v>
      </c>
      <c r="B32" s="12"/>
      <c r="F32" s="1" t="s">
        <v>163</v>
      </c>
    </row>
    <row r="33" spans="1:6">
      <c r="A33" s="13" t="s">
        <v>58</v>
      </c>
      <c r="B33" s="1" t="str">
        <f>IF(OR(Main!C5="Devoted",Main!C6="Devoted"),"_","Weapons")</f>
        <v>Weapons</v>
      </c>
      <c r="C33" s="1" t="s">
        <v>164</v>
      </c>
      <c r="D33" s="1" t="s">
        <v>165</v>
      </c>
      <c r="E33" s="1" t="s">
        <v>166</v>
      </c>
      <c r="F33" s="1">
        <f>Main!L1-1</f>
        <v>0</v>
      </c>
    </row>
    <row r="34" spans="1:6">
      <c r="A34" s="13" t="s">
        <v>59</v>
      </c>
      <c r="B34" s="1" t="str">
        <f>IF(Main!$L$1&gt;=4,IF(OR(Main!$C$5="Devoted",Main!$C$6="Devoted"),"_","Weapons"),"_")</f>
        <v>_</v>
      </c>
      <c r="C34" s="1" t="s">
        <v>167</v>
      </c>
      <c r="D34" s="1" t="s">
        <v>168</v>
      </c>
      <c r="E34" s="1" t="s">
        <v>169</v>
      </c>
      <c r="F34" s="5">
        <f>SUM(Main!D10:J10)</f>
        <v>0</v>
      </c>
    </row>
    <row r="35" spans="1:6">
      <c r="A35" s="13" t="s">
        <v>170</v>
      </c>
      <c r="B35" s="1" t="str">
        <f>IF(Main!$L$1&gt;=7,IF(OR(Main!$C$5="Devoted",Main!$C$6="Devoted"),"_","Weapons"),"_")</f>
        <v>_</v>
      </c>
      <c r="C35" s="1" t="s">
        <v>171</v>
      </c>
      <c r="D35" s="1" t="s">
        <v>172</v>
      </c>
      <c r="E35" s="1" t="s">
        <v>173</v>
      </c>
      <c r="F35" s="5">
        <f>SUM(Main!D14:L14)</f>
        <v>0</v>
      </c>
    </row>
    <row r="36" spans="1:6">
      <c r="A36" s="13" t="s">
        <v>174</v>
      </c>
      <c r="B36" s="1" t="str">
        <f>IF(Main!$L$1&gt;=10,IF(OR(Main!$C$5="Devoted",Main!$C$6="Devoted"),"_","Weapons"),"_")</f>
        <v>_</v>
      </c>
      <c r="C36" s="1" t="s">
        <v>175</v>
      </c>
      <c r="D36" s="1" t="s">
        <v>176</v>
      </c>
      <c r="E36" s="1" t="s">
        <v>177</v>
      </c>
      <c r="F36" s="1">
        <f>F33-F34</f>
        <v>0</v>
      </c>
    </row>
    <row r="37" spans="1:6">
      <c r="A37" s="13" t="s">
        <v>178</v>
      </c>
      <c r="B37" s="1" t="str">
        <f>IF(Main!$L$1&gt;=13,IF(OR(Main!$C$5="Devoted",Main!$C$6="Devoted"),"_","Weapons"),"_")</f>
        <v>_</v>
      </c>
      <c r="C37" s="1" t="s">
        <v>179</v>
      </c>
      <c r="D37" s="1" t="s">
        <v>180</v>
      </c>
      <c r="E37" s="1" t="s">
        <v>181</v>
      </c>
      <c r="F37" s="1">
        <f>F33-F35</f>
        <v>0</v>
      </c>
    </row>
    <row r="38" spans="1:4">
      <c r="A38" s="13" t="s">
        <v>182</v>
      </c>
      <c r="B38" s="1" t="str">
        <f>IF(Main!$L$1&gt;=16,IF(OR(Main!$C$5="Devoted",Main!$C$6="Devoted"),"_","Weapons"),"_")</f>
        <v>_</v>
      </c>
      <c r="C38" s="1" t="s">
        <v>183</v>
      </c>
      <c r="D38" s="1" t="s">
        <v>184</v>
      </c>
    </row>
    <row r="39" spans="1:4">
      <c r="A39" s="13" t="s">
        <v>185</v>
      </c>
      <c r="B39" s="1" t="str">
        <f>IF(Main!$L$1&gt;=19,IF(OR(Main!$C$5="Devoted",Main!$C$6="Devoted"),"_","Weapons"),"_")</f>
        <v>_</v>
      </c>
      <c r="C39" s="1" t="s">
        <v>186</v>
      </c>
      <c r="D39" s="1" t="s">
        <v>187</v>
      </c>
    </row>
    <row r="40" spans="1:4">
      <c r="A40" s="13" t="s">
        <v>188</v>
      </c>
      <c r="C40" s="1" t="s">
        <v>189</v>
      </c>
      <c r="D40" s="1" t="s">
        <v>190</v>
      </c>
    </row>
    <row r="41" spans="1:4">
      <c r="A41" s="13" t="s">
        <v>191</v>
      </c>
      <c r="C41" s="1" t="s">
        <v>192</v>
      </c>
      <c r="D41" s="1" t="s">
        <v>193</v>
      </c>
    </row>
    <row r="42" spans="1:4">
      <c r="A42" s="13" t="s">
        <v>194</v>
      </c>
      <c r="C42" s="1" t="s">
        <v>195</v>
      </c>
      <c r="D42" s="1" t="s">
        <v>196</v>
      </c>
    </row>
    <row r="43" spans="1:4">
      <c r="A43" s="13" t="s">
        <v>197</v>
      </c>
      <c r="C43" s="1" t="s">
        <v>198</v>
      </c>
      <c r="D43" s="1" t="s">
        <v>199</v>
      </c>
    </row>
    <row r="44" spans="1:4">
      <c r="A44" s="13" t="s">
        <v>200</v>
      </c>
      <c r="C44" s="1" t="s">
        <v>201</v>
      </c>
      <c r="D44" s="1" t="s">
        <v>202</v>
      </c>
    </row>
    <row r="45" spans="1:4">
      <c r="A45" s="13" t="s">
        <v>203</v>
      </c>
      <c r="C45" s="1" t="s">
        <v>204</v>
      </c>
      <c r="D45" s="1" t="s">
        <v>205</v>
      </c>
    </row>
    <row r="46" spans="1:4">
      <c r="A46" s="13" t="s">
        <v>206</v>
      </c>
      <c r="C46" s="1" t="s">
        <v>207</v>
      </c>
      <c r="D46" s="1" t="s">
        <v>208</v>
      </c>
    </row>
    <row r="47" spans="1:4">
      <c r="A47" s="13" t="s">
        <v>209</v>
      </c>
      <c r="C47" s="1" t="s">
        <v>210</v>
      </c>
      <c r="D47" s="1" t="s">
        <v>211</v>
      </c>
    </row>
    <row r="48" spans="1:4">
      <c r="A48" s="13" t="s">
        <v>212</v>
      </c>
      <c r="C48" s="1" t="s">
        <v>213</v>
      </c>
      <c r="D48" s="1" t="s">
        <v>214</v>
      </c>
    </row>
    <row r="49" spans="1:4">
      <c r="A49" s="13" t="s">
        <v>215</v>
      </c>
      <c r="C49" s="1" t="s">
        <v>216</v>
      </c>
      <c r="D49" s="1" t="s">
        <v>217</v>
      </c>
    </row>
    <row r="50" spans="1:4">
      <c r="A50" s="13" t="s">
        <v>218</v>
      </c>
      <c r="C50" s="1" t="s">
        <v>219</v>
      </c>
      <c r="D50" s="1" t="s">
        <v>220</v>
      </c>
    </row>
    <row r="51" spans="1:4">
      <c r="A51" s="13" t="s">
        <v>221</v>
      </c>
      <c r="C51" s="1" t="s">
        <v>222</v>
      </c>
      <c r="D51" s="1" t="s">
        <v>223</v>
      </c>
    </row>
    <row r="52" spans="1:4">
      <c r="A52" s="13" t="s">
        <v>224</v>
      </c>
      <c r="C52" s="1" t="s">
        <v>225</v>
      </c>
      <c r="D52" s="1" t="s">
        <v>220</v>
      </c>
    </row>
    <row r="53" spans="1:4">
      <c r="A53" s="13" t="s">
        <v>226</v>
      </c>
      <c r="C53" s="1" t="s">
        <v>227</v>
      </c>
      <c r="D53" s="1" t="s">
        <v>228</v>
      </c>
    </row>
    <row r="54" spans="1:4">
      <c r="A54" s="13" t="s">
        <v>229</v>
      </c>
      <c r="C54" s="1" t="s">
        <v>230</v>
      </c>
      <c r="D54" s="1" t="s">
        <v>220</v>
      </c>
    </row>
    <row r="55" spans="1:4">
      <c r="A55" s="13" t="s">
        <v>231</v>
      </c>
      <c r="C55" s="1" t="s">
        <v>232</v>
      </c>
      <c r="D55" s="1" t="s">
        <v>233</v>
      </c>
    </row>
    <row r="56" spans="1:4">
      <c r="A56" s="13" t="s">
        <v>234</v>
      </c>
      <c r="C56" s="1" t="s">
        <v>235</v>
      </c>
      <c r="D56" s="1" t="s">
        <v>236</v>
      </c>
    </row>
    <row r="57" spans="1:4">
      <c r="A57" s="13" t="s">
        <v>237</v>
      </c>
      <c r="C57" s="1" t="s">
        <v>238</v>
      </c>
      <c r="D57" s="1" t="s">
        <v>239</v>
      </c>
    </row>
    <row r="58" spans="1:4">
      <c r="A58" s="13" t="s">
        <v>240</v>
      </c>
      <c r="C58" s="1" t="s">
        <v>241</v>
      </c>
      <c r="D58" s="1" t="s">
        <v>228</v>
      </c>
    </row>
    <row r="59" spans="1:4">
      <c r="A59" s="13" t="s">
        <v>242</v>
      </c>
      <c r="C59" s="1" t="s">
        <v>243</v>
      </c>
      <c r="D59" s="1" t="s">
        <v>244</v>
      </c>
    </row>
    <row r="60" spans="1:4">
      <c r="A60" s="13" t="s">
        <v>245</v>
      </c>
      <c r="C60" s="1" t="s">
        <v>246</v>
      </c>
      <c r="D60" s="1" t="s">
        <v>247</v>
      </c>
    </row>
    <row r="61" spans="1:4">
      <c r="A61" s="13" t="s">
        <v>248</v>
      </c>
      <c r="C61" s="1" t="s">
        <v>249</v>
      </c>
      <c r="D61" s="1" t="s">
        <v>250</v>
      </c>
    </row>
    <row r="62" spans="1:4">
      <c r="A62" s="13" t="s">
        <v>251</v>
      </c>
      <c r="C62" s="1" t="s">
        <v>252</v>
      </c>
      <c r="D62" s="1" t="s">
        <v>253</v>
      </c>
    </row>
    <row r="63" spans="1:4">
      <c r="A63" s="13" t="s">
        <v>254</v>
      </c>
      <c r="C63" s="1" t="s">
        <v>255</v>
      </c>
      <c r="D63" s="1" t="s">
        <v>256</v>
      </c>
    </row>
    <row r="64" spans="1:4">
      <c r="A64" s="14" t="s">
        <v>57</v>
      </c>
      <c r="C64" s="1" t="s">
        <v>257</v>
      </c>
      <c r="D64" s="1" t="s">
        <v>220</v>
      </c>
    </row>
    <row r="65" spans="1:4">
      <c r="A65" s="1" t="s">
        <v>60</v>
      </c>
      <c r="C65" s="1" t="s">
        <v>60</v>
      </c>
      <c r="D65" s="1" t="s">
        <v>60</v>
      </c>
    </row>
    <row r="68" spans="1:6">
      <c r="A68" s="1" t="s">
        <v>11</v>
      </c>
      <c r="B68" s="1" t="s">
        <v>12</v>
      </c>
      <c r="C68" s="1" t="s">
        <v>13</v>
      </c>
      <c r="D68" s="1" t="s">
        <v>14</v>
      </c>
      <c r="E68" s="1" t="s">
        <v>15</v>
      </c>
      <c r="F68" s="1" t="s">
        <v>16</v>
      </c>
    </row>
    <row r="69" spans="1:7">
      <c r="A69" s="1">
        <v>7</v>
      </c>
      <c r="B69" s="1">
        <v>7</v>
      </c>
      <c r="C69" s="1">
        <v>7</v>
      </c>
      <c r="D69" s="1">
        <v>7</v>
      </c>
      <c r="E69" s="1">
        <v>7</v>
      </c>
      <c r="F69" s="1">
        <v>7</v>
      </c>
      <c r="G69" s="1">
        <f>IF(SUM(A69:F69)-42&lt;=15,SUM(A69:F69)-42,"Done")</f>
        <v>0</v>
      </c>
    </row>
    <row r="70" spans="1:6">
      <c r="A70" s="1">
        <f t="shared" ref="A70:F70" si="0">IF($G$69&lt;&gt;"Done",A69-7,"-")</f>
        <v>0</v>
      </c>
      <c r="B70" s="1">
        <f t="shared" si="0"/>
        <v>0</v>
      </c>
      <c r="C70" s="1">
        <f t="shared" si="0"/>
        <v>0</v>
      </c>
      <c r="D70" s="1">
        <f t="shared" si="0"/>
        <v>0</v>
      </c>
      <c r="E70" s="1">
        <f t="shared" si="0"/>
        <v>0</v>
      </c>
      <c r="F70" s="1">
        <f t="shared" si="0"/>
        <v>0</v>
      </c>
    </row>
    <row r="72" spans="1:7">
      <c r="A72" s="1" t="s">
        <v>35</v>
      </c>
      <c r="B72" s="1" t="s">
        <v>36</v>
      </c>
      <c r="C72" s="1" t="s">
        <v>37</v>
      </c>
      <c r="D72" s="1" t="s">
        <v>38</v>
      </c>
      <c r="E72" s="1" t="s">
        <v>39</v>
      </c>
      <c r="F72" s="1" t="s">
        <v>40</v>
      </c>
      <c r="G72" s="1" t="s">
        <v>41</v>
      </c>
    </row>
    <row r="73" spans="1:8">
      <c r="A73" s="17">
        <v>0</v>
      </c>
      <c r="B73" s="1">
        <v>0</v>
      </c>
      <c r="C73" s="17">
        <v>0</v>
      </c>
      <c r="D73" s="17">
        <v>0</v>
      </c>
      <c r="E73" s="1">
        <v>0</v>
      </c>
      <c r="F73" s="1">
        <v>0</v>
      </c>
      <c r="G73" s="1">
        <v>0</v>
      </c>
      <c r="H73" s="1">
        <f>IF(SUM(A73:G73)&lt;=F33,SUM(A73:G73),"Done")</f>
        <v>0</v>
      </c>
    </row>
    <row r="74" spans="1:7">
      <c r="A74" s="1">
        <f>IF($H$73&lt;&gt;"Done",A73,"-")</f>
        <v>0</v>
      </c>
      <c r="B74" s="1">
        <f t="shared" ref="B74:G74" si="1">IF($H$73&lt;&gt;"Done",B73,"-")</f>
        <v>0</v>
      </c>
      <c r="C74" s="1">
        <f t="shared" si="1"/>
        <v>0</v>
      </c>
      <c r="D74" s="1">
        <f t="shared" si="1"/>
        <v>0</v>
      </c>
      <c r="E74" s="1">
        <f t="shared" si="1"/>
        <v>0</v>
      </c>
      <c r="F74" s="1">
        <f t="shared" si="1"/>
        <v>0</v>
      </c>
      <c r="G74" s="1">
        <f t="shared" si="1"/>
        <v>0</v>
      </c>
    </row>
    <row r="76" spans="1:9">
      <c r="A76" s="1" t="s">
        <v>47</v>
      </c>
      <c r="B76" s="1" t="s">
        <v>48</v>
      </c>
      <c r="C76" s="1" t="s">
        <v>49</v>
      </c>
      <c r="D76" s="1" t="s">
        <v>50</v>
      </c>
      <c r="E76" s="1" t="s">
        <v>51</v>
      </c>
      <c r="F76" s="1" t="s">
        <v>52</v>
      </c>
      <c r="G76" s="1" t="s">
        <v>53</v>
      </c>
      <c r="H76" s="1" t="s">
        <v>54</v>
      </c>
      <c r="I76" s="1" t="s">
        <v>55</v>
      </c>
    </row>
    <row r="77" spans="1:10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f>IF(SUM(A77:I77)&lt;=F33,SUM(A77:I77),"Done")</f>
        <v>0</v>
      </c>
    </row>
    <row r="78" spans="1:9">
      <c r="A78" s="1">
        <f>IF($J$77&lt;&gt;"Done",A77,"-")</f>
        <v>0</v>
      </c>
      <c r="B78" s="1">
        <f t="shared" ref="B78:I78" si="2">IF($J$77&lt;&gt;"Done",B77,"-")</f>
        <v>0</v>
      </c>
      <c r="C78" s="1">
        <f t="shared" si="2"/>
        <v>0</v>
      </c>
      <c r="D78" s="1">
        <f t="shared" si="2"/>
        <v>0</v>
      </c>
      <c r="E78" s="1">
        <f t="shared" si="2"/>
        <v>0</v>
      </c>
      <c r="F78" s="1">
        <f t="shared" si="2"/>
        <v>0</v>
      </c>
      <c r="G78" s="1">
        <f t="shared" si="2"/>
        <v>0</v>
      </c>
      <c r="H78" s="1">
        <f t="shared" si="2"/>
        <v>0</v>
      </c>
      <c r="I78" s="1">
        <f t="shared" si="2"/>
        <v>0</v>
      </c>
    </row>
  </sheetData>
  <sheetProtection password="E147" sheet="1" objects="1"/>
  <mergeCells count="1">
    <mergeCell ref="A32:B32"/>
  </mergeCells>
  <pageMargins left="0.75" right="0.75" top="1" bottom="1" header="0.5" footer="0.5"/>
  <headerFooter/>
  <ignoredErrors>
    <ignoredError sqref="B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To-do</vt:lpstr>
      <vt:lpstr>Main</vt:lpstr>
      <vt:lpstr>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clayy</dc:creator>
  <cp:lastModifiedBy>clayy</cp:lastModifiedBy>
  <dcterms:created xsi:type="dcterms:W3CDTF">2022-10-20T12:36:00Z</dcterms:created>
  <dcterms:modified xsi:type="dcterms:W3CDTF">2022-10-22T14:43:02Z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8D84A378BED1492BBCBAD439E8ABFA7F</vt:lpwstr>
  </property>
  <property fmtid="{D5CDD505-2E9C-101B-9397-08002B2CF9AE}" pid="3" name="KSOProductBuildVer">
    <vt:lpwstr>1033-11.2.0.11373</vt:lpwstr>
  </property>
  <property fmtid="{D5CDD505-2E9C-101B-9397-08002B2CF9AE}" pid="4" name="KSOReadingLayout">
    <vt:bool>false</vt:bool>
  </property>
</Properties>
</file>