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96" windowHeight="10896"/>
  </bookViews>
  <sheets>
    <sheet name="Report" sheetId="1" r:id="rId1"/>
  </sheets>
  <definedNames>
    <definedName name="_xlnm.Print_Area" localSheetId="0">Report!$A$1:$J$54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5" i="1"/>
  <c r="H36"/>
  <c r="H37"/>
  <c r="H38"/>
  <c r="H39"/>
  <c r="H34"/>
  <c r="K37" l="1"/>
  <c r="L37" s="1"/>
  <c r="M37"/>
  <c r="N37" s="1"/>
  <c r="O37" s="1"/>
  <c r="R37"/>
  <c r="S37" s="1"/>
  <c r="T37"/>
  <c r="U37" s="1"/>
  <c r="V37" s="1"/>
  <c r="Y37"/>
  <c r="Z37" s="1"/>
  <c r="AA37"/>
  <c r="AB37"/>
  <c r="AC37"/>
  <c r="AF37"/>
  <c r="AG37" s="1"/>
  <c r="AH37"/>
  <c r="AI37" s="1"/>
  <c r="AJ37" s="1"/>
  <c r="AM37"/>
  <c r="AN37" s="1"/>
  <c r="AO37"/>
  <c r="AP37" s="1"/>
  <c r="AQ37" s="1"/>
  <c r="AR37" s="1"/>
  <c r="AU37"/>
  <c r="AV37"/>
  <c r="AW37" s="1"/>
  <c r="AZ37" s="1"/>
  <c r="AX37"/>
  <c r="AY37" s="1"/>
  <c r="BC37"/>
  <c r="BF37" s="1"/>
  <c r="BD37"/>
  <c r="BE37" s="1"/>
  <c r="BO37"/>
  <c r="BP37" s="1"/>
  <c r="CB37"/>
  <c r="CD37" s="1"/>
  <c r="CC37"/>
  <c r="CF37" s="1"/>
  <c r="CN37"/>
  <c r="CR37" s="1"/>
  <c r="CO37"/>
  <c r="CP37" s="1"/>
  <c r="CQ37"/>
  <c r="DD37"/>
  <c r="K38"/>
  <c r="L38" s="1"/>
  <c r="M38"/>
  <c r="N38" s="1"/>
  <c r="O38" s="1"/>
  <c r="R38"/>
  <c r="S38" s="1"/>
  <c r="T38"/>
  <c r="U38" s="1"/>
  <c r="V38" s="1"/>
  <c r="Y38"/>
  <c r="Z38" s="1"/>
  <c r="AA38"/>
  <c r="AB38"/>
  <c r="AC38" s="1"/>
  <c r="AF38"/>
  <c r="AG38" s="1"/>
  <c r="AH38"/>
  <c r="AI38" s="1"/>
  <c r="AJ38" s="1"/>
  <c r="AM38"/>
  <c r="AN38" s="1"/>
  <c r="AO38"/>
  <c r="AP38" s="1"/>
  <c r="AQ38" s="1"/>
  <c r="AR38" s="1"/>
  <c r="AU38"/>
  <c r="AV38" s="1"/>
  <c r="AW38" s="1"/>
  <c r="AZ38" s="1"/>
  <c r="AX38"/>
  <c r="AY38" s="1"/>
  <c r="BC38"/>
  <c r="BF38" s="1"/>
  <c r="BD38"/>
  <c r="BE38" s="1"/>
  <c r="BM38"/>
  <c r="BO38"/>
  <c r="BP38" s="1"/>
  <c r="CB38"/>
  <c r="CC38"/>
  <c r="CF38" s="1"/>
  <c r="CD38"/>
  <c r="CI38"/>
  <c r="CN38"/>
  <c r="CR38" s="1"/>
  <c r="CO38"/>
  <c r="CP38" s="1"/>
  <c r="CQ38"/>
  <c r="CX38"/>
  <c r="DD38"/>
  <c r="K23"/>
  <c r="L23" s="1"/>
  <c r="M23"/>
  <c r="N23" s="1"/>
  <c r="O23" s="1"/>
  <c r="R23"/>
  <c r="S23" s="1"/>
  <c r="T23"/>
  <c r="U23" s="1"/>
  <c r="V23" s="1"/>
  <c r="Y23"/>
  <c r="Z23" s="1"/>
  <c r="AA23"/>
  <c r="AB23"/>
  <c r="AC23" s="1"/>
  <c r="AD23" s="1"/>
  <c r="AF23"/>
  <c r="AG23" s="1"/>
  <c r="AH23"/>
  <c r="AI23" s="1"/>
  <c r="AJ23" s="1"/>
  <c r="AM23"/>
  <c r="AN23" s="1"/>
  <c r="AO23"/>
  <c r="AP23" s="1"/>
  <c r="AQ23" s="1"/>
  <c r="AR23" s="1"/>
  <c r="AU23"/>
  <c r="AV23" s="1"/>
  <c r="AW23" s="1"/>
  <c r="AZ23" s="1"/>
  <c r="AX23"/>
  <c r="AY23" s="1"/>
  <c r="BC23"/>
  <c r="BF23" s="1"/>
  <c r="BD23"/>
  <c r="BE23" s="1"/>
  <c r="BG23"/>
  <c r="BO23"/>
  <c r="BP23" s="1"/>
  <c r="CB23"/>
  <c r="CC23"/>
  <c r="CF23" s="1"/>
  <c r="CD23"/>
  <c r="CN23"/>
  <c r="CR23" s="1"/>
  <c r="CO23"/>
  <c r="CP23" s="1"/>
  <c r="DD23"/>
  <c r="K24"/>
  <c r="L24" s="1"/>
  <c r="M24"/>
  <c r="N24" s="1"/>
  <c r="O24" s="1"/>
  <c r="R24"/>
  <c r="S24" s="1"/>
  <c r="T24"/>
  <c r="U24" s="1"/>
  <c r="V24" s="1"/>
  <c r="Y24"/>
  <c r="Z24" s="1"/>
  <c r="AA24"/>
  <c r="AB24"/>
  <c r="AC24" s="1"/>
  <c r="AD24" s="1"/>
  <c r="AF24"/>
  <c r="AG24" s="1"/>
  <c r="AH24"/>
  <c r="AI24" s="1"/>
  <c r="AJ24" s="1"/>
  <c r="AM24"/>
  <c r="AN24" s="1"/>
  <c r="AO24"/>
  <c r="AP24" s="1"/>
  <c r="AQ24" s="1"/>
  <c r="AR24" s="1"/>
  <c r="AU24"/>
  <c r="AV24" s="1"/>
  <c r="AW24" s="1"/>
  <c r="AZ24" s="1"/>
  <c r="AX24"/>
  <c r="AY24" s="1"/>
  <c r="BC24"/>
  <c r="BM24" s="1"/>
  <c r="BD24"/>
  <c r="BE24" s="1"/>
  <c r="BI24"/>
  <c r="BO24"/>
  <c r="BQ24" s="1"/>
  <c r="CB24"/>
  <c r="CC24"/>
  <c r="CI24" s="1"/>
  <c r="CD24"/>
  <c r="CE24"/>
  <c r="CN24"/>
  <c r="CR24" s="1"/>
  <c r="CO24"/>
  <c r="CP24" s="1"/>
  <c r="CQ24"/>
  <c r="CT24"/>
  <c r="CX24"/>
  <c r="DD24"/>
  <c r="CX37" l="1"/>
  <c r="CS37"/>
  <c r="CT38"/>
  <c r="BS38"/>
  <c r="CT37"/>
  <c r="CE37"/>
  <c r="CG37" s="1"/>
  <c r="CU37"/>
  <c r="CI37"/>
  <c r="BA37"/>
  <c r="AS37"/>
  <c r="AK37"/>
  <c r="F37" s="1"/>
  <c r="AD37"/>
  <c r="W37"/>
  <c r="P37"/>
  <c r="CU24"/>
  <c r="CV24" s="1"/>
  <c r="AS24"/>
  <c r="BS23"/>
  <c r="BM23"/>
  <c r="CX23"/>
  <c r="CQ23"/>
  <c r="CS23" s="1"/>
  <c r="BS24"/>
  <c r="W24"/>
  <c r="P24"/>
  <c r="CT23"/>
  <c r="BI23"/>
  <c r="CU38"/>
  <c r="CV38" s="1"/>
  <c r="BW38"/>
  <c r="BQ38"/>
  <c r="CS24"/>
  <c r="CW24" s="1"/>
  <c r="CY24" s="1"/>
  <c r="BW24"/>
  <c r="AK24"/>
  <c r="F24" s="1"/>
  <c r="BW23"/>
  <c r="BQ23"/>
  <c r="BA23"/>
  <c r="BS37"/>
  <c r="BI37"/>
  <c r="CU23"/>
  <c r="CV23" s="1"/>
  <c r="BR23"/>
  <c r="BH23"/>
  <c r="AS23"/>
  <c r="AK23"/>
  <c r="F23" s="1"/>
  <c r="W23"/>
  <c r="P23"/>
  <c r="CS38"/>
  <c r="BR38"/>
  <c r="CV37"/>
  <c r="CW37" s="1"/>
  <c r="BW37"/>
  <c r="BQ37"/>
  <c r="BR37" s="1"/>
  <c r="BM37"/>
  <c r="BG37"/>
  <c r="BH37" s="1"/>
  <c r="BA38"/>
  <c r="AS38"/>
  <c r="AK38"/>
  <c r="F38" s="1"/>
  <c r="AD38"/>
  <c r="W38"/>
  <c r="P38"/>
  <c r="CY37"/>
  <c r="CE38"/>
  <c r="CG38" s="1"/>
  <c r="BI38"/>
  <c r="BG38"/>
  <c r="BH38" s="1"/>
  <c r="CL38"/>
  <c r="CH38"/>
  <c r="CJ38" s="1"/>
  <c r="BT38"/>
  <c r="BU38" s="1"/>
  <c r="BV38" s="1"/>
  <c r="BX38" s="1"/>
  <c r="BJ38"/>
  <c r="CL37"/>
  <c r="CH37"/>
  <c r="BT37"/>
  <c r="BU37" s="1"/>
  <c r="BJ37"/>
  <c r="BF24"/>
  <c r="BJ24"/>
  <c r="BK24" s="1"/>
  <c r="CF24"/>
  <c r="CG24" s="1"/>
  <c r="CH24"/>
  <c r="CJ24" s="1"/>
  <c r="CL24"/>
  <c r="BP24"/>
  <c r="BR24" s="1"/>
  <c r="BT24"/>
  <c r="BU24" s="1"/>
  <c r="BG24"/>
  <c r="BA24"/>
  <c r="CI23"/>
  <c r="CE23"/>
  <c r="CG23" s="1"/>
  <c r="CL23"/>
  <c r="CH23"/>
  <c r="BT23"/>
  <c r="BU23" s="1"/>
  <c r="BJ23"/>
  <c r="BK23" s="1"/>
  <c r="BL23" s="1"/>
  <c r="BN23" s="1"/>
  <c r="H23"/>
  <c r="C26"/>
  <c r="H24"/>
  <c r="H25"/>
  <c r="CW23" l="1"/>
  <c r="CY23" s="1"/>
  <c r="CJ37"/>
  <c r="CJ23"/>
  <c r="BV24"/>
  <c r="BX24" s="1"/>
  <c r="CW38"/>
  <c r="CY38" s="1"/>
  <c r="BK37"/>
  <c r="CK37"/>
  <c r="CM37" s="1"/>
  <c r="BV23"/>
  <c r="BX23" s="1"/>
  <c r="BV37"/>
  <c r="BX37" s="1"/>
  <c r="BL37"/>
  <c r="BN37" s="1"/>
  <c r="CZ37"/>
  <c r="DA37" s="1"/>
  <c r="DB37" s="1"/>
  <c r="BK38"/>
  <c r="BL38" s="1"/>
  <c r="BN38" s="1"/>
  <c r="CK38"/>
  <c r="CM38" s="1"/>
  <c r="BY23"/>
  <c r="BZ23" s="1"/>
  <c r="CA23" s="1"/>
  <c r="CK23"/>
  <c r="CM23" s="1"/>
  <c r="BH24"/>
  <c r="BL24" s="1"/>
  <c r="BN24" s="1"/>
  <c r="CK24"/>
  <c r="CM24" s="1"/>
  <c r="E41"/>
  <c r="C40"/>
  <c r="DD39"/>
  <c r="CO39"/>
  <c r="CP39" s="1"/>
  <c r="CN39"/>
  <c r="CX39" s="1"/>
  <c r="CC39"/>
  <c r="CI39" s="1"/>
  <c r="CB39"/>
  <c r="CD39" s="1"/>
  <c r="BO39"/>
  <c r="BW39" s="1"/>
  <c r="BD39"/>
  <c r="BE39" s="1"/>
  <c r="BC39"/>
  <c r="BM39" s="1"/>
  <c r="AX39"/>
  <c r="AY39" s="1"/>
  <c r="AU39"/>
  <c r="AV39" s="1"/>
  <c r="AW39" s="1"/>
  <c r="AZ39" s="1"/>
  <c r="AO39"/>
  <c r="AP39" s="1"/>
  <c r="AQ39" s="1"/>
  <c r="AR39" s="1"/>
  <c r="AM39"/>
  <c r="AN39" s="1"/>
  <c r="AH39"/>
  <c r="AI39" s="1"/>
  <c r="AJ39" s="1"/>
  <c r="AF39"/>
  <c r="AG39" s="1"/>
  <c r="AB39"/>
  <c r="AC39" s="1"/>
  <c r="AA39"/>
  <c r="Y39"/>
  <c r="Z39" s="1"/>
  <c r="T39"/>
  <c r="U39" s="1"/>
  <c r="V39" s="1"/>
  <c r="R39"/>
  <c r="S39" s="1"/>
  <c r="M39"/>
  <c r="N39" s="1"/>
  <c r="O39" s="1"/>
  <c r="K39"/>
  <c r="L39" s="1"/>
  <c r="DN36"/>
  <c r="DL36"/>
  <c r="DD36"/>
  <c r="CO36"/>
  <c r="CP36" s="1"/>
  <c r="CN36"/>
  <c r="CX36" s="1"/>
  <c r="CC36"/>
  <c r="CE36" s="1"/>
  <c r="CB36"/>
  <c r="CD36" s="1"/>
  <c r="BO36"/>
  <c r="BQ36" s="1"/>
  <c r="BD36"/>
  <c r="BE36" s="1"/>
  <c r="BC36"/>
  <c r="BI36" s="1"/>
  <c r="AX36"/>
  <c r="AY36" s="1"/>
  <c r="AU36"/>
  <c r="AV36" s="1"/>
  <c r="AW36" s="1"/>
  <c r="AZ36" s="1"/>
  <c r="AO36"/>
  <c r="AP36" s="1"/>
  <c r="AQ36" s="1"/>
  <c r="AR36" s="1"/>
  <c r="AM36"/>
  <c r="AN36" s="1"/>
  <c r="AH36"/>
  <c r="AI36" s="1"/>
  <c r="AJ36" s="1"/>
  <c r="AF36"/>
  <c r="AG36" s="1"/>
  <c r="AB36"/>
  <c r="AC36" s="1"/>
  <c r="AA36"/>
  <c r="Y36"/>
  <c r="Z36" s="1"/>
  <c r="T36"/>
  <c r="U36" s="1"/>
  <c r="V36" s="1"/>
  <c r="R36"/>
  <c r="S36" s="1"/>
  <c r="M36"/>
  <c r="N36" s="1"/>
  <c r="O36" s="1"/>
  <c r="K36"/>
  <c r="L36" s="1"/>
  <c r="DD35"/>
  <c r="CO35"/>
  <c r="CP35" s="1"/>
  <c r="CN35"/>
  <c r="CC35"/>
  <c r="CI35" s="1"/>
  <c r="CB35"/>
  <c r="CD35" s="1"/>
  <c r="BO35"/>
  <c r="BW35" s="1"/>
  <c r="BD35"/>
  <c r="BE35" s="1"/>
  <c r="BC35"/>
  <c r="BM35" s="1"/>
  <c r="AX35"/>
  <c r="AY35" s="1"/>
  <c r="AU35"/>
  <c r="AV35" s="1"/>
  <c r="AW35" s="1"/>
  <c r="AZ35" s="1"/>
  <c r="AO35"/>
  <c r="AP35" s="1"/>
  <c r="AQ35" s="1"/>
  <c r="AR35" s="1"/>
  <c r="AM35"/>
  <c r="AN35" s="1"/>
  <c r="AH35"/>
  <c r="AI35" s="1"/>
  <c r="AJ35" s="1"/>
  <c r="AF35"/>
  <c r="AG35" s="1"/>
  <c r="AB35"/>
  <c r="AC35" s="1"/>
  <c r="AA35"/>
  <c r="Y35"/>
  <c r="Z35" s="1"/>
  <c r="T35"/>
  <c r="U35" s="1"/>
  <c r="V35" s="1"/>
  <c r="R35"/>
  <c r="S35" s="1"/>
  <c r="M35"/>
  <c r="N35" s="1"/>
  <c r="O35" s="1"/>
  <c r="K35"/>
  <c r="L35" s="1"/>
  <c r="DD34"/>
  <c r="CO34"/>
  <c r="CP34" s="1"/>
  <c r="CN34"/>
  <c r="CX34" s="1"/>
  <c r="CC34"/>
  <c r="CI34" s="1"/>
  <c r="CB34"/>
  <c r="CD34" s="1"/>
  <c r="BO34"/>
  <c r="BQ34" s="1"/>
  <c r="BD34"/>
  <c r="BE34" s="1"/>
  <c r="BC34"/>
  <c r="BI34" s="1"/>
  <c r="AX34"/>
  <c r="AY34" s="1"/>
  <c r="AU34"/>
  <c r="AV34" s="1"/>
  <c r="AW34" s="1"/>
  <c r="AZ34" s="1"/>
  <c r="AO34"/>
  <c r="AP34" s="1"/>
  <c r="AQ34" s="1"/>
  <c r="AR34" s="1"/>
  <c r="AM34"/>
  <c r="AN34" s="1"/>
  <c r="AH34"/>
  <c r="AI34" s="1"/>
  <c r="AJ34" s="1"/>
  <c r="AF34"/>
  <c r="AG34" s="1"/>
  <c r="AB34"/>
  <c r="AC34" s="1"/>
  <c r="AA34"/>
  <c r="Y34"/>
  <c r="Z34" s="1"/>
  <c r="T34"/>
  <c r="U34" s="1"/>
  <c r="V34" s="1"/>
  <c r="R34"/>
  <c r="S34" s="1"/>
  <c r="M34"/>
  <c r="N34" s="1"/>
  <c r="O34" s="1"/>
  <c r="K34"/>
  <c r="L34" s="1"/>
  <c r="G32"/>
  <c r="E32"/>
  <c r="M31"/>
  <c r="D31"/>
  <c r="E27"/>
  <c r="DD25"/>
  <c r="CO25"/>
  <c r="CP25" s="1"/>
  <c r="CN25"/>
  <c r="CX25" s="1"/>
  <c r="CC25"/>
  <c r="CE25" s="1"/>
  <c r="CB25"/>
  <c r="CD25" s="1"/>
  <c r="BO25"/>
  <c r="BQ25" s="1"/>
  <c r="BD25"/>
  <c r="BE25" s="1"/>
  <c r="BC25"/>
  <c r="AX25"/>
  <c r="AY25" s="1"/>
  <c r="AU25"/>
  <c r="AV25" s="1"/>
  <c r="AW25" s="1"/>
  <c r="AZ25" s="1"/>
  <c r="AO25"/>
  <c r="AP25" s="1"/>
  <c r="AQ25" s="1"/>
  <c r="AR25" s="1"/>
  <c r="AM25"/>
  <c r="AN25" s="1"/>
  <c r="AH25"/>
  <c r="AI25" s="1"/>
  <c r="AJ25" s="1"/>
  <c r="AF25"/>
  <c r="AG25" s="1"/>
  <c r="AB25"/>
  <c r="AC25" s="1"/>
  <c r="AA25"/>
  <c r="Y25"/>
  <c r="Z25" s="1"/>
  <c r="T25"/>
  <c r="U25" s="1"/>
  <c r="V25" s="1"/>
  <c r="R25"/>
  <c r="S25" s="1"/>
  <c r="M25"/>
  <c r="N25" s="1"/>
  <c r="O25" s="1"/>
  <c r="K25"/>
  <c r="L25" s="1"/>
  <c r="DD22"/>
  <c r="CO22"/>
  <c r="CP22" s="1"/>
  <c r="CN22"/>
  <c r="CR22" s="1"/>
  <c r="CC22"/>
  <c r="CI22" s="1"/>
  <c r="CB22"/>
  <c r="CD22" s="1"/>
  <c r="BO22"/>
  <c r="BW22" s="1"/>
  <c r="BD22"/>
  <c r="BE22" s="1"/>
  <c r="BC22"/>
  <c r="BM22" s="1"/>
  <c r="AX22"/>
  <c r="AY22" s="1"/>
  <c r="AU22"/>
  <c r="AV22" s="1"/>
  <c r="AW22" s="1"/>
  <c r="AZ22" s="1"/>
  <c r="AO22"/>
  <c r="AP22" s="1"/>
  <c r="AQ22" s="1"/>
  <c r="AR22" s="1"/>
  <c r="AM22"/>
  <c r="AN22" s="1"/>
  <c r="AH22"/>
  <c r="AI22" s="1"/>
  <c r="AJ22" s="1"/>
  <c r="AF22"/>
  <c r="AG22" s="1"/>
  <c r="AB22"/>
  <c r="AC22" s="1"/>
  <c r="AA22"/>
  <c r="Y22"/>
  <c r="Z22" s="1"/>
  <c r="T22"/>
  <c r="U22" s="1"/>
  <c r="V22" s="1"/>
  <c r="R22"/>
  <c r="S22" s="1"/>
  <c r="M22"/>
  <c r="N22" s="1"/>
  <c r="O22" s="1"/>
  <c r="K22"/>
  <c r="L22" s="1"/>
  <c r="H22"/>
  <c r="DD21"/>
  <c r="CO21"/>
  <c r="CP21" s="1"/>
  <c r="CN21"/>
  <c r="CX21" s="1"/>
  <c r="CC21"/>
  <c r="CB21"/>
  <c r="CD21" s="1"/>
  <c r="BO21"/>
  <c r="BD21"/>
  <c r="BE21" s="1"/>
  <c r="BC21"/>
  <c r="BG21" s="1"/>
  <c r="AX21"/>
  <c r="AY21" s="1"/>
  <c r="AU21"/>
  <c r="AV21" s="1"/>
  <c r="AW21" s="1"/>
  <c r="AZ21" s="1"/>
  <c r="AO21"/>
  <c r="AP21" s="1"/>
  <c r="AQ21" s="1"/>
  <c r="AR21" s="1"/>
  <c r="AM21"/>
  <c r="AN21" s="1"/>
  <c r="AH21"/>
  <c r="AI21" s="1"/>
  <c r="AJ21" s="1"/>
  <c r="AF21"/>
  <c r="AG21" s="1"/>
  <c r="AB21"/>
  <c r="AC21" s="1"/>
  <c r="AA21"/>
  <c r="Y21"/>
  <c r="Z21" s="1"/>
  <c r="T21"/>
  <c r="U21" s="1"/>
  <c r="V21" s="1"/>
  <c r="R21"/>
  <c r="S21" s="1"/>
  <c r="M21"/>
  <c r="N21" s="1"/>
  <c r="O21" s="1"/>
  <c r="K21"/>
  <c r="L21" s="1"/>
  <c r="H21"/>
  <c r="DD20"/>
  <c r="CO20"/>
  <c r="CP20" s="1"/>
  <c r="CN20"/>
  <c r="CT20" s="1"/>
  <c r="CC20"/>
  <c r="CI20" s="1"/>
  <c r="CB20"/>
  <c r="CD20" s="1"/>
  <c r="BO20"/>
  <c r="BQ20" s="1"/>
  <c r="BD20"/>
  <c r="BE20" s="1"/>
  <c r="BC20"/>
  <c r="AX20"/>
  <c r="AY20" s="1"/>
  <c r="AU20"/>
  <c r="AV20" s="1"/>
  <c r="AW20" s="1"/>
  <c r="AZ20" s="1"/>
  <c r="AO20"/>
  <c r="AP20" s="1"/>
  <c r="AQ20" s="1"/>
  <c r="AR20" s="1"/>
  <c r="AM20"/>
  <c r="AN20" s="1"/>
  <c r="AH20"/>
  <c r="AI20" s="1"/>
  <c r="AJ20" s="1"/>
  <c r="AF20"/>
  <c r="AG20" s="1"/>
  <c r="AB20"/>
  <c r="AC20" s="1"/>
  <c r="AA20"/>
  <c r="Y20"/>
  <c r="Z20" s="1"/>
  <c r="T20"/>
  <c r="U20" s="1"/>
  <c r="V20" s="1"/>
  <c r="R20"/>
  <c r="S20" s="1"/>
  <c r="M20"/>
  <c r="N20" s="1"/>
  <c r="O20" s="1"/>
  <c r="K20"/>
  <c r="L20" s="1"/>
  <c r="H20"/>
  <c r="DD19"/>
  <c r="CO19"/>
  <c r="CP19" s="1"/>
  <c r="CN19"/>
  <c r="CR19" s="1"/>
  <c r="CC19"/>
  <c r="CI19" s="1"/>
  <c r="CB19"/>
  <c r="CD19" s="1"/>
  <c r="BO19"/>
  <c r="BW19" s="1"/>
  <c r="BD19"/>
  <c r="BE19" s="1"/>
  <c r="BC19"/>
  <c r="BM19" s="1"/>
  <c r="AX19"/>
  <c r="AY19" s="1"/>
  <c r="AU19"/>
  <c r="AV19" s="1"/>
  <c r="AW19" s="1"/>
  <c r="AZ19" s="1"/>
  <c r="AO19"/>
  <c r="AP19" s="1"/>
  <c r="AQ19" s="1"/>
  <c r="AR19" s="1"/>
  <c r="AM19"/>
  <c r="AN19" s="1"/>
  <c r="AH19"/>
  <c r="AI19" s="1"/>
  <c r="AJ19" s="1"/>
  <c r="AF19"/>
  <c r="AG19" s="1"/>
  <c r="AB19"/>
  <c r="AC19" s="1"/>
  <c r="AA19"/>
  <c r="Y19"/>
  <c r="Z19" s="1"/>
  <c r="AD19" s="1"/>
  <c r="T19"/>
  <c r="U19" s="1"/>
  <c r="V19" s="1"/>
  <c r="R19"/>
  <c r="S19" s="1"/>
  <c r="M19"/>
  <c r="N19" s="1"/>
  <c r="O19" s="1"/>
  <c r="K19"/>
  <c r="L19" s="1"/>
  <c r="H19"/>
  <c r="DD18"/>
  <c r="CO18"/>
  <c r="CP18" s="1"/>
  <c r="CN18"/>
  <c r="CX18" s="1"/>
  <c r="CC18"/>
  <c r="CB18"/>
  <c r="CD18" s="1"/>
  <c r="BO18"/>
  <c r="BD18"/>
  <c r="BE18" s="1"/>
  <c r="BC18"/>
  <c r="BG18" s="1"/>
  <c r="AX18"/>
  <c r="AY18" s="1"/>
  <c r="AU18"/>
  <c r="AV18" s="1"/>
  <c r="AW18" s="1"/>
  <c r="AZ18" s="1"/>
  <c r="AO18"/>
  <c r="AP18" s="1"/>
  <c r="AQ18" s="1"/>
  <c r="AR18" s="1"/>
  <c r="AM18"/>
  <c r="AN18" s="1"/>
  <c r="AH18"/>
  <c r="AI18" s="1"/>
  <c r="AJ18" s="1"/>
  <c r="AF18"/>
  <c r="AG18" s="1"/>
  <c r="AB18"/>
  <c r="AC18" s="1"/>
  <c r="AA18"/>
  <c r="Y18"/>
  <c r="Z18" s="1"/>
  <c r="T18"/>
  <c r="U18" s="1"/>
  <c r="V18" s="1"/>
  <c r="R18"/>
  <c r="S18" s="1"/>
  <c r="M18"/>
  <c r="N18" s="1"/>
  <c r="O18" s="1"/>
  <c r="K18"/>
  <c r="L18" s="1"/>
  <c r="H18"/>
  <c r="DD17"/>
  <c r="CO17"/>
  <c r="CP17" s="1"/>
  <c r="CN17"/>
  <c r="CC17"/>
  <c r="CI17" s="1"/>
  <c r="CB17"/>
  <c r="CD17" s="1"/>
  <c r="BO17"/>
  <c r="BW17" s="1"/>
  <c r="BD17"/>
  <c r="BE17" s="1"/>
  <c r="BC17"/>
  <c r="BM17" s="1"/>
  <c r="AX17"/>
  <c r="AY17" s="1"/>
  <c r="AU17"/>
  <c r="AV17" s="1"/>
  <c r="AW17" s="1"/>
  <c r="AZ17" s="1"/>
  <c r="AO17"/>
  <c r="AP17" s="1"/>
  <c r="AQ17" s="1"/>
  <c r="AR17" s="1"/>
  <c r="AM17"/>
  <c r="AN17" s="1"/>
  <c r="AH17"/>
  <c r="AI17" s="1"/>
  <c r="AJ17" s="1"/>
  <c r="AF17"/>
  <c r="AG17" s="1"/>
  <c r="AB17"/>
  <c r="AC17" s="1"/>
  <c r="AA17"/>
  <c r="Y17"/>
  <c r="Z17" s="1"/>
  <c r="T17"/>
  <c r="U17" s="1"/>
  <c r="V17" s="1"/>
  <c r="R17"/>
  <c r="S17" s="1"/>
  <c r="M17"/>
  <c r="N17" s="1"/>
  <c r="O17" s="1"/>
  <c r="K17"/>
  <c r="L17" s="1"/>
  <c r="H17"/>
  <c r="DN16"/>
  <c r="DL16"/>
  <c r="DD16"/>
  <c r="CO16"/>
  <c r="CP16" s="1"/>
  <c r="CN16"/>
  <c r="CX16" s="1"/>
  <c r="CC16"/>
  <c r="CI16" s="1"/>
  <c r="CB16"/>
  <c r="CD16" s="1"/>
  <c r="BO16"/>
  <c r="BQ16" s="1"/>
  <c r="BD16"/>
  <c r="BE16" s="1"/>
  <c r="BC16"/>
  <c r="AX16"/>
  <c r="AY16" s="1"/>
  <c r="AU16"/>
  <c r="AV16" s="1"/>
  <c r="AW16" s="1"/>
  <c r="AZ16" s="1"/>
  <c r="AO16"/>
  <c r="AP16" s="1"/>
  <c r="AQ16" s="1"/>
  <c r="AR16" s="1"/>
  <c r="AM16"/>
  <c r="AN16" s="1"/>
  <c r="AH16"/>
  <c r="AI16" s="1"/>
  <c r="AJ16" s="1"/>
  <c r="AF16"/>
  <c r="AG16" s="1"/>
  <c r="AB16"/>
  <c r="AC16" s="1"/>
  <c r="AA16"/>
  <c r="Y16"/>
  <c r="Z16" s="1"/>
  <c r="T16"/>
  <c r="U16" s="1"/>
  <c r="V16" s="1"/>
  <c r="R16"/>
  <c r="S16" s="1"/>
  <c r="M16"/>
  <c r="N16" s="1"/>
  <c r="O16" s="1"/>
  <c r="K16"/>
  <c r="L16" s="1"/>
  <c r="H16"/>
  <c r="DD15"/>
  <c r="CO15"/>
  <c r="CP15" s="1"/>
  <c r="CN15"/>
  <c r="CR15" s="1"/>
  <c r="CC15"/>
  <c r="CI15" s="1"/>
  <c r="CB15"/>
  <c r="CD15" s="1"/>
  <c r="BO15"/>
  <c r="BW15" s="1"/>
  <c r="BD15"/>
  <c r="BE15" s="1"/>
  <c r="BC15"/>
  <c r="BM15" s="1"/>
  <c r="AX15"/>
  <c r="AY15" s="1"/>
  <c r="AU15"/>
  <c r="AV15" s="1"/>
  <c r="AW15" s="1"/>
  <c r="AZ15" s="1"/>
  <c r="AO15"/>
  <c r="AP15" s="1"/>
  <c r="AQ15" s="1"/>
  <c r="AR15" s="1"/>
  <c r="AM15"/>
  <c r="AN15" s="1"/>
  <c r="AH15"/>
  <c r="AI15" s="1"/>
  <c r="AJ15" s="1"/>
  <c r="AF15"/>
  <c r="AG15" s="1"/>
  <c r="AB15"/>
  <c r="AC15" s="1"/>
  <c r="AA15"/>
  <c r="Y15"/>
  <c r="Z15" s="1"/>
  <c r="AD15" s="1"/>
  <c r="T15"/>
  <c r="U15" s="1"/>
  <c r="V15" s="1"/>
  <c r="R15"/>
  <c r="S15" s="1"/>
  <c r="M15"/>
  <c r="N15" s="1"/>
  <c r="O15" s="1"/>
  <c r="K15"/>
  <c r="L15" s="1"/>
  <c r="H15"/>
  <c r="DD14"/>
  <c r="CO14"/>
  <c r="CP14" s="1"/>
  <c r="CN14"/>
  <c r="CX14" s="1"/>
  <c r="CC14"/>
  <c r="CB14"/>
  <c r="CD14" s="1"/>
  <c r="BO14"/>
  <c r="BD14"/>
  <c r="BE14" s="1"/>
  <c r="BC14"/>
  <c r="BG14" s="1"/>
  <c r="AX14"/>
  <c r="AY14" s="1"/>
  <c r="AU14"/>
  <c r="AV14" s="1"/>
  <c r="AW14" s="1"/>
  <c r="AZ14" s="1"/>
  <c r="AO14"/>
  <c r="AP14" s="1"/>
  <c r="AQ14" s="1"/>
  <c r="AR14" s="1"/>
  <c r="AM14"/>
  <c r="AN14" s="1"/>
  <c r="AH14"/>
  <c r="AI14" s="1"/>
  <c r="AJ14" s="1"/>
  <c r="AF14"/>
  <c r="AG14" s="1"/>
  <c r="AB14"/>
  <c r="AC14" s="1"/>
  <c r="AA14"/>
  <c r="Y14"/>
  <c r="Z14" s="1"/>
  <c r="T14"/>
  <c r="U14" s="1"/>
  <c r="V14" s="1"/>
  <c r="R14"/>
  <c r="S14" s="1"/>
  <c r="M14"/>
  <c r="N14" s="1"/>
  <c r="O14" s="1"/>
  <c r="K14"/>
  <c r="L14" s="1"/>
  <c r="H14"/>
  <c r="G12"/>
  <c r="G24" s="1"/>
  <c r="E12"/>
  <c r="M11"/>
  <c r="D11"/>
  <c r="J24" l="1"/>
  <c r="I24"/>
  <c r="G37"/>
  <c r="G23"/>
  <c r="AK14"/>
  <c r="F14" s="1"/>
  <c r="CF20"/>
  <c r="G38"/>
  <c r="BY37"/>
  <c r="BZ37" s="1"/>
  <c r="CA37" s="1"/>
  <c r="DC37" s="1"/>
  <c r="DE37" s="1"/>
  <c r="DF37" s="1"/>
  <c r="CZ38"/>
  <c r="DA38" s="1"/>
  <c r="DB38" s="1"/>
  <c r="BY38"/>
  <c r="BZ38" s="1"/>
  <c r="CA38" s="1"/>
  <c r="BY24"/>
  <c r="BZ24" s="1"/>
  <c r="CA24" s="1"/>
  <c r="CZ24"/>
  <c r="DA24" s="1"/>
  <c r="DB24" s="1"/>
  <c r="CZ23"/>
  <c r="DA23" s="1"/>
  <c r="DB23" s="1"/>
  <c r="DC23" s="1"/>
  <c r="DE23" s="1"/>
  <c r="DF23" s="1"/>
  <c r="CE34"/>
  <c r="P34"/>
  <c r="W35"/>
  <c r="AS19"/>
  <c r="AD20"/>
  <c r="AK20"/>
  <c r="F20" s="1"/>
  <c r="G20" s="1"/>
  <c r="AS20"/>
  <c r="BA25"/>
  <c r="AD16"/>
  <c r="BA14"/>
  <c r="AS14"/>
  <c r="AS15"/>
  <c r="AK16"/>
  <c r="F16" s="1"/>
  <c r="G16" s="1"/>
  <c r="AS16"/>
  <c r="CE16"/>
  <c r="BA18"/>
  <c r="AD36"/>
  <c r="CU25"/>
  <c r="CU18"/>
  <c r="CL20"/>
  <c r="BA21"/>
  <c r="P25"/>
  <c r="AK36"/>
  <c r="F36" s="1"/>
  <c r="G36" s="1"/>
  <c r="BA22"/>
  <c r="BA16"/>
  <c r="AK17"/>
  <c r="F17" s="1"/>
  <c r="G17" s="1"/>
  <c r="AS18"/>
  <c r="CQ18"/>
  <c r="BA20"/>
  <c r="CH20"/>
  <c r="CJ20" s="1"/>
  <c r="AS21"/>
  <c r="P22"/>
  <c r="AD22"/>
  <c r="AS22"/>
  <c r="BJ22"/>
  <c r="BP22"/>
  <c r="CF22"/>
  <c r="CL22"/>
  <c r="AD25"/>
  <c r="CQ25"/>
  <c r="AD34"/>
  <c r="CU36"/>
  <c r="CU14"/>
  <c r="P15"/>
  <c r="W17"/>
  <c r="P19"/>
  <c r="BF22"/>
  <c r="BT22"/>
  <c r="CH22"/>
  <c r="CJ22" s="1"/>
  <c r="CQ36"/>
  <c r="W15"/>
  <c r="BA15"/>
  <c r="W19"/>
  <c r="BA19"/>
  <c r="AK35"/>
  <c r="F35" s="1"/>
  <c r="G35" s="1"/>
  <c r="AK15"/>
  <c r="F15" s="1"/>
  <c r="G15" s="1"/>
  <c r="BF15"/>
  <c r="BT15"/>
  <c r="CH15"/>
  <c r="CJ15" s="1"/>
  <c r="CQ16"/>
  <c r="P17"/>
  <c r="AS17"/>
  <c r="BF17"/>
  <c r="BT17"/>
  <c r="CH17"/>
  <c r="CJ17" s="1"/>
  <c r="AK19"/>
  <c r="F19" s="1"/>
  <c r="G19" s="1"/>
  <c r="BF19"/>
  <c r="BT19"/>
  <c r="CH19"/>
  <c r="CJ19" s="1"/>
  <c r="CQ21"/>
  <c r="CI25"/>
  <c r="CQ34"/>
  <c r="BF35"/>
  <c r="BT35"/>
  <c r="CH35"/>
  <c r="CJ35" s="1"/>
  <c r="CL35"/>
  <c r="CI36"/>
  <c r="P39"/>
  <c r="W39"/>
  <c r="AD39"/>
  <c r="AK39"/>
  <c r="F39" s="1"/>
  <c r="G39" s="1"/>
  <c r="AS39"/>
  <c r="BF39"/>
  <c r="BT39"/>
  <c r="CH39"/>
  <c r="CJ39" s="1"/>
  <c r="W14"/>
  <c r="CQ14"/>
  <c r="BJ15"/>
  <c r="BP15"/>
  <c r="CF15"/>
  <c r="CL15"/>
  <c r="P16"/>
  <c r="CU16"/>
  <c r="AD17"/>
  <c r="BA17"/>
  <c r="BJ17"/>
  <c r="BP17"/>
  <c r="CF17"/>
  <c r="CL17"/>
  <c r="W18"/>
  <c r="BJ19"/>
  <c r="BP19"/>
  <c r="CF19"/>
  <c r="CL19"/>
  <c r="P20"/>
  <c r="W21"/>
  <c r="CU21"/>
  <c r="AK25"/>
  <c r="F25" s="1"/>
  <c r="G25" s="1"/>
  <c r="AK34"/>
  <c r="F34" s="1"/>
  <c r="G34" s="1"/>
  <c r="CU34"/>
  <c r="BA35"/>
  <c r="BJ35"/>
  <c r="BP35"/>
  <c r="CF35"/>
  <c r="P36"/>
  <c r="BA39"/>
  <c r="BJ39"/>
  <c r="BP39"/>
  <c r="CF39"/>
  <c r="CL39"/>
  <c r="P14"/>
  <c r="G14"/>
  <c r="BT14"/>
  <c r="BP14"/>
  <c r="BS14"/>
  <c r="BU14" s="1"/>
  <c r="BW14"/>
  <c r="CL14"/>
  <c r="CH14"/>
  <c r="CF14"/>
  <c r="W16"/>
  <c r="BJ16"/>
  <c r="BF16"/>
  <c r="BI16"/>
  <c r="BK16" s="1"/>
  <c r="BM16"/>
  <c r="CU17"/>
  <c r="CQ17"/>
  <c r="CT17"/>
  <c r="CV17" s="1"/>
  <c r="CX17"/>
  <c r="P18"/>
  <c r="AK18"/>
  <c r="F18" s="1"/>
  <c r="G18" s="1"/>
  <c r="I18" s="1"/>
  <c r="BT18"/>
  <c r="BP18"/>
  <c r="BS18"/>
  <c r="BU18" s="1"/>
  <c r="BW18"/>
  <c r="CL18"/>
  <c r="CH18"/>
  <c r="CF18"/>
  <c r="W20"/>
  <c r="BJ20"/>
  <c r="BF20"/>
  <c r="BI20"/>
  <c r="BK20" s="1"/>
  <c r="BM20"/>
  <c r="P21"/>
  <c r="BT21"/>
  <c r="BP21"/>
  <c r="BQ21"/>
  <c r="BW21"/>
  <c r="AK22"/>
  <c r="F22" s="1"/>
  <c r="G22" s="1"/>
  <c r="AS25"/>
  <c r="BJ25"/>
  <c r="BF25"/>
  <c r="BG25"/>
  <c r="BM25"/>
  <c r="AD14"/>
  <c r="BJ14"/>
  <c r="BF14"/>
  <c r="BH14" s="1"/>
  <c r="BI14"/>
  <c r="BK14" s="1"/>
  <c r="BM14"/>
  <c r="BQ14"/>
  <c r="CE14"/>
  <c r="CI14"/>
  <c r="CU15"/>
  <c r="CQ15"/>
  <c r="CS15" s="1"/>
  <c r="CT15"/>
  <c r="CV15" s="1"/>
  <c r="CX15"/>
  <c r="BG16"/>
  <c r="BT16"/>
  <c r="BP16"/>
  <c r="BR16" s="1"/>
  <c r="BS16"/>
  <c r="BU16" s="1"/>
  <c r="BW16"/>
  <c r="CL16"/>
  <c r="CH16"/>
  <c r="CJ16" s="1"/>
  <c r="CF16"/>
  <c r="CR17"/>
  <c r="AD18"/>
  <c r="BJ18"/>
  <c r="BF18"/>
  <c r="BH18" s="1"/>
  <c r="BI18"/>
  <c r="BK18" s="1"/>
  <c r="BM18"/>
  <c r="BQ18"/>
  <c r="CE18"/>
  <c r="CG18" s="1"/>
  <c r="CI18"/>
  <c r="CU19"/>
  <c r="CQ19"/>
  <c r="CS19" s="1"/>
  <c r="CT19"/>
  <c r="CX19"/>
  <c r="BG20"/>
  <c r="BT20"/>
  <c r="BP20"/>
  <c r="BR20" s="1"/>
  <c r="BS20"/>
  <c r="BW20"/>
  <c r="CU20"/>
  <c r="CV20" s="1"/>
  <c r="CQ20"/>
  <c r="CR20"/>
  <c r="CX20"/>
  <c r="AK21"/>
  <c r="F21" s="1"/>
  <c r="G21" s="1"/>
  <c r="BS21"/>
  <c r="CL21"/>
  <c r="CH21"/>
  <c r="CF21"/>
  <c r="CI21"/>
  <c r="CE21"/>
  <c r="CG21" s="1"/>
  <c r="W22"/>
  <c r="W25"/>
  <c r="BI25"/>
  <c r="W34"/>
  <c r="AD35"/>
  <c r="CU35"/>
  <c r="CX35"/>
  <c r="CT35"/>
  <c r="CV35" s="1"/>
  <c r="CQ35"/>
  <c r="CR35"/>
  <c r="W36"/>
  <c r="CR14"/>
  <c r="CT14"/>
  <c r="BG15"/>
  <c r="BI15"/>
  <c r="BQ15"/>
  <c r="BS15"/>
  <c r="CE15"/>
  <c r="CR16"/>
  <c r="CT16"/>
  <c r="BG17"/>
  <c r="BI17"/>
  <c r="BQ17"/>
  <c r="BS17"/>
  <c r="CE17"/>
  <c r="CR18"/>
  <c r="CT18"/>
  <c r="BG19"/>
  <c r="BI19"/>
  <c r="BQ19"/>
  <c r="BS19"/>
  <c r="CE19"/>
  <c r="AD21"/>
  <c r="BJ21"/>
  <c r="BF21"/>
  <c r="BH21" s="1"/>
  <c r="BI21"/>
  <c r="BK21" s="1"/>
  <c r="BM21"/>
  <c r="CU22"/>
  <c r="CQ22"/>
  <c r="CS22" s="1"/>
  <c r="CT22"/>
  <c r="CX22"/>
  <c r="BT25"/>
  <c r="BP25"/>
  <c r="BR25" s="1"/>
  <c r="BS25"/>
  <c r="BU25" s="1"/>
  <c r="BW25"/>
  <c r="CL25"/>
  <c r="CH25"/>
  <c r="CF25"/>
  <c r="CG25" s="1"/>
  <c r="AS34"/>
  <c r="BA34"/>
  <c r="BJ34"/>
  <c r="BK34" s="1"/>
  <c r="BF34"/>
  <c r="BG34"/>
  <c r="BM34"/>
  <c r="P35"/>
  <c r="AS35"/>
  <c r="CE20"/>
  <c r="CG20" s="1"/>
  <c r="CR21"/>
  <c r="CT21"/>
  <c r="BG22"/>
  <c r="BI22"/>
  <c r="BQ22"/>
  <c r="BS22"/>
  <c r="CE22"/>
  <c r="CR25"/>
  <c r="CT25"/>
  <c r="BT34"/>
  <c r="BP34"/>
  <c r="BR34" s="1"/>
  <c r="BS34"/>
  <c r="BU34" s="1"/>
  <c r="BW34"/>
  <c r="CL34"/>
  <c r="CH34"/>
  <c r="CJ34" s="1"/>
  <c r="CF34"/>
  <c r="CG34" s="1"/>
  <c r="AS36"/>
  <c r="BA36"/>
  <c r="BJ36"/>
  <c r="BK36" s="1"/>
  <c r="BF36"/>
  <c r="BG36"/>
  <c r="BM36"/>
  <c r="CR34"/>
  <c r="CT34"/>
  <c r="BG35"/>
  <c r="BI35"/>
  <c r="BQ35"/>
  <c r="BS35"/>
  <c r="CE35"/>
  <c r="BT36"/>
  <c r="BP36"/>
  <c r="BR36" s="1"/>
  <c r="BS36"/>
  <c r="BU36" s="1"/>
  <c r="BW36"/>
  <c r="CL36"/>
  <c r="CH36"/>
  <c r="CF36"/>
  <c r="CG36" s="1"/>
  <c r="CR36"/>
  <c r="CT36"/>
  <c r="BG39"/>
  <c r="BI39"/>
  <c r="BQ39"/>
  <c r="BS39"/>
  <c r="CE39"/>
  <c r="CQ39"/>
  <c r="CU39"/>
  <c r="CR39"/>
  <c r="CT39"/>
  <c r="CV39" s="1"/>
  <c r="J35" l="1"/>
  <c r="I35"/>
  <c r="I36"/>
  <c r="J36"/>
  <c r="J38"/>
  <c r="I38"/>
  <c r="J37"/>
  <c r="I37"/>
  <c r="I23"/>
  <c r="J23"/>
  <c r="J39"/>
  <c r="I39"/>
  <c r="J34"/>
  <c r="I34"/>
  <c r="DC38"/>
  <c r="DE38" s="1"/>
  <c r="DF38" s="1"/>
  <c r="DC24"/>
  <c r="DE24" s="1"/>
  <c r="DF24" s="1"/>
  <c r="J25"/>
  <c r="I25"/>
  <c r="BR39"/>
  <c r="CS36"/>
  <c r="CG35"/>
  <c r="CK35" s="1"/>
  <c r="CM35" s="1"/>
  <c r="CS34"/>
  <c r="CV25"/>
  <c r="BR22"/>
  <c r="CS21"/>
  <c r="BR19"/>
  <c r="CS18"/>
  <c r="BU17"/>
  <c r="BK17"/>
  <c r="CG15"/>
  <c r="CK15" s="1"/>
  <c r="CM15" s="1"/>
  <c r="BK22"/>
  <c r="CV18"/>
  <c r="BH17"/>
  <c r="BL17" s="1"/>
  <c r="BN17" s="1"/>
  <c r="CV14"/>
  <c r="CG16"/>
  <c r="CK16" s="1"/>
  <c r="CM16" s="1"/>
  <c r="CV22"/>
  <c r="CW22" s="1"/>
  <c r="CY22" s="1"/>
  <c r="BU20"/>
  <c r="BV20" s="1"/>
  <c r="BX20" s="1"/>
  <c r="BU39"/>
  <c r="BU35"/>
  <c r="BK35"/>
  <c r="CV34"/>
  <c r="BU19"/>
  <c r="BV19" s="1"/>
  <c r="BX19" s="1"/>
  <c r="CG17"/>
  <c r="CK17" s="1"/>
  <c r="CM17" s="1"/>
  <c r="BK15"/>
  <c r="CS35"/>
  <c r="CW35" s="1"/>
  <c r="CY35" s="1"/>
  <c r="CV19"/>
  <c r="CW19" s="1"/>
  <c r="CY19" s="1"/>
  <c r="CG39"/>
  <c r="CK39" s="1"/>
  <c r="CM39" s="1"/>
  <c r="BH39"/>
  <c r="CJ36"/>
  <c r="CK36" s="1"/>
  <c r="CM36" s="1"/>
  <c r="BR35"/>
  <c r="BH35"/>
  <c r="CG22"/>
  <c r="CK22" s="1"/>
  <c r="CM22" s="1"/>
  <c r="BH22"/>
  <c r="CG19"/>
  <c r="CK19" s="1"/>
  <c r="CM19" s="1"/>
  <c r="BH19"/>
  <c r="CV16"/>
  <c r="BR15"/>
  <c r="BH15"/>
  <c r="CS14"/>
  <c r="BK39"/>
  <c r="CV36"/>
  <c r="CS25"/>
  <c r="BU22"/>
  <c r="BV22" s="1"/>
  <c r="BX22" s="1"/>
  <c r="CV21"/>
  <c r="CK20"/>
  <c r="CM20" s="1"/>
  <c r="CJ25"/>
  <c r="CK25" s="1"/>
  <c r="CM25" s="1"/>
  <c r="BK19"/>
  <c r="BR17"/>
  <c r="BV17" s="1"/>
  <c r="BX17" s="1"/>
  <c r="CS16"/>
  <c r="BU15"/>
  <c r="CW15"/>
  <c r="CY15" s="1"/>
  <c r="BH36"/>
  <c r="BL36" s="1"/>
  <c r="BN36" s="1"/>
  <c r="CK34"/>
  <c r="CM34" s="1"/>
  <c r="BV25"/>
  <c r="BX25" s="1"/>
  <c r="BL21"/>
  <c r="BN21" s="1"/>
  <c r="CS17"/>
  <c r="CW17" s="1"/>
  <c r="CY17" s="1"/>
  <c r="BH16"/>
  <c r="BL16" s="1"/>
  <c r="BN16" s="1"/>
  <c r="J21"/>
  <c r="I21"/>
  <c r="I22"/>
  <c r="J22"/>
  <c r="J18"/>
  <c r="J14"/>
  <c r="I14"/>
  <c r="J20"/>
  <c r="I20"/>
  <c r="CJ18"/>
  <c r="CK18" s="1"/>
  <c r="CM18" s="1"/>
  <c r="BR18"/>
  <c r="BV18" s="1"/>
  <c r="BX18" s="1"/>
  <c r="I17"/>
  <c r="J17"/>
  <c r="G26"/>
  <c r="CS39"/>
  <c r="CW39" s="1"/>
  <c r="CY39" s="1"/>
  <c r="BV36"/>
  <c r="BX36" s="1"/>
  <c r="BV34"/>
  <c r="BX34" s="1"/>
  <c r="BH34"/>
  <c r="BL34" s="1"/>
  <c r="BN34" s="1"/>
  <c r="BK25"/>
  <c r="CJ21"/>
  <c r="CK21" s="1"/>
  <c r="CM21" s="1"/>
  <c r="BU21"/>
  <c r="CS20"/>
  <c r="CW20" s="1"/>
  <c r="CY20" s="1"/>
  <c r="BL18"/>
  <c r="BN18" s="1"/>
  <c r="BV16"/>
  <c r="BX16" s="1"/>
  <c r="CG14"/>
  <c r="BL14"/>
  <c r="BN14" s="1"/>
  <c r="BH25"/>
  <c r="BR21"/>
  <c r="BH20"/>
  <c r="BL20" s="1"/>
  <c r="BN20" s="1"/>
  <c r="J16"/>
  <c r="I16"/>
  <c r="CJ14"/>
  <c r="BR14"/>
  <c r="BV14" s="1"/>
  <c r="BX14" s="1"/>
  <c r="I15"/>
  <c r="J15"/>
  <c r="I19"/>
  <c r="J19"/>
  <c r="G40"/>
  <c r="CZ35" l="1"/>
  <c r="DA35" s="1"/>
  <c r="DB35" s="1"/>
  <c r="BV39"/>
  <c r="BX39" s="1"/>
  <c r="CW25"/>
  <c r="CY25" s="1"/>
  <c r="CW21"/>
  <c r="CY21" s="1"/>
  <c r="CZ21" s="1"/>
  <c r="DA21" s="1"/>
  <c r="DB21" s="1"/>
  <c r="CW18"/>
  <c r="CY18" s="1"/>
  <c r="CZ18" s="1"/>
  <c r="DA18" s="1"/>
  <c r="DB18" s="1"/>
  <c r="CW36"/>
  <c r="CY36" s="1"/>
  <c r="CZ36" s="1"/>
  <c r="DA36" s="1"/>
  <c r="DB36" s="1"/>
  <c r="CW34"/>
  <c r="CY34" s="1"/>
  <c r="CZ34" s="1"/>
  <c r="DA34" s="1"/>
  <c r="DB34" s="1"/>
  <c r="CZ19"/>
  <c r="DA19" s="1"/>
  <c r="DB19" s="1"/>
  <c r="BL22"/>
  <c r="BN22" s="1"/>
  <c r="BY22" s="1"/>
  <c r="BZ22" s="1"/>
  <c r="CA22" s="1"/>
  <c r="BV35"/>
  <c r="BX35" s="1"/>
  <c r="BL15"/>
  <c r="BN15" s="1"/>
  <c r="CZ22"/>
  <c r="DA22" s="1"/>
  <c r="DB22" s="1"/>
  <c r="CW14"/>
  <c r="CY14" s="1"/>
  <c r="BL25"/>
  <c r="BN25" s="1"/>
  <c r="BY25" s="1"/>
  <c r="BZ25" s="1"/>
  <c r="CA25" s="1"/>
  <c r="BL35"/>
  <c r="BN35" s="1"/>
  <c r="CZ15"/>
  <c r="DA15" s="1"/>
  <c r="DB15" s="1"/>
  <c r="BV21"/>
  <c r="BX21" s="1"/>
  <c r="CZ20"/>
  <c r="DA20" s="1"/>
  <c r="DB20" s="1"/>
  <c r="CW16"/>
  <c r="CY16" s="1"/>
  <c r="CZ16" s="1"/>
  <c r="DA16" s="1"/>
  <c r="DB16" s="1"/>
  <c r="BL39"/>
  <c r="BN39" s="1"/>
  <c r="BY39" s="1"/>
  <c r="BZ39" s="1"/>
  <c r="CA39" s="1"/>
  <c r="CZ39"/>
  <c r="DA39" s="1"/>
  <c r="DB39" s="1"/>
  <c r="CZ17"/>
  <c r="DA17" s="1"/>
  <c r="DB17" s="1"/>
  <c r="BV15"/>
  <c r="BX15" s="1"/>
  <c r="BL19"/>
  <c r="BN19" s="1"/>
  <c r="BY19" s="1"/>
  <c r="BZ19" s="1"/>
  <c r="CA19" s="1"/>
  <c r="BY17"/>
  <c r="BZ17" s="1"/>
  <c r="CA17" s="1"/>
  <c r="DC17" s="1"/>
  <c r="DE17" s="1"/>
  <c r="DF17" s="1"/>
  <c r="BY14"/>
  <c r="BZ14" s="1"/>
  <c r="CA14" s="1"/>
  <c r="BY21"/>
  <c r="BZ21" s="1"/>
  <c r="CA21" s="1"/>
  <c r="J40"/>
  <c r="J43" s="1"/>
  <c r="BY34"/>
  <c r="BZ34" s="1"/>
  <c r="CA34" s="1"/>
  <c r="BY16"/>
  <c r="BZ16" s="1"/>
  <c r="CA16" s="1"/>
  <c r="I26"/>
  <c r="I40"/>
  <c r="BY20"/>
  <c r="BZ20" s="1"/>
  <c r="CA20" s="1"/>
  <c r="CK14"/>
  <c r="CM14" s="1"/>
  <c r="BY18"/>
  <c r="BZ18" s="1"/>
  <c r="CA18" s="1"/>
  <c r="BY35"/>
  <c r="BZ35" s="1"/>
  <c r="CA35" s="1"/>
  <c r="J26"/>
  <c r="J29" s="1"/>
  <c r="CZ25"/>
  <c r="DA25" s="1"/>
  <c r="DB25" s="1"/>
  <c r="BY36"/>
  <c r="BZ36" s="1"/>
  <c r="CA36" s="1"/>
  <c r="DC39" l="1"/>
  <c r="DE39" s="1"/>
  <c r="DF39" s="1"/>
  <c r="DC19"/>
  <c r="DE19" s="1"/>
  <c r="DF19" s="1"/>
  <c r="BY15"/>
  <c r="BZ15" s="1"/>
  <c r="CA15" s="1"/>
  <c r="DC15" s="1"/>
  <c r="DE15" s="1"/>
  <c r="DF15" s="1"/>
  <c r="DC36"/>
  <c r="DE36" s="1"/>
  <c r="DF36" s="1"/>
  <c r="DC34"/>
  <c r="DE34" s="1"/>
  <c r="DF34" s="1"/>
  <c r="DC18"/>
  <c r="DE18" s="1"/>
  <c r="DF18" s="1"/>
  <c r="DC25"/>
  <c r="DE25" s="1"/>
  <c r="DF25" s="1"/>
  <c r="DC16"/>
  <c r="DE16" s="1"/>
  <c r="DF16" s="1"/>
  <c r="DC20"/>
  <c r="DE20" s="1"/>
  <c r="DF20" s="1"/>
  <c r="DC21"/>
  <c r="DE21" s="1"/>
  <c r="DF21" s="1"/>
  <c r="DC22"/>
  <c r="DE22" s="1"/>
  <c r="DF22" s="1"/>
  <c r="CZ14"/>
  <c r="DA14" s="1"/>
  <c r="DB14" s="1"/>
  <c r="DC14" s="1"/>
  <c r="DE14" s="1"/>
  <c r="DF14" s="1"/>
  <c r="DC35"/>
  <c r="DE35" s="1"/>
  <c r="DF35" s="1"/>
</calcChain>
</file>

<file path=xl/sharedStrings.xml><?xml version="1.0" encoding="utf-8"?>
<sst xmlns="http://schemas.openxmlformats.org/spreadsheetml/2006/main" count="104" uniqueCount="68">
  <si>
    <t>Vessel</t>
  </si>
  <si>
    <t>Port/Position</t>
  </si>
  <si>
    <t>Draft Fwd and Aft</t>
  </si>
  <si>
    <t>Trim</t>
  </si>
  <si>
    <t>Date/Time</t>
  </si>
  <si>
    <t>Fuel Oil</t>
  </si>
  <si>
    <t>Tank</t>
  </si>
  <si>
    <t>Corrected</t>
  </si>
  <si>
    <t>Observed</t>
  </si>
  <si>
    <t>Temp</t>
  </si>
  <si>
    <t>V.C.F</t>
  </si>
  <si>
    <t>G.S.V</t>
  </si>
  <si>
    <t xml:space="preserve">W.C.F </t>
  </si>
  <si>
    <t>Weight</t>
  </si>
  <si>
    <t>ULLGS</t>
  </si>
  <si>
    <t>M3</t>
  </si>
  <si>
    <r>
      <t>@ 15</t>
    </r>
    <r>
      <rPr>
        <b/>
        <vertAlign val="superscript"/>
        <sz val="10"/>
        <color rgb="FFFF0000"/>
        <rFont val="Arial"/>
        <family val="2"/>
      </rPr>
      <t>o</t>
    </r>
    <r>
      <rPr>
        <b/>
        <sz val="10"/>
        <color rgb="FFFF0000"/>
        <rFont val="Arial"/>
        <family val="2"/>
      </rPr>
      <t>C</t>
    </r>
  </si>
  <si>
    <t>Table</t>
  </si>
  <si>
    <t>M/T</t>
  </si>
  <si>
    <t>BBLS</t>
  </si>
  <si>
    <t>TABLE 6</t>
  </si>
  <si>
    <t>(mtrs)</t>
  </si>
  <si>
    <t>Volume</t>
  </si>
  <si>
    <t>54B</t>
  </si>
  <si>
    <t>Vaccum</t>
  </si>
  <si>
    <t>Air</t>
  </si>
  <si>
    <t>d2</t>
  </si>
  <si>
    <t>e2</t>
  </si>
  <si>
    <t>y=x</t>
  </si>
  <si>
    <t>z=x</t>
  </si>
  <si>
    <t>p=q</t>
  </si>
  <si>
    <t>j=x</t>
  </si>
  <si>
    <t>k=x</t>
  </si>
  <si>
    <t>w=q</t>
  </si>
  <si>
    <t>1P</t>
  </si>
  <si>
    <t>1S</t>
  </si>
  <si>
    <t>2P</t>
  </si>
  <si>
    <t>2S</t>
  </si>
  <si>
    <t>SETT 1</t>
  </si>
  <si>
    <t>SERV 1</t>
  </si>
  <si>
    <t>SETT 2</t>
  </si>
  <si>
    <t>SERV 2</t>
  </si>
  <si>
    <t>O/FLOW</t>
  </si>
  <si>
    <t>TOTALS</t>
  </si>
  <si>
    <t>Qty as per Log Book :</t>
  </si>
  <si>
    <t>Difference :</t>
  </si>
  <si>
    <t>Diesel Oil</t>
  </si>
  <si>
    <t>Sounding</t>
  </si>
  <si>
    <r>
      <t>@ 15</t>
    </r>
    <r>
      <rPr>
        <b/>
        <vertAlign val="superscript"/>
        <sz val="10"/>
        <color indexed="8"/>
        <rFont val="Arial"/>
        <family val="2"/>
      </rPr>
      <t>o</t>
    </r>
    <r>
      <rPr>
        <b/>
        <sz val="10"/>
        <color indexed="8"/>
        <rFont val="Arial"/>
        <family val="2"/>
      </rPr>
      <t>C</t>
    </r>
  </si>
  <si>
    <t>MGO P</t>
  </si>
  <si>
    <t>MDO S</t>
  </si>
  <si>
    <t>DO SERV</t>
  </si>
  <si>
    <t>GO SERV</t>
  </si>
  <si>
    <t>Qty as per Log Book</t>
  </si>
  <si>
    <t xml:space="preserve">REMARKS :                  </t>
  </si>
  <si>
    <t>Voyage Number</t>
  </si>
  <si>
    <t>Bunker Measurement Report</t>
  </si>
  <si>
    <t>Aknowledged by:</t>
  </si>
  <si>
    <r>
      <t xml:space="preserve">To be sent </t>
    </r>
    <r>
      <rPr>
        <b/>
        <i/>
        <sz val="10"/>
        <color theme="1"/>
        <rFont val="Calibri"/>
        <family val="2"/>
        <charset val="161"/>
        <scheme val="minor"/>
      </rPr>
      <t>EXCLUSIVELY</t>
    </r>
    <r>
      <rPr>
        <i/>
        <sz val="10"/>
        <color theme="1"/>
        <rFont val="Calibri"/>
        <family val="2"/>
        <charset val="161"/>
        <scheme val="minor"/>
      </rPr>
      <t xml:space="preserve"> to Company's Office every Friday in EXCEL Format</t>
    </r>
  </si>
  <si>
    <t>Ch. Engineer (Name)</t>
  </si>
  <si>
    <t>Master (name)</t>
  </si>
  <si>
    <t>CAPE ELEKTRA</t>
  </si>
  <si>
    <t>37-L</t>
  </si>
  <si>
    <t>31-08-2018  /  12:00</t>
  </si>
  <si>
    <t>LS S</t>
  </si>
  <si>
    <t>BALTATZIS GEORGE</t>
  </si>
  <si>
    <t>SPANOLIOS ISIDOROS</t>
  </si>
  <si>
    <t xml:space="preserve">              08 56 S  /  079 10 E</t>
  </si>
</sst>
</file>

<file path=xl/styles.xml><?xml version="1.0" encoding="utf-8"?>
<styleSheet xmlns="http://schemas.openxmlformats.org/spreadsheetml/2006/main">
  <numFmts count="7">
    <numFmt numFmtId="164" formatCode="0.00\ &quot;m&quot;"/>
    <numFmt numFmtId="165" formatCode="dd/mmm/yyyy\ hh:mm"/>
    <numFmt numFmtId="166" formatCode="0.000"/>
    <numFmt numFmtId="167" formatCode="0.0000"/>
    <numFmt numFmtId="168" formatCode="0.0"/>
    <numFmt numFmtId="169" formatCode="0.00000000"/>
    <numFmt numFmtId="170" formatCode="dd/mm/yy;@"/>
  </numFmts>
  <fonts count="32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FF"/>
      <name val="Arial"/>
      <family val="2"/>
    </font>
    <font>
      <b/>
      <sz val="12"/>
      <color theme="1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Times New Roman"/>
      <family val="1"/>
    </font>
    <font>
      <b/>
      <sz val="10"/>
      <color rgb="FFFF0000"/>
      <name val="Arial"/>
      <family val="2"/>
    </font>
    <font>
      <b/>
      <vertAlign val="superscript"/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indexed="10"/>
      <name val="Times New Roman"/>
      <family val="1"/>
    </font>
    <font>
      <sz val="7"/>
      <color indexed="10"/>
      <name val="Times New Roman"/>
      <family val="1"/>
    </font>
    <font>
      <b/>
      <sz val="10"/>
      <color theme="0"/>
      <name val="Arial"/>
      <family val="2"/>
    </font>
    <font>
      <b/>
      <sz val="11"/>
      <name val="Times New Roman"/>
      <family val="1"/>
    </font>
    <font>
      <sz val="10"/>
      <color theme="0"/>
      <name val="Arial"/>
      <family val="2"/>
    </font>
    <font>
      <b/>
      <vertAlign val="superscript"/>
      <sz val="10"/>
      <color indexed="8"/>
      <name val="Arial"/>
      <family val="2"/>
    </font>
    <font>
      <b/>
      <sz val="11"/>
      <color theme="1"/>
      <name val="Times New Roman"/>
      <family val="1"/>
    </font>
    <font>
      <b/>
      <u/>
      <sz val="20"/>
      <color theme="1"/>
      <name val="Calibri"/>
      <family val="2"/>
      <charset val="161"/>
      <scheme val="minor"/>
    </font>
    <font>
      <b/>
      <sz val="9"/>
      <name val="Arial"/>
      <family val="2"/>
    </font>
    <font>
      <b/>
      <sz val="10"/>
      <color rgb="FF0000FF"/>
      <name val="Arial"/>
      <family val="2"/>
      <charset val="161"/>
    </font>
    <font>
      <i/>
      <sz val="10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i/>
      <sz val="10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163">
    <xf numFmtId="0" fontId="0" fillId="0" borderId="0" xfId="0"/>
    <xf numFmtId="0" fontId="3" fillId="0" borderId="0" xfId="1"/>
    <xf numFmtId="0" fontId="8" fillId="0" borderId="0" xfId="1" applyFont="1" applyFill="1" applyProtection="1">
      <protection hidden="1"/>
    </xf>
    <xf numFmtId="0" fontId="9" fillId="0" borderId="0" xfId="1" applyFont="1" applyFill="1" applyProtection="1">
      <protection hidden="1"/>
    </xf>
    <xf numFmtId="164" fontId="7" fillId="0" borderId="1" xfId="1" applyNumberFormat="1" applyFont="1" applyFill="1" applyBorder="1" applyAlignment="1" applyProtection="1">
      <alignment horizontal="left"/>
      <protection locked="0"/>
    </xf>
    <xf numFmtId="0" fontId="10" fillId="2" borderId="1" xfId="1" applyFont="1" applyFill="1" applyBorder="1" applyAlignment="1" applyProtection="1">
      <alignment horizontal="right"/>
      <protection locked="0"/>
    </xf>
    <xf numFmtId="0" fontId="8" fillId="0" borderId="0" xfId="1" applyFont="1" applyProtection="1">
      <protection hidden="1"/>
    </xf>
    <xf numFmtId="0" fontId="9" fillId="0" borderId="0" xfId="1" applyFont="1" applyProtection="1">
      <protection hidden="1"/>
    </xf>
    <xf numFmtId="0" fontId="13" fillId="2" borderId="6" xfId="2" applyFont="1" applyFill="1" applyBorder="1" applyAlignment="1" applyProtection="1">
      <alignment horizontal="center" vertical="center"/>
      <protection hidden="1"/>
    </xf>
    <xf numFmtId="0" fontId="13" fillId="2" borderId="7" xfId="2" applyFont="1" applyFill="1" applyBorder="1" applyAlignment="1" applyProtection="1">
      <alignment horizontal="center" vertical="center"/>
      <protection hidden="1"/>
    </xf>
    <xf numFmtId="0" fontId="13" fillId="2" borderId="8" xfId="2" applyFont="1" applyFill="1" applyBorder="1" applyAlignment="1" applyProtection="1">
      <alignment horizontal="center" vertical="center"/>
      <protection hidden="1"/>
    </xf>
    <xf numFmtId="0" fontId="13" fillId="2" borderId="9" xfId="2" applyFont="1" applyFill="1" applyBorder="1" applyAlignment="1" applyProtection="1">
      <alignment horizontal="center" vertical="center"/>
      <protection hidden="1"/>
    </xf>
    <xf numFmtId="0" fontId="14" fillId="0" borderId="0" xfId="2" applyFont="1" applyFill="1" applyBorder="1" applyAlignment="1" applyProtection="1">
      <alignment vertical="center"/>
      <protection hidden="1"/>
    </xf>
    <xf numFmtId="2" fontId="14" fillId="0" borderId="0" xfId="2" applyNumberFormat="1" applyFont="1" applyFill="1" applyBorder="1" applyAlignment="1" applyProtection="1">
      <alignment vertical="center"/>
      <protection hidden="1"/>
    </xf>
    <xf numFmtId="0" fontId="15" fillId="0" borderId="0" xfId="2" applyFont="1" applyFill="1" applyBorder="1" applyAlignment="1" applyProtection="1">
      <alignment vertical="center"/>
      <protection hidden="1"/>
    </xf>
    <xf numFmtId="0" fontId="13" fillId="2" borderId="10" xfId="2" applyFont="1" applyFill="1" applyBorder="1" applyAlignment="1" applyProtection="1">
      <alignment horizontal="center" vertical="center"/>
      <protection hidden="1"/>
    </xf>
    <xf numFmtId="0" fontId="13" fillId="2" borderId="11" xfId="2" applyFont="1" applyFill="1" applyBorder="1" applyAlignment="1" applyProtection="1">
      <alignment horizontal="center" vertical="center"/>
      <protection hidden="1"/>
    </xf>
    <xf numFmtId="0" fontId="13" fillId="2" borderId="11" xfId="2" applyFont="1" applyFill="1" applyBorder="1" applyAlignment="1" applyProtection="1">
      <alignment horizontal="center" vertical="center"/>
      <protection locked="0"/>
    </xf>
    <xf numFmtId="0" fontId="16" fillId="2" borderId="11" xfId="2" quotePrefix="1" applyFont="1" applyFill="1" applyBorder="1" applyAlignment="1" applyProtection="1">
      <alignment horizontal="center" vertical="center"/>
      <protection hidden="1"/>
    </xf>
    <xf numFmtId="0" fontId="13" fillId="2" borderId="12" xfId="2" applyFont="1" applyFill="1" applyBorder="1" applyAlignment="1" applyProtection="1">
      <alignment horizontal="center" vertical="center"/>
      <protection hidden="1"/>
    </xf>
    <xf numFmtId="0" fontId="13" fillId="2" borderId="13" xfId="2" applyFont="1" applyFill="1" applyBorder="1" applyAlignment="1" applyProtection="1">
      <alignment horizontal="center" vertical="center"/>
      <protection hidden="1"/>
    </xf>
    <xf numFmtId="0" fontId="16" fillId="2" borderId="11" xfId="2" applyFont="1" applyFill="1" applyBorder="1" applyAlignment="1" applyProtection="1">
      <alignment horizontal="center" vertical="center"/>
      <protection locked="0"/>
    </xf>
    <xf numFmtId="0" fontId="16" fillId="2" borderId="12" xfId="2" applyFont="1" applyFill="1" applyBorder="1" applyAlignment="1" applyProtection="1">
      <alignment horizontal="center" vertical="center"/>
      <protection hidden="1"/>
    </xf>
    <xf numFmtId="0" fontId="15" fillId="0" borderId="0" xfId="2" applyNumberFormat="1" applyFont="1" applyFill="1" applyBorder="1" applyAlignment="1" applyProtection="1">
      <alignment horizontal="center" vertical="center"/>
      <protection hidden="1"/>
    </xf>
    <xf numFmtId="0" fontId="14" fillId="0" borderId="0" xfId="2" applyNumberFormat="1" applyFont="1" applyFill="1" applyBorder="1" applyAlignment="1" applyProtection="1">
      <alignment horizontal="center" vertical="center"/>
      <protection hidden="1"/>
    </xf>
    <xf numFmtId="0" fontId="19" fillId="0" borderId="0" xfId="2" applyFont="1" applyFill="1" applyBorder="1" applyAlignment="1" applyProtection="1">
      <alignment vertical="center"/>
      <protection hidden="1"/>
    </xf>
    <xf numFmtId="0" fontId="19" fillId="0" borderId="0" xfId="2" applyFont="1" applyFill="1" applyBorder="1" applyAlignment="1" applyProtection="1">
      <alignment horizontal="center" vertical="center"/>
      <protection hidden="1"/>
    </xf>
    <xf numFmtId="0" fontId="19" fillId="0" borderId="0" xfId="2" applyNumberFormat="1" applyFont="1" applyFill="1" applyBorder="1" applyAlignment="1" applyProtection="1">
      <alignment horizontal="center" vertical="center"/>
      <protection hidden="1"/>
    </xf>
    <xf numFmtId="169" fontId="20" fillId="0" borderId="0" xfId="2" applyNumberFormat="1" applyFont="1" applyFill="1" applyBorder="1" applyAlignment="1" applyProtection="1">
      <alignment vertical="center"/>
      <protection hidden="1"/>
    </xf>
    <xf numFmtId="2" fontId="19" fillId="0" borderId="0" xfId="2" applyNumberFormat="1" applyFont="1" applyFill="1" applyBorder="1" applyAlignment="1" applyProtection="1">
      <alignment horizontal="center" vertical="center"/>
      <protection hidden="1"/>
    </xf>
    <xf numFmtId="0" fontId="13" fillId="0" borderId="14" xfId="2" applyFont="1" applyFill="1" applyBorder="1" applyAlignment="1" applyProtection="1">
      <alignment horizontal="center" vertical="center"/>
      <protection locked="0"/>
    </xf>
    <xf numFmtId="4" fontId="18" fillId="0" borderId="1" xfId="2" applyNumberFormat="1" applyFont="1" applyFill="1" applyBorder="1" applyAlignment="1" applyProtection="1">
      <alignment horizontal="center" vertical="center"/>
      <protection locked="0"/>
    </xf>
    <xf numFmtId="166" fontId="18" fillId="0" borderId="1" xfId="2" applyNumberFormat="1" applyFont="1" applyFill="1" applyBorder="1" applyAlignment="1" applyProtection="1">
      <alignment horizontal="center" vertical="center"/>
      <protection locked="0"/>
    </xf>
    <xf numFmtId="168" fontId="18" fillId="0" borderId="1" xfId="2" applyNumberFormat="1" applyFont="1" applyFill="1" applyBorder="1" applyAlignment="1" applyProtection="1">
      <alignment horizontal="center" vertical="center"/>
      <protection locked="0"/>
    </xf>
    <xf numFmtId="166" fontId="3" fillId="0" borderId="0" xfId="1" applyNumberFormat="1"/>
    <xf numFmtId="4" fontId="19" fillId="0" borderId="0" xfId="2" applyNumberFormat="1" applyFont="1" applyFill="1" applyBorder="1" applyAlignment="1" applyProtection="1">
      <alignment vertical="center"/>
      <protection hidden="1"/>
    </xf>
    <xf numFmtId="2" fontId="19" fillId="0" borderId="0" xfId="2" applyNumberFormat="1" applyFont="1" applyFill="1" applyBorder="1" applyAlignment="1" applyProtection="1">
      <alignment vertical="center"/>
      <protection hidden="1"/>
    </xf>
    <xf numFmtId="18" fontId="13" fillId="0" borderId="14" xfId="2" applyNumberFormat="1" applyFont="1" applyFill="1" applyBorder="1" applyAlignment="1" applyProtection="1">
      <alignment horizontal="center" vertical="center"/>
      <protection locked="0"/>
    </xf>
    <xf numFmtId="4" fontId="7" fillId="0" borderId="1" xfId="2" applyNumberFormat="1" applyFont="1" applyFill="1" applyBorder="1" applyAlignment="1" applyProtection="1">
      <alignment horizontal="center" vertical="center"/>
      <protection locked="0"/>
    </xf>
    <xf numFmtId="166" fontId="7" fillId="0" borderId="1" xfId="2" applyNumberFormat="1" applyFont="1" applyFill="1" applyBorder="1" applyAlignment="1" applyProtection="1">
      <alignment horizontal="center" vertical="center"/>
      <protection locked="0"/>
    </xf>
    <xf numFmtId="168" fontId="7" fillId="0" borderId="1" xfId="2" applyNumberFormat="1" applyFont="1" applyFill="1" applyBorder="1" applyAlignment="1" applyProtection="1">
      <alignment horizontal="center" vertical="center"/>
      <protection locked="0"/>
    </xf>
    <xf numFmtId="167" fontId="7" fillId="0" borderId="1" xfId="2" applyNumberFormat="1" applyFont="1" applyFill="1" applyBorder="1" applyAlignment="1" applyProtection="1">
      <alignment horizontal="center" vertical="center"/>
      <protection hidden="1"/>
    </xf>
    <xf numFmtId="166" fontId="7" fillId="0" borderId="1" xfId="2" applyNumberFormat="1" applyFont="1" applyFill="1" applyBorder="1" applyAlignment="1" applyProtection="1">
      <alignment horizontal="center" vertical="center"/>
      <protection hidden="1"/>
    </xf>
    <xf numFmtId="166" fontId="7" fillId="0" borderId="15" xfId="2" applyNumberFormat="1" applyFont="1" applyFill="1" applyBorder="1" applyAlignment="1" applyProtection="1">
      <alignment horizontal="center" vertical="center"/>
      <protection hidden="1"/>
    </xf>
    <xf numFmtId="167" fontId="18" fillId="0" borderId="1" xfId="2" applyNumberFormat="1" applyFont="1" applyFill="1" applyBorder="1" applyAlignment="1" applyProtection="1">
      <alignment horizontal="center" vertical="center"/>
      <protection locked="0"/>
    </xf>
    <xf numFmtId="166" fontId="18" fillId="2" borderId="17" xfId="2" applyNumberFormat="1" applyFont="1" applyFill="1" applyBorder="1" applyAlignment="1" applyProtection="1">
      <alignment horizontal="center" vertical="center"/>
      <protection locked="0"/>
    </xf>
    <xf numFmtId="166" fontId="18" fillId="2" borderId="7" xfId="2" applyNumberFormat="1" applyFont="1" applyFill="1" applyBorder="1" applyAlignment="1" applyProtection="1">
      <alignment horizontal="left" vertical="center"/>
      <protection locked="0"/>
    </xf>
    <xf numFmtId="166" fontId="18" fillId="2" borderId="7" xfId="2" applyNumberFormat="1" applyFont="1" applyFill="1" applyBorder="1" applyAlignment="1" applyProtection="1">
      <alignment horizontal="left" vertical="center"/>
      <protection hidden="1"/>
    </xf>
    <xf numFmtId="166" fontId="18" fillId="2" borderId="5" xfId="2" applyNumberFormat="1" applyFont="1" applyFill="1" applyBorder="1" applyAlignment="1" applyProtection="1">
      <alignment horizontal="center" vertical="center"/>
      <protection locked="0"/>
    </xf>
    <xf numFmtId="166" fontId="18" fillId="2" borderId="19" xfId="2" applyNumberFormat="1" applyFont="1" applyFill="1" applyBorder="1" applyAlignment="1" applyProtection="1">
      <alignment horizontal="center" vertical="center"/>
      <protection locked="0"/>
    </xf>
    <xf numFmtId="166" fontId="18" fillId="2" borderId="19" xfId="2" applyNumberFormat="1" applyFont="1" applyFill="1" applyBorder="1" applyAlignment="1" applyProtection="1">
      <alignment horizontal="center" vertical="center"/>
      <protection hidden="1"/>
    </xf>
    <xf numFmtId="0" fontId="21" fillId="4" borderId="0" xfId="2" applyFont="1" applyFill="1" applyBorder="1" applyAlignment="1" applyProtection="1">
      <alignment horizontal="center" vertical="center"/>
      <protection locked="0"/>
    </xf>
    <xf numFmtId="166" fontId="23" fillId="4" borderId="0" xfId="2" applyNumberFormat="1" applyFont="1" applyFill="1" applyBorder="1" applyAlignment="1" applyProtection="1">
      <alignment horizontal="center" vertical="center"/>
      <protection hidden="1"/>
    </xf>
    <xf numFmtId="166" fontId="23" fillId="4" borderId="0" xfId="2" applyNumberFormat="1" applyFont="1" applyFill="1" applyBorder="1" applyAlignment="1" applyProtection="1">
      <alignment horizontal="center" vertical="center"/>
      <protection locked="0"/>
    </xf>
    <xf numFmtId="0" fontId="13" fillId="2" borderId="11" xfId="2" quotePrefix="1" applyFont="1" applyFill="1" applyBorder="1" applyAlignment="1" applyProtection="1">
      <alignment horizontal="center" vertical="center"/>
      <protection hidden="1"/>
    </xf>
    <xf numFmtId="0" fontId="13" fillId="4" borderId="0" xfId="2" applyFont="1" applyFill="1" applyBorder="1" applyAlignment="1" applyProtection="1">
      <alignment horizontal="center" vertical="center"/>
      <protection hidden="1"/>
    </xf>
    <xf numFmtId="0" fontId="3" fillId="4" borderId="0" xfId="1" applyFill="1"/>
    <xf numFmtId="0" fontId="4" fillId="4" borderId="0" xfId="1" applyFont="1" applyFill="1" applyBorder="1"/>
    <xf numFmtId="0" fontId="5" fillId="4" borderId="0" xfId="1" applyFont="1" applyFill="1" applyBorder="1" applyAlignment="1"/>
    <xf numFmtId="0" fontId="4" fillId="4" borderId="0" xfId="1" applyFont="1" applyFill="1" applyBorder="1" applyAlignment="1">
      <alignment horizontal="center"/>
    </xf>
    <xf numFmtId="0" fontId="8" fillId="4" borderId="0" xfId="1" applyFont="1" applyFill="1" applyProtection="1">
      <protection hidden="1"/>
    </xf>
    <xf numFmtId="0" fontId="8" fillId="4" borderId="0" xfId="1" applyFont="1" applyFill="1" applyAlignment="1" applyProtection="1">
      <alignment horizontal="center"/>
      <protection hidden="1"/>
    </xf>
    <xf numFmtId="0" fontId="11" fillId="4" borderId="0" xfId="1" applyFont="1" applyFill="1" applyBorder="1" applyProtection="1">
      <protection locked="0"/>
    </xf>
    <xf numFmtId="166" fontId="11" fillId="4" borderId="0" xfId="1" applyNumberFormat="1" applyFont="1" applyFill="1" applyBorder="1" applyAlignment="1" applyProtection="1">
      <alignment horizontal="center"/>
      <protection locked="0"/>
    </xf>
    <xf numFmtId="0" fontId="11" fillId="4" borderId="0" xfId="1" applyFont="1" applyFill="1" applyProtection="1">
      <protection locked="0"/>
    </xf>
    <xf numFmtId="0" fontId="2" fillId="4" borderId="0" xfId="1" applyFont="1" applyFill="1"/>
    <xf numFmtId="0" fontId="13" fillId="0" borderId="31" xfId="2" applyFont="1" applyFill="1" applyBorder="1" applyAlignment="1" applyProtection="1">
      <alignment horizontal="center" vertical="center"/>
      <protection locked="0"/>
    </xf>
    <xf numFmtId="4" fontId="18" fillId="0" borderId="32" xfId="2" applyNumberFormat="1" applyFont="1" applyFill="1" applyBorder="1" applyAlignment="1" applyProtection="1">
      <alignment horizontal="center" vertical="center"/>
      <protection locked="0"/>
    </xf>
    <xf numFmtId="166" fontId="18" fillId="0" borderId="32" xfId="2" applyNumberFormat="1" applyFont="1" applyFill="1" applyBorder="1" applyAlignment="1" applyProtection="1">
      <alignment horizontal="center" vertical="center"/>
      <protection locked="0"/>
    </xf>
    <xf numFmtId="167" fontId="18" fillId="0" borderId="32" xfId="2" applyNumberFormat="1" applyFont="1" applyFill="1" applyBorder="1" applyAlignment="1" applyProtection="1">
      <alignment horizontal="center" vertical="center"/>
      <protection locked="0"/>
    </xf>
    <xf numFmtId="168" fontId="18" fillId="0" borderId="32" xfId="2" applyNumberFormat="1" applyFont="1" applyFill="1" applyBorder="1" applyAlignment="1" applyProtection="1">
      <alignment horizontal="center" vertical="center"/>
      <protection locked="0"/>
    </xf>
    <xf numFmtId="167" fontId="7" fillId="0" borderId="1" xfId="2" applyNumberFormat="1" applyFont="1" applyFill="1" applyBorder="1" applyAlignment="1" applyProtection="1">
      <alignment horizontal="center" vertical="center"/>
      <protection locked="0"/>
    </xf>
    <xf numFmtId="0" fontId="13" fillId="0" borderId="34" xfId="2" applyFont="1" applyFill="1" applyBorder="1" applyAlignment="1" applyProtection="1">
      <alignment horizontal="center" vertical="center"/>
      <protection locked="0"/>
    </xf>
    <xf numFmtId="166" fontId="18" fillId="0" borderId="35" xfId="2" applyNumberFormat="1" applyFont="1" applyFill="1" applyBorder="1" applyAlignment="1" applyProtection="1">
      <alignment horizontal="center" vertical="center"/>
      <protection locked="0"/>
    </xf>
    <xf numFmtId="167" fontId="18" fillId="0" borderId="35" xfId="2" applyNumberFormat="1" applyFont="1" applyFill="1" applyBorder="1" applyAlignment="1" applyProtection="1">
      <alignment horizontal="center" vertical="center"/>
      <protection locked="0"/>
    </xf>
    <xf numFmtId="168" fontId="18" fillId="0" borderId="35" xfId="2" applyNumberFormat="1" applyFont="1" applyFill="1" applyBorder="1" applyAlignment="1" applyProtection="1">
      <alignment horizontal="center" vertical="center"/>
      <protection locked="0"/>
    </xf>
    <xf numFmtId="166" fontId="7" fillId="0" borderId="21" xfId="1" applyNumberFormat="1" applyFont="1" applyFill="1" applyBorder="1" applyAlignment="1" applyProtection="1">
      <alignment horizontal="center" vertical="center"/>
      <protection locked="0"/>
    </xf>
    <xf numFmtId="166" fontId="7" fillId="4" borderId="21" xfId="1" applyNumberFormat="1" applyFont="1" applyFill="1" applyBorder="1" applyAlignment="1" applyProtection="1">
      <alignment horizontal="center" vertical="center"/>
      <protection locked="0"/>
    </xf>
    <xf numFmtId="0" fontId="13" fillId="0" borderId="37" xfId="2" applyFont="1" applyFill="1" applyBorder="1" applyAlignment="1" applyProtection="1">
      <alignment horizontal="center" vertical="center"/>
      <protection locked="0"/>
    </xf>
    <xf numFmtId="166" fontId="18" fillId="0" borderId="38" xfId="2" applyNumberFormat="1" applyFont="1" applyFill="1" applyBorder="1" applyAlignment="1" applyProtection="1">
      <alignment horizontal="center" vertical="center"/>
      <protection locked="0"/>
    </xf>
    <xf numFmtId="166" fontId="18" fillId="0" borderId="11" xfId="2" applyNumberFormat="1" applyFont="1" applyFill="1" applyBorder="1" applyAlignment="1" applyProtection="1">
      <alignment horizontal="center" vertical="center"/>
      <protection locked="0"/>
    </xf>
    <xf numFmtId="167" fontId="18" fillId="0" borderId="11" xfId="2" applyNumberFormat="1" applyFont="1" applyFill="1" applyBorder="1" applyAlignment="1" applyProtection="1">
      <alignment horizontal="center" vertical="center"/>
      <protection locked="0"/>
    </xf>
    <xf numFmtId="168" fontId="18" fillId="0" borderId="11" xfId="2" applyNumberFormat="1" applyFont="1" applyFill="1" applyBorder="1" applyAlignment="1" applyProtection="1">
      <alignment horizontal="center" vertical="center"/>
      <protection locked="0"/>
    </xf>
    <xf numFmtId="166" fontId="18" fillId="2" borderId="11" xfId="2" applyNumberFormat="1" applyFont="1" applyFill="1" applyBorder="1" applyAlignment="1" applyProtection="1">
      <alignment horizontal="left" vertical="center"/>
      <protection hidden="1"/>
    </xf>
    <xf numFmtId="168" fontId="18" fillId="0" borderId="39" xfId="2" applyNumberFormat="1" applyFont="1" applyFill="1" applyBorder="1" applyAlignment="1" applyProtection="1">
      <alignment horizontal="center" vertical="center"/>
      <protection locked="0"/>
    </xf>
    <xf numFmtId="167" fontId="18" fillId="0" borderId="1" xfId="2" applyNumberFormat="1" applyFont="1" applyFill="1" applyBorder="1" applyAlignment="1" applyProtection="1">
      <alignment horizontal="center" vertical="center"/>
      <protection hidden="1"/>
    </xf>
    <xf numFmtId="166" fontId="18" fillId="0" borderId="1" xfId="2" applyNumberFormat="1" applyFont="1" applyFill="1" applyBorder="1" applyAlignment="1" applyProtection="1">
      <alignment horizontal="center" vertical="center"/>
      <protection hidden="1"/>
    </xf>
    <xf numFmtId="166" fontId="18" fillId="0" borderId="15" xfId="2" applyNumberFormat="1" applyFont="1" applyFill="1" applyBorder="1" applyAlignment="1" applyProtection="1">
      <alignment horizontal="center" vertical="center"/>
      <protection hidden="1"/>
    </xf>
    <xf numFmtId="167" fontId="18" fillId="0" borderId="32" xfId="2" applyNumberFormat="1" applyFont="1" applyFill="1" applyBorder="1" applyAlignment="1" applyProtection="1">
      <alignment horizontal="center" vertical="center"/>
      <protection hidden="1"/>
    </xf>
    <xf numFmtId="166" fontId="18" fillId="0" borderId="32" xfId="2" applyNumberFormat="1" applyFont="1" applyFill="1" applyBorder="1" applyAlignment="1" applyProtection="1">
      <alignment horizontal="center" vertical="center"/>
      <protection hidden="1"/>
    </xf>
    <xf numFmtId="166" fontId="18" fillId="0" borderId="33" xfId="2" applyNumberFormat="1" applyFont="1" applyFill="1" applyBorder="1" applyAlignment="1" applyProtection="1">
      <alignment horizontal="center" vertical="center"/>
      <protection hidden="1"/>
    </xf>
    <xf numFmtId="167" fontId="18" fillId="0" borderId="35" xfId="2" applyNumberFormat="1" applyFont="1" applyFill="1" applyBorder="1" applyAlignment="1" applyProtection="1">
      <alignment horizontal="center" vertical="center"/>
      <protection hidden="1"/>
    </xf>
    <xf numFmtId="168" fontId="18" fillId="0" borderId="2" xfId="2" applyNumberFormat="1" applyFont="1" applyFill="1" applyBorder="1" applyAlignment="1" applyProtection="1">
      <alignment horizontal="center" vertical="center"/>
      <protection locked="0"/>
    </xf>
    <xf numFmtId="168" fontId="18" fillId="0" borderId="13" xfId="2" applyNumberFormat="1" applyFont="1" applyFill="1" applyBorder="1" applyAlignment="1" applyProtection="1">
      <alignment horizontal="center" vertical="center"/>
      <protection locked="0"/>
    </xf>
    <xf numFmtId="167" fontId="18" fillId="0" borderId="25" xfId="2" applyNumberFormat="1" applyFont="1" applyFill="1" applyBorder="1" applyAlignment="1" applyProtection="1">
      <alignment horizontal="center" vertical="center"/>
      <protection locked="0"/>
    </xf>
    <xf numFmtId="166" fontId="18" fillId="0" borderId="35" xfId="2" applyNumberFormat="1" applyFont="1" applyFill="1" applyBorder="1" applyAlignment="1" applyProtection="1">
      <alignment horizontal="center" vertical="center"/>
      <protection hidden="1"/>
    </xf>
    <xf numFmtId="166" fontId="18" fillId="0" borderId="40" xfId="2" applyNumberFormat="1" applyFont="1" applyFill="1" applyBorder="1" applyAlignment="1" applyProtection="1">
      <alignment horizontal="center" vertical="center"/>
      <protection hidden="1"/>
    </xf>
    <xf numFmtId="166" fontId="18" fillId="2" borderId="19" xfId="2" applyNumberFormat="1" applyFont="1" applyFill="1" applyBorder="1" applyAlignment="1" applyProtection="1">
      <alignment horizontal="center" vertical="center"/>
      <protection hidden="1"/>
    </xf>
    <xf numFmtId="2" fontId="27" fillId="0" borderId="22" xfId="1" applyNumberFormat="1" applyFont="1" applyFill="1" applyBorder="1" applyAlignment="1" applyProtection="1">
      <alignment horizontal="center" vertical="center"/>
    </xf>
    <xf numFmtId="166" fontId="27" fillId="4" borderId="22" xfId="1" applyNumberFormat="1" applyFont="1" applyFill="1" applyBorder="1" applyAlignment="1" applyProtection="1">
      <alignment horizontal="center" vertical="center"/>
    </xf>
    <xf numFmtId="0" fontId="30" fillId="4" borderId="24" xfId="1" applyFont="1" applyFill="1" applyBorder="1" applyAlignment="1">
      <alignment horizontal="center" vertical="top"/>
    </xf>
    <xf numFmtId="0" fontId="30" fillId="4" borderId="0" xfId="1" applyFont="1" applyFill="1" applyBorder="1" applyAlignment="1">
      <alignment horizontal="center" vertical="top"/>
    </xf>
    <xf numFmtId="0" fontId="3" fillId="4" borderId="0" xfId="1" applyFill="1" applyBorder="1" applyAlignment="1" applyProtection="1">
      <alignment horizontal="center"/>
      <protection locked="0"/>
    </xf>
    <xf numFmtId="0" fontId="3" fillId="4" borderId="23" xfId="1" applyFill="1" applyBorder="1" applyAlignment="1" applyProtection="1">
      <alignment horizontal="center"/>
      <protection locked="0"/>
    </xf>
    <xf numFmtId="0" fontId="3" fillId="4" borderId="0" xfId="1" applyFill="1" applyBorder="1" applyAlignment="1">
      <alignment horizontal="center"/>
    </xf>
    <xf numFmtId="0" fontId="0" fillId="4" borderId="24" xfId="1" applyFont="1" applyFill="1" applyBorder="1" applyAlignment="1">
      <alignment horizontal="center" vertical="top"/>
    </xf>
    <xf numFmtId="0" fontId="1" fillId="4" borderId="24" xfId="1" applyFont="1" applyFill="1" applyBorder="1" applyAlignment="1">
      <alignment horizontal="center" vertical="top"/>
    </xf>
    <xf numFmtId="0" fontId="1" fillId="4" borderId="0" xfId="1" applyFont="1" applyFill="1" applyBorder="1" applyAlignment="1">
      <alignment horizontal="center" vertical="top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7" fillId="0" borderId="4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right" vertical="center"/>
      <protection hidden="1"/>
    </xf>
    <xf numFmtId="0" fontId="6" fillId="2" borderId="4" xfId="1" applyFont="1" applyFill="1" applyBorder="1" applyAlignment="1" applyProtection="1">
      <alignment horizontal="right" vertical="center"/>
      <protection hidden="1"/>
    </xf>
    <xf numFmtId="170" fontId="7" fillId="0" borderId="2" xfId="1" applyNumberFormat="1" applyFont="1" applyFill="1" applyBorder="1" applyAlignment="1" applyProtection="1">
      <alignment horizontal="center"/>
      <protection locked="0"/>
    </xf>
    <xf numFmtId="170" fontId="7" fillId="0" borderId="3" xfId="1" applyNumberFormat="1" applyFont="1" applyFill="1" applyBorder="1" applyAlignment="1" applyProtection="1">
      <alignment horizontal="center"/>
      <protection locked="0"/>
    </xf>
    <xf numFmtId="170" fontId="7" fillId="0" borderId="4" xfId="1" applyNumberFormat="1" applyFont="1" applyFill="1" applyBorder="1" applyAlignment="1" applyProtection="1">
      <alignment horizontal="center"/>
      <protection locked="0"/>
    </xf>
    <xf numFmtId="164" fontId="28" fillId="0" borderId="2" xfId="1" applyNumberFormat="1" applyFont="1" applyFill="1" applyBorder="1" applyAlignment="1" applyProtection="1">
      <alignment horizontal="left"/>
      <protection locked="0"/>
    </xf>
    <xf numFmtId="164" fontId="28" fillId="0" borderId="4" xfId="1" applyNumberFormat="1" applyFont="1" applyFill="1" applyBorder="1" applyAlignment="1" applyProtection="1">
      <alignment horizontal="left"/>
      <protection locked="0"/>
    </xf>
    <xf numFmtId="0" fontId="13" fillId="2" borderId="6" xfId="2" applyFont="1" applyFill="1" applyBorder="1" applyAlignment="1" applyProtection="1">
      <alignment horizontal="center" vertical="center"/>
      <protection hidden="1"/>
    </xf>
    <xf numFmtId="0" fontId="13" fillId="2" borderId="10" xfId="2" applyFont="1" applyFill="1" applyBorder="1" applyAlignment="1" applyProtection="1">
      <alignment horizontal="center" vertical="center"/>
      <protection hidden="1"/>
    </xf>
    <xf numFmtId="0" fontId="13" fillId="2" borderId="36" xfId="2" applyFont="1" applyFill="1" applyBorder="1" applyAlignment="1" applyProtection="1">
      <alignment horizontal="center" vertical="center"/>
      <protection hidden="1"/>
    </xf>
    <xf numFmtId="0" fontId="3" fillId="4" borderId="0" xfId="1" applyFill="1" applyAlignment="1" applyProtection="1">
      <alignment horizontal="center"/>
      <protection locked="0"/>
    </xf>
    <xf numFmtId="0" fontId="26" fillId="4" borderId="0" xfId="1" applyFont="1" applyFill="1" applyAlignment="1">
      <alignment horizontal="center"/>
    </xf>
    <xf numFmtId="0" fontId="25" fillId="4" borderId="0" xfId="1" applyFont="1" applyFill="1" applyAlignment="1">
      <alignment horizontal="right" vertical="center"/>
    </xf>
    <xf numFmtId="0" fontId="25" fillId="4" borderId="26" xfId="1" applyFont="1" applyFill="1" applyBorder="1" applyAlignment="1">
      <alignment horizontal="right" vertical="center"/>
    </xf>
    <xf numFmtId="0" fontId="25" fillId="4" borderId="17" xfId="1" applyFont="1" applyFill="1" applyBorder="1" applyAlignment="1">
      <alignment horizontal="right" vertical="center"/>
    </xf>
    <xf numFmtId="0" fontId="25" fillId="4" borderId="27" xfId="1" applyFont="1" applyFill="1" applyBorder="1" applyAlignment="1">
      <alignment horizontal="right" vertical="center"/>
    </xf>
    <xf numFmtId="0" fontId="22" fillId="4" borderId="17" xfId="1" applyFont="1" applyFill="1" applyBorder="1" applyAlignment="1">
      <alignment horizontal="right" vertical="center"/>
    </xf>
    <xf numFmtId="0" fontId="22" fillId="4" borderId="27" xfId="1" applyFont="1" applyFill="1" applyBorder="1" applyAlignment="1">
      <alignment horizontal="right" vertical="center"/>
    </xf>
    <xf numFmtId="0" fontId="22" fillId="4" borderId="0" xfId="1" applyFont="1" applyFill="1" applyAlignment="1">
      <alignment horizontal="right"/>
    </xf>
    <xf numFmtId="0" fontId="22" fillId="4" borderId="26" xfId="1" applyFont="1" applyFill="1" applyBorder="1" applyAlignment="1">
      <alignment horizontal="right"/>
    </xf>
    <xf numFmtId="0" fontId="12" fillId="0" borderId="18" xfId="1" applyFont="1" applyFill="1" applyBorder="1" applyAlignment="1" applyProtection="1">
      <alignment horizontal="center" vertical="center"/>
      <protection hidden="1"/>
    </xf>
    <xf numFmtId="0" fontId="12" fillId="0" borderId="5" xfId="1" applyFont="1" applyFill="1" applyBorder="1" applyAlignment="1" applyProtection="1">
      <alignment horizontal="center" vertical="center"/>
      <protection hidden="1"/>
    </xf>
    <xf numFmtId="0" fontId="29" fillId="4" borderId="0" xfId="1" applyFont="1" applyFill="1" applyAlignment="1">
      <alignment horizontal="center" wrapText="1"/>
    </xf>
    <xf numFmtId="0" fontId="26" fillId="4" borderId="0" xfId="1" applyFont="1" applyFill="1" applyAlignment="1">
      <alignment horizontal="center" wrapText="1"/>
    </xf>
    <xf numFmtId="0" fontId="13" fillId="2" borderId="16" xfId="2" applyFont="1" applyFill="1" applyBorder="1" applyAlignment="1" applyProtection="1">
      <alignment horizontal="center" vertical="center"/>
      <protection locked="0"/>
    </xf>
    <xf numFmtId="0" fontId="13" fillId="2" borderId="17" xfId="2" applyFont="1" applyFill="1" applyBorder="1" applyAlignment="1" applyProtection="1">
      <alignment horizontal="center" vertical="center"/>
      <protection locked="0"/>
    </xf>
    <xf numFmtId="0" fontId="13" fillId="2" borderId="18" xfId="2" applyFont="1" applyFill="1" applyBorder="1" applyAlignment="1" applyProtection="1">
      <alignment horizontal="center" vertical="center"/>
      <protection locked="0"/>
    </xf>
    <xf numFmtId="0" fontId="13" fillId="2" borderId="5" xfId="2" applyFont="1" applyFill="1" applyBorder="1" applyAlignment="1" applyProtection="1">
      <alignment horizontal="center" vertical="center"/>
      <protection locked="0"/>
    </xf>
    <xf numFmtId="166" fontId="18" fillId="2" borderId="7" xfId="2" applyNumberFormat="1" applyFont="1" applyFill="1" applyBorder="1" applyAlignment="1" applyProtection="1">
      <alignment horizontal="center" vertical="center"/>
    </xf>
    <xf numFmtId="166" fontId="18" fillId="2" borderId="19" xfId="2" applyNumberFormat="1" applyFont="1" applyFill="1" applyBorder="1" applyAlignment="1" applyProtection="1">
      <alignment horizontal="center" vertical="center"/>
    </xf>
    <xf numFmtId="166" fontId="18" fillId="2" borderId="11" xfId="2" applyNumberFormat="1" applyFont="1" applyFill="1" applyBorder="1" applyAlignment="1" applyProtection="1">
      <alignment horizontal="center" vertical="center"/>
      <protection hidden="1"/>
    </xf>
    <xf numFmtId="166" fontId="18" fillId="2" borderId="19" xfId="2" applyNumberFormat="1" applyFont="1" applyFill="1" applyBorder="1" applyAlignment="1" applyProtection="1">
      <alignment horizontal="center" vertical="center"/>
      <protection hidden="1"/>
    </xf>
    <xf numFmtId="166" fontId="18" fillId="2" borderId="12" xfId="2" applyNumberFormat="1" applyFont="1" applyFill="1" applyBorder="1" applyAlignment="1" applyProtection="1">
      <alignment horizontal="center" vertical="center"/>
      <protection hidden="1"/>
    </xf>
    <xf numFmtId="166" fontId="7" fillId="4" borderId="17" xfId="2" applyNumberFormat="1" applyFont="1" applyFill="1" applyBorder="1" applyAlignment="1" applyProtection="1">
      <alignment horizontal="center" vertical="center"/>
      <protection locked="0"/>
    </xf>
    <xf numFmtId="0" fontId="12" fillId="3" borderId="28" xfId="1" applyFont="1" applyFill="1" applyBorder="1" applyAlignment="1" applyProtection="1">
      <alignment horizontal="center" vertical="center"/>
      <protection hidden="1"/>
    </xf>
    <xf numFmtId="0" fontId="12" fillId="3" borderId="29" xfId="1" applyFont="1" applyFill="1" applyBorder="1" applyAlignment="1" applyProtection="1">
      <alignment horizontal="center" vertical="center"/>
      <protection hidden="1"/>
    </xf>
    <xf numFmtId="0" fontId="15" fillId="0" borderId="0" xfId="2" applyFont="1" applyFill="1" applyBorder="1" applyAlignment="1" applyProtection="1">
      <alignment horizontal="center" vertical="center"/>
      <protection hidden="1"/>
    </xf>
    <xf numFmtId="0" fontId="6" fillId="4" borderId="30" xfId="1" applyFont="1" applyFill="1" applyBorder="1" applyAlignment="1" applyProtection="1">
      <alignment horizontal="center"/>
      <protection hidden="1"/>
    </xf>
    <xf numFmtId="0" fontId="6" fillId="4" borderId="25" xfId="1" applyFont="1" applyFill="1" applyBorder="1" applyAlignment="1" applyProtection="1">
      <alignment horizontal="center"/>
      <protection hidden="1"/>
    </xf>
    <xf numFmtId="0" fontId="6" fillId="4" borderId="0" xfId="1" applyFont="1" applyFill="1" applyAlignment="1" applyProtection="1">
      <alignment horizontal="right"/>
      <protection hidden="1"/>
    </xf>
    <xf numFmtId="166" fontId="18" fillId="2" borderId="7" xfId="2" applyNumberFormat="1" applyFont="1" applyFill="1" applyBorder="1" applyAlignment="1" applyProtection="1">
      <alignment horizontal="center" vertical="center"/>
      <protection hidden="1"/>
    </xf>
    <xf numFmtId="166" fontId="18" fillId="2" borderId="8" xfId="2" applyNumberFormat="1" applyFont="1" applyFill="1" applyBorder="1" applyAlignment="1" applyProtection="1">
      <alignment horizontal="center" vertical="center"/>
      <protection hidden="1"/>
    </xf>
    <xf numFmtId="166" fontId="18" fillId="2" borderId="20" xfId="2" applyNumberFormat="1" applyFont="1" applyFill="1" applyBorder="1" applyAlignment="1" applyProtection="1">
      <alignment horizontal="center" vertical="center"/>
      <protection hidden="1"/>
    </xf>
    <xf numFmtId="0" fontId="7" fillId="0" borderId="2" xfId="1" applyFont="1" applyFill="1" applyBorder="1" applyAlignment="1" applyProtection="1">
      <alignment horizontal="center" vertical="center"/>
    </xf>
    <xf numFmtId="0" fontId="7" fillId="0" borderId="3" xfId="1" applyFont="1" applyFill="1" applyBorder="1" applyAlignment="1" applyProtection="1">
      <alignment horizontal="center" vertical="center"/>
    </xf>
    <xf numFmtId="0" fontId="7" fillId="0" borderId="4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right" vertical="center"/>
      <protection hidden="1"/>
    </xf>
    <xf numFmtId="0" fontId="7" fillId="0" borderId="1" xfId="1" applyFont="1" applyFill="1" applyBorder="1" applyAlignment="1" applyProtection="1">
      <alignment horizontal="left"/>
      <protection locked="0"/>
    </xf>
    <xf numFmtId="0" fontId="6" fillId="2" borderId="1" xfId="1" applyFont="1" applyFill="1" applyBorder="1" applyAlignment="1" applyProtection="1">
      <alignment horizontal="left"/>
      <protection hidden="1"/>
    </xf>
    <xf numFmtId="165" fontId="7" fillId="0" borderId="2" xfId="1" applyNumberFormat="1" applyFont="1" applyFill="1" applyBorder="1" applyAlignment="1" applyProtection="1">
      <alignment horizontal="left"/>
      <protection locked="0"/>
    </xf>
    <xf numFmtId="165" fontId="7" fillId="0" borderId="3" xfId="1" applyNumberFormat="1" applyFont="1" applyFill="1" applyBorder="1" applyAlignment="1" applyProtection="1">
      <alignment horizontal="left"/>
      <protection locked="0"/>
    </xf>
    <xf numFmtId="165" fontId="7" fillId="0" borderId="4" xfId="1" applyNumberFormat="1" applyFont="1" applyFill="1" applyBorder="1" applyAlignment="1" applyProtection="1">
      <alignment horizontal="left"/>
      <protection locked="0"/>
    </xf>
  </cellXfs>
  <cellStyles count="3">
    <cellStyle name="Normal 4" xfId="1"/>
    <cellStyle name="Normal_CARGO_MODULE PARTC1" xfId="2"/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M54"/>
  <sheetViews>
    <sheetView tabSelected="1" zoomScale="85" zoomScaleNormal="85" workbookViewId="0">
      <selection activeCell="G16" sqref="G16"/>
    </sheetView>
  </sheetViews>
  <sheetFormatPr defaultColWidth="9.109375" defaultRowHeight="14.4"/>
  <cols>
    <col min="1" max="3" width="9.109375" style="1"/>
    <col min="4" max="4" width="9.5546875" style="1" bestFit="1" customWidth="1"/>
    <col min="5" max="6" width="9.109375" style="1"/>
    <col min="7" max="7" width="9.6640625" style="1" customWidth="1"/>
    <col min="8" max="9" width="9.109375" style="1"/>
    <col min="10" max="10" width="13.6640625" style="1" customWidth="1"/>
    <col min="11" max="11" width="7.109375" style="1" hidden="1" customWidth="1"/>
    <col min="12" max="12" width="6" style="1" hidden="1" customWidth="1"/>
    <col min="13" max="13" width="4.6640625" style="1" hidden="1" customWidth="1"/>
    <col min="14" max="14" width="5.33203125" style="1" hidden="1" customWidth="1"/>
    <col min="15" max="15" width="5.44140625" style="1" hidden="1" customWidth="1"/>
    <col min="16" max="16" width="3.88671875" style="1" hidden="1" customWidth="1"/>
    <col min="17" max="17" width="6.44140625" style="1" hidden="1" customWidth="1"/>
    <col min="18" max="18" width="4.6640625" style="1" hidden="1" customWidth="1"/>
    <col min="19" max="19" width="7.5546875" style="1" hidden="1" customWidth="1"/>
    <col min="20" max="20" width="6.88671875" style="1" hidden="1" customWidth="1"/>
    <col min="21" max="21" width="6.5546875" style="1" hidden="1" customWidth="1"/>
    <col min="22" max="22" width="5.5546875" style="1" hidden="1" customWidth="1"/>
    <col min="23" max="23" width="9.6640625" style="1" hidden="1" customWidth="1"/>
    <col min="24" max="24" width="7.44140625" style="1" hidden="1" customWidth="1"/>
    <col min="25" max="25" width="7.33203125" style="1" hidden="1" customWidth="1"/>
    <col min="26" max="26" width="5.5546875" style="1" hidden="1" customWidth="1"/>
    <col min="27" max="27" width="6.5546875" style="1" hidden="1" customWidth="1"/>
    <col min="28" max="28" width="9" style="1" hidden="1" customWidth="1"/>
    <col min="29" max="30" width="7.5546875" style="1" hidden="1" customWidth="1"/>
    <col min="31" max="31" width="5.6640625" style="1" hidden="1" customWidth="1"/>
    <col min="32" max="32" width="9" style="1" hidden="1" customWidth="1"/>
    <col min="33" max="33" width="8.33203125" style="1" hidden="1" customWidth="1"/>
    <col min="34" max="34" width="7.44140625" style="1" hidden="1" customWidth="1"/>
    <col min="35" max="35" width="7.88671875" style="1" hidden="1" customWidth="1"/>
    <col min="36" max="36" width="11.6640625" style="1" hidden="1" customWidth="1"/>
    <col min="37" max="37" width="11.109375" style="1" hidden="1" customWidth="1"/>
    <col min="38" max="38" width="10" style="1" hidden="1" customWidth="1"/>
    <col min="39" max="39" width="7.88671875" style="1" hidden="1" customWidth="1"/>
    <col min="40" max="40" width="6.5546875" style="1" hidden="1" customWidth="1"/>
    <col min="41" max="41" width="4.88671875" style="1" hidden="1" customWidth="1"/>
    <col min="42" max="42" width="8" style="1" hidden="1" customWidth="1"/>
    <col min="43" max="43" width="10.33203125" style="1" hidden="1" customWidth="1"/>
    <col min="44" max="44" width="7.44140625" style="1" hidden="1" customWidth="1"/>
    <col min="45" max="45" width="12.109375" style="1" hidden="1" customWidth="1"/>
    <col min="46" max="46" width="5" style="1" hidden="1" customWidth="1"/>
    <col min="47" max="47" width="3.44140625" style="1" hidden="1" customWidth="1"/>
    <col min="48" max="48" width="6.33203125" style="1" hidden="1" customWidth="1"/>
    <col min="49" max="49" width="10.88671875" style="1" hidden="1" customWidth="1"/>
    <col min="50" max="50" width="8.109375" style="1" hidden="1" customWidth="1"/>
    <col min="51" max="51" width="14.33203125" style="1" hidden="1" customWidth="1"/>
    <col min="52" max="52" width="20.44140625" style="1" hidden="1" customWidth="1"/>
    <col min="53" max="53" width="11.88671875" style="1" hidden="1" customWidth="1"/>
    <col min="54" max="54" width="25.44140625" style="1" hidden="1" customWidth="1"/>
    <col min="55" max="55" width="16.44140625" style="1" hidden="1" customWidth="1"/>
    <col min="56" max="56" width="10.88671875" style="1" hidden="1" customWidth="1"/>
    <col min="57" max="57" width="7.109375" style="1" hidden="1" customWidth="1"/>
    <col min="58" max="58" width="11.44140625" style="1" hidden="1" customWidth="1"/>
    <col min="59" max="59" width="5" style="1" hidden="1" customWidth="1"/>
    <col min="60" max="60" width="6.44140625" style="1" hidden="1" customWidth="1"/>
    <col min="61" max="61" width="7.33203125" style="1" hidden="1" customWidth="1"/>
    <col min="62" max="62" width="7.109375" style="1" hidden="1" customWidth="1"/>
    <col min="63" max="63" width="9.6640625" style="1" hidden="1" customWidth="1"/>
    <col min="64" max="64" width="11.109375" style="1" hidden="1" customWidth="1"/>
    <col min="65" max="65" width="6.109375" style="1" hidden="1" customWidth="1"/>
    <col min="66" max="66" width="6.33203125" style="1" hidden="1" customWidth="1"/>
    <col min="67" max="67" width="7.109375" style="1" hidden="1" customWidth="1"/>
    <col min="68" max="68" width="7.6640625" style="1" hidden="1" customWidth="1"/>
    <col min="69" max="69" width="9.109375" style="1" hidden="1" customWidth="1"/>
    <col min="70" max="70" width="11.109375" style="1" hidden="1" customWidth="1"/>
    <col min="71" max="71" width="8.44140625" style="1" hidden="1" customWidth="1"/>
    <col min="72" max="72" width="7.109375" style="1" hidden="1" customWidth="1"/>
    <col min="73" max="73" width="12.33203125" style="1" hidden="1" customWidth="1"/>
    <col min="74" max="74" width="7.109375" style="1" hidden="1" customWidth="1"/>
    <col min="75" max="75" width="10.33203125" style="1" hidden="1" customWidth="1"/>
    <col min="76" max="76" width="9" style="1" hidden="1" customWidth="1"/>
    <col min="77" max="77" width="10.33203125" style="1" hidden="1" customWidth="1"/>
    <col min="78" max="78" width="8.88671875" style="1" hidden="1" customWidth="1"/>
    <col min="79" max="79" width="7.33203125" style="1" hidden="1" customWidth="1"/>
    <col min="80" max="80" width="5.6640625" style="1" hidden="1" customWidth="1"/>
    <col min="81" max="81" width="7.33203125" style="1" hidden="1" customWidth="1"/>
    <col min="82" max="82" width="9.5546875" style="1" hidden="1" customWidth="1"/>
    <col min="83" max="83" width="4" style="1" hidden="1" customWidth="1"/>
    <col min="84" max="84" width="6.6640625" style="1" hidden="1" customWidth="1"/>
    <col min="85" max="85" width="7.5546875" style="1" hidden="1" customWidth="1"/>
    <col min="86" max="86" width="8.44140625" style="1" hidden="1" customWidth="1"/>
    <col min="87" max="87" width="5.88671875" style="1" hidden="1" customWidth="1"/>
    <col min="88" max="88" width="3.44140625" style="1" hidden="1" customWidth="1"/>
    <col min="89" max="89" width="7.44140625" style="1" hidden="1" customWidth="1"/>
    <col min="90" max="90" width="14.6640625" style="1" hidden="1" customWidth="1"/>
    <col min="91" max="91" width="8" style="1" hidden="1" customWidth="1"/>
    <col min="92" max="92" width="9.6640625" style="1" hidden="1" customWidth="1"/>
    <col min="93" max="93" width="6.88671875" style="1" hidden="1" customWidth="1"/>
    <col min="94" max="94" width="8.109375" style="1" hidden="1" customWidth="1"/>
    <col min="95" max="95" width="8.33203125" style="1" hidden="1" customWidth="1"/>
    <col min="96" max="96" width="6.6640625" style="1" hidden="1" customWidth="1"/>
    <col min="97" max="97" width="5" style="1" hidden="1" customWidth="1"/>
    <col min="98" max="98" width="11.6640625" style="1" hidden="1" customWidth="1"/>
    <col min="99" max="99" width="6.88671875" style="1" hidden="1" customWidth="1"/>
    <col min="100" max="100" width="8" style="1" hidden="1" customWidth="1"/>
    <col min="101" max="101" width="5.109375" style="1" hidden="1" customWidth="1"/>
    <col min="102" max="102" width="6.6640625" style="1" hidden="1" customWidth="1"/>
    <col min="103" max="103" width="7.88671875" style="1" hidden="1" customWidth="1"/>
    <col min="104" max="104" width="6.33203125" style="1" hidden="1" customWidth="1"/>
    <col min="105" max="105" width="16.44140625" style="1" hidden="1" customWidth="1"/>
    <col min="106" max="106" width="5.109375" style="1" hidden="1" customWidth="1"/>
    <col min="107" max="107" width="8.6640625" style="1" hidden="1" customWidth="1"/>
    <col min="108" max="108" width="5.44140625" style="1" hidden="1" customWidth="1"/>
    <col min="109" max="109" width="12.33203125" style="1" hidden="1" customWidth="1"/>
    <col min="110" max="110" width="7.33203125" style="1" hidden="1" customWidth="1"/>
    <col min="111" max="111" width="6.109375" style="1" hidden="1" customWidth="1"/>
    <col min="112" max="112" width="8" style="1" hidden="1" customWidth="1"/>
    <col min="113" max="113" width="8.109375" style="1" hidden="1" customWidth="1"/>
    <col min="114" max="114" width="9.109375" style="1" hidden="1" customWidth="1"/>
    <col min="115" max="115" width="7.33203125" style="1" hidden="1" customWidth="1"/>
    <col min="116" max="116" width="6.33203125" style="1" hidden="1" customWidth="1"/>
    <col min="117" max="117" width="7.5546875" style="1" hidden="1" customWidth="1"/>
    <col min="118" max="118" width="6.88671875" style="1" hidden="1" customWidth="1"/>
    <col min="119" max="119" width="12.5546875" style="1" customWidth="1"/>
    <col min="120" max="120" width="6.88671875" style="1" customWidth="1"/>
    <col min="121" max="121" width="9.33203125" style="1" customWidth="1"/>
    <col min="122" max="122" width="10.109375" style="1" customWidth="1"/>
    <col min="123" max="123" width="17.5546875" style="1" customWidth="1"/>
    <col min="124" max="124" width="8.88671875" style="1" customWidth="1"/>
    <col min="125" max="125" width="16.44140625" style="1" customWidth="1"/>
    <col min="126" max="126" width="8.44140625" style="1" customWidth="1"/>
    <col min="127" max="127" width="3.109375" style="1" customWidth="1"/>
    <col min="128" max="128" width="6.109375" style="1" customWidth="1"/>
    <col min="129" max="129" width="14" style="1" customWidth="1"/>
    <col min="130" max="130" width="10.5546875" style="1" customWidth="1"/>
    <col min="131" max="133" width="4" style="1" customWidth="1"/>
    <col min="134" max="134" width="4.6640625" style="1" customWidth="1"/>
    <col min="135" max="135" width="23.5546875" style="1" customWidth="1"/>
    <col min="136" max="136" width="9.109375" style="1" customWidth="1"/>
    <col min="137" max="137" width="7.88671875" style="1" customWidth="1"/>
    <col min="138" max="138" width="7" style="1" customWidth="1"/>
    <col min="139" max="139" width="6.6640625" style="1" customWidth="1"/>
    <col min="140" max="16384" width="9.109375" style="1"/>
  </cols>
  <sheetData>
    <row r="1" spans="1:143" ht="15" customHeight="1">
      <c r="A1" s="122" t="s">
        <v>56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143" ht="15" customHeight="1">
      <c r="A2" s="122"/>
      <c r="B2" s="122"/>
      <c r="C2" s="122"/>
      <c r="D2" s="122"/>
      <c r="E2" s="122"/>
      <c r="F2" s="122"/>
      <c r="G2" s="122"/>
      <c r="H2" s="122"/>
      <c r="I2" s="122"/>
      <c r="J2" s="122"/>
    </row>
    <row r="3" spans="1:143" ht="15" customHeight="1">
      <c r="A3" s="133" t="s">
        <v>58</v>
      </c>
      <c r="B3" s="134"/>
      <c r="C3" s="134"/>
      <c r="D3" s="134"/>
      <c r="E3" s="134"/>
      <c r="F3" s="134"/>
      <c r="G3" s="134"/>
      <c r="H3" s="134"/>
      <c r="I3" s="134"/>
      <c r="J3" s="134"/>
    </row>
    <row r="4" spans="1:143" ht="15" customHeight="1">
      <c r="A4" s="134"/>
      <c r="B4" s="134"/>
      <c r="C4" s="134"/>
      <c r="D4" s="134"/>
      <c r="E4" s="134"/>
      <c r="F4" s="134"/>
      <c r="G4" s="134"/>
      <c r="H4" s="134"/>
      <c r="I4" s="134"/>
      <c r="J4" s="134"/>
    </row>
    <row r="5" spans="1:143" ht="15" customHeight="1">
      <c r="A5" s="57"/>
      <c r="B5" s="57"/>
      <c r="C5" s="58"/>
      <c r="D5" s="58"/>
      <c r="E5" s="58"/>
      <c r="F5" s="58"/>
      <c r="G5" s="58"/>
      <c r="H5" s="58"/>
      <c r="I5" s="58"/>
      <c r="J5" s="59"/>
    </row>
    <row r="6" spans="1:143" ht="18" customHeight="1">
      <c r="A6" s="111" t="s">
        <v>0</v>
      </c>
      <c r="B6" s="112"/>
      <c r="C6" s="154" t="s">
        <v>61</v>
      </c>
      <c r="D6" s="155"/>
      <c r="E6" s="156"/>
      <c r="F6" s="157" t="s">
        <v>1</v>
      </c>
      <c r="G6" s="157"/>
      <c r="H6" s="158" t="s">
        <v>67</v>
      </c>
      <c r="I6" s="158"/>
      <c r="J6" s="158"/>
      <c r="K6" s="2"/>
      <c r="L6" s="2"/>
      <c r="M6" s="2"/>
      <c r="N6" s="2"/>
      <c r="O6" s="2"/>
      <c r="P6" s="2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</row>
    <row r="7" spans="1:143" ht="18" customHeight="1">
      <c r="A7" s="111" t="s">
        <v>55</v>
      </c>
      <c r="B7" s="112"/>
      <c r="C7" s="108" t="s">
        <v>62</v>
      </c>
      <c r="D7" s="109"/>
      <c r="E7" s="110"/>
      <c r="F7" s="111" t="s">
        <v>4</v>
      </c>
      <c r="G7" s="112"/>
      <c r="H7" s="113" t="s">
        <v>63</v>
      </c>
      <c r="I7" s="114"/>
      <c r="J7" s="115"/>
      <c r="K7" s="2"/>
      <c r="L7" s="2"/>
      <c r="M7" s="2"/>
      <c r="N7" s="2"/>
      <c r="O7" s="2"/>
      <c r="P7" s="2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</row>
    <row r="8" spans="1:143" ht="18" customHeight="1">
      <c r="A8" s="159" t="s">
        <v>2</v>
      </c>
      <c r="B8" s="159"/>
      <c r="C8" s="4">
        <v>18.02</v>
      </c>
      <c r="D8" s="4">
        <v>18.36</v>
      </c>
      <c r="E8" s="5" t="s">
        <v>3</v>
      </c>
      <c r="F8" s="116">
        <v>0.34</v>
      </c>
      <c r="G8" s="117"/>
      <c r="H8" s="160"/>
      <c r="I8" s="161"/>
      <c r="J8" s="162"/>
      <c r="K8" s="2"/>
      <c r="L8" s="2"/>
      <c r="M8" s="2"/>
      <c r="N8" s="2"/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</row>
    <row r="9" spans="1:143" ht="15" thickBot="1">
      <c r="A9" s="60"/>
      <c r="B9" s="60"/>
      <c r="C9" s="61"/>
      <c r="D9" s="61"/>
      <c r="E9" s="148"/>
      <c r="F9" s="149"/>
      <c r="G9" s="150"/>
      <c r="H9" s="150"/>
      <c r="I9" s="61"/>
      <c r="J9" s="60"/>
      <c r="K9" s="6"/>
      <c r="L9" s="6"/>
      <c r="M9" s="6"/>
      <c r="N9" s="6"/>
      <c r="O9" s="6"/>
      <c r="P9" s="6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</row>
    <row r="10" spans="1:143" ht="17.100000000000001" customHeight="1" thickBot="1">
      <c r="A10" s="145" t="s">
        <v>5</v>
      </c>
      <c r="B10" s="146"/>
      <c r="C10" s="131"/>
      <c r="D10" s="132"/>
      <c r="E10" s="132"/>
      <c r="F10" s="132"/>
      <c r="G10" s="132"/>
      <c r="H10" s="132"/>
      <c r="I10" s="132"/>
      <c r="J10" s="132"/>
      <c r="K10" s="6"/>
      <c r="L10" s="6"/>
      <c r="M10" s="6"/>
      <c r="N10" s="6"/>
      <c r="O10" s="6"/>
      <c r="P10" s="6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</row>
    <row r="11" spans="1:143">
      <c r="A11" s="118" t="s">
        <v>6</v>
      </c>
      <c r="B11" s="9" t="s">
        <v>7</v>
      </c>
      <c r="C11" s="9" t="s">
        <v>8</v>
      </c>
      <c r="D11" s="9" t="str">
        <f>IF(OR(F13="6A",F13="6B",F13="24A",F13="24B"),"API","DENSITY")</f>
        <v>DENSITY</v>
      </c>
      <c r="E11" s="9" t="s">
        <v>9</v>
      </c>
      <c r="F11" s="9" t="s">
        <v>10</v>
      </c>
      <c r="G11" s="10" t="s">
        <v>11</v>
      </c>
      <c r="H11" s="8" t="s">
        <v>12</v>
      </c>
      <c r="I11" s="11" t="s">
        <v>13</v>
      </c>
      <c r="J11" s="10" t="s">
        <v>13</v>
      </c>
      <c r="K11" s="12"/>
      <c r="L11" s="12"/>
      <c r="M11" s="13">
        <f>5298.25*0.9779</f>
        <v>5181.1586749999997</v>
      </c>
      <c r="N11" s="12"/>
      <c r="O11" s="12"/>
      <c r="P11" s="12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</row>
    <row r="12" spans="1:143" ht="15.6">
      <c r="A12" s="119"/>
      <c r="B12" s="16" t="s">
        <v>14</v>
      </c>
      <c r="C12" s="17" t="s">
        <v>15</v>
      </c>
      <c r="D12" s="18" t="s">
        <v>16</v>
      </c>
      <c r="E12" s="16" t="str">
        <f>IF(OR(F13="6A",F13="6B",F13="24A",F13="24B"),"F","C")</f>
        <v>C</v>
      </c>
      <c r="F12" s="16" t="s">
        <v>17</v>
      </c>
      <c r="G12" s="19" t="str">
        <f>C12</f>
        <v>M3</v>
      </c>
      <c r="H12" s="15" t="s">
        <v>17</v>
      </c>
      <c r="I12" s="20" t="s">
        <v>18</v>
      </c>
      <c r="J12" s="19" t="s">
        <v>18</v>
      </c>
      <c r="K12" s="12"/>
      <c r="L12" s="12" t="s">
        <v>19</v>
      </c>
      <c r="M12" s="12"/>
      <c r="N12" s="12"/>
      <c r="O12" s="12"/>
      <c r="P12" s="12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7" t="s">
        <v>20</v>
      </c>
      <c r="BD12" s="147"/>
      <c r="BE12" s="147"/>
      <c r="BF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  <c r="CT12" s="147"/>
      <c r="CU12" s="147"/>
      <c r="CV12" s="147"/>
      <c r="CW12" s="147"/>
      <c r="CX12" s="147"/>
      <c r="CY12" s="147"/>
      <c r="CZ12" s="147"/>
      <c r="DA12" s="147"/>
      <c r="DB12" s="147"/>
      <c r="DC12" s="147"/>
      <c r="DD12" s="147"/>
      <c r="DE12" s="147"/>
      <c r="DF12" s="147"/>
      <c r="DG12" s="14"/>
      <c r="DH12" s="14"/>
      <c r="DI12" s="14"/>
      <c r="DJ12" s="14"/>
      <c r="DK12" s="14"/>
      <c r="DL12" s="14"/>
      <c r="DM12" s="14"/>
      <c r="DN12" s="14"/>
      <c r="DO12" s="14"/>
    </row>
    <row r="13" spans="1:143" ht="15" thickBot="1">
      <c r="A13" s="120"/>
      <c r="B13" s="17" t="s">
        <v>21</v>
      </c>
      <c r="C13" s="16" t="s">
        <v>22</v>
      </c>
      <c r="D13" s="16"/>
      <c r="E13" s="16"/>
      <c r="F13" s="21" t="s">
        <v>23</v>
      </c>
      <c r="G13" s="19"/>
      <c r="H13" s="15">
        <v>11</v>
      </c>
      <c r="I13" s="20" t="s">
        <v>24</v>
      </c>
      <c r="J13" s="22" t="s">
        <v>25</v>
      </c>
      <c r="K13" s="12"/>
      <c r="L13" s="12" t="s">
        <v>15</v>
      </c>
      <c r="M13" s="12"/>
      <c r="N13" s="12"/>
      <c r="O13" s="12"/>
      <c r="P13" s="12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23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 t="s">
        <v>26</v>
      </c>
      <c r="BE13" s="14" t="s">
        <v>27</v>
      </c>
      <c r="BF13" s="14"/>
      <c r="BG13" s="14"/>
      <c r="BH13" s="14"/>
      <c r="BI13" s="14"/>
      <c r="BJ13" s="14"/>
      <c r="BK13" s="14"/>
      <c r="BL13" s="14"/>
      <c r="BM13" s="14"/>
      <c r="BN13" s="14" t="s">
        <v>28</v>
      </c>
      <c r="BO13" s="14"/>
      <c r="BP13" s="14"/>
      <c r="BQ13" s="14"/>
      <c r="BR13" s="14"/>
      <c r="BS13" s="14"/>
      <c r="BT13" s="14"/>
      <c r="BU13" s="14"/>
      <c r="BV13" s="14"/>
      <c r="BW13" s="14"/>
      <c r="BX13" s="14" t="s">
        <v>29</v>
      </c>
      <c r="BY13" s="14"/>
      <c r="BZ13" s="14"/>
      <c r="CA13" s="14" t="s">
        <v>30</v>
      </c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 t="s">
        <v>31</v>
      </c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 t="s">
        <v>32</v>
      </c>
      <c r="CZ13" s="14"/>
      <c r="DA13" s="14"/>
      <c r="DB13" s="14" t="s">
        <v>33</v>
      </c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</row>
    <row r="14" spans="1:143" ht="15.9" customHeight="1">
      <c r="A14" s="66" t="s">
        <v>34</v>
      </c>
      <c r="B14" s="67">
        <v>635</v>
      </c>
      <c r="C14" s="68">
        <v>1.72</v>
      </c>
      <c r="D14" s="69">
        <v>0.98919999999999997</v>
      </c>
      <c r="E14" s="70">
        <v>30</v>
      </c>
      <c r="F14" s="88">
        <f>IF($F$13="6A",IF(ISERROR(P14),0,P14),IF($F$13="54A",IF(ISERROR(W14),0,W14),IF($F$13="6B",IF(ISERROR(AD14),0,AD14),IF($F$13="54B",IF(ISERROR(AK14),0,AK14),IF($F$13="24A",AS14,IF($F$13="24B",BA14))))))</f>
        <v>0.98970000000000002</v>
      </c>
      <c r="G14" s="89">
        <f t="shared" ref="G14:G25" si="0">IF($G$12="BBLS",ROUND((C14*F14),3),ROUND((C14*F14),3))</f>
        <v>1.702</v>
      </c>
      <c r="H14" s="88">
        <f t="shared" ref="H14:H25" si="1">D14-0.0011</f>
        <v>0.98809999999999998</v>
      </c>
      <c r="I14" s="89">
        <f t="shared" ref="I14:I25" si="2">G14*D14</f>
        <v>1.6836183999999998</v>
      </c>
      <c r="J14" s="90">
        <f t="shared" ref="J14:J25" si="3">G14*H14</f>
        <v>1.6817461999999999</v>
      </c>
      <c r="K14" s="24">
        <f t="shared" ref="K14:K25" si="4">INT(E14*2+0.5)/2</f>
        <v>30</v>
      </c>
      <c r="L14" s="24">
        <f t="shared" ref="L14:L25" si="5">K14-60</f>
        <v>-30</v>
      </c>
      <c r="M14" s="24">
        <f t="shared" ref="M14:M25" si="6">INT(D14*2+0.5)/2</f>
        <v>1</v>
      </c>
      <c r="N14" s="24">
        <f t="shared" ref="N14:N25" si="7">ROUND((141360.198/(M14+131.5)),3)</f>
        <v>1066.8689999999999</v>
      </c>
      <c r="O14" s="24">
        <f t="shared" ref="O14:O25" si="8">ROUND((341.0957/N14^2)+(0/N14),8)</f>
        <v>2.9967999999999998E-4</v>
      </c>
      <c r="P14" s="24">
        <f t="shared" ref="P14:P25" si="9">ROUND(EXP(-O14*L14*(1+0.8*O14*L14)),4)</f>
        <v>1.0089999999999999</v>
      </c>
      <c r="Q14" s="25"/>
      <c r="R14" s="26">
        <f t="shared" ref="R14:R25" si="10">INT(E14*4+0.5)/4</f>
        <v>30</v>
      </c>
      <c r="S14" s="27">
        <f t="shared" ref="S14:S25" si="11">R14-15</f>
        <v>15</v>
      </c>
      <c r="T14" s="27">
        <f t="shared" ref="T14:T25" si="12">ROUND((D14/2*1000),1)</f>
        <v>494.6</v>
      </c>
      <c r="U14" s="27">
        <f t="shared" ref="U14:U25" si="13">T14*2</f>
        <v>989.2</v>
      </c>
      <c r="V14" s="27">
        <f t="shared" ref="V14:V25" si="14">ROUND(ROUND(ROUND(613.9723/U14,9)/U14,11)+ROUND(0/U14,11),8)</f>
        <v>6.2744999999999999E-4</v>
      </c>
      <c r="W14" s="27">
        <f t="shared" ref="W14:W25" si="15">ROUND(EXP(ROUND(-V14*S14*(1+0.8*V14*S14),9)),4)</f>
        <v>0.99060000000000004</v>
      </c>
      <c r="X14" s="28"/>
      <c r="Y14" s="27">
        <f t="shared" ref="Y14:Y25" si="16">INT(E14*2+0.5)/2</f>
        <v>30</v>
      </c>
      <c r="Z14" s="27">
        <f t="shared" ref="Z14:Z25" si="17">Y14-60</f>
        <v>-30</v>
      </c>
      <c r="AA14" s="27">
        <f t="shared" ref="AA14:AA25" si="18">INT(D14*2+0.5)/2</f>
        <v>1</v>
      </c>
      <c r="AB14" s="27">
        <f t="shared" ref="AB14:AB25" si="19">ROUND((141360.198/(D14+131.5)),8)</f>
        <v>1066.95638588</v>
      </c>
      <c r="AC14" s="27">
        <f t="shared" ref="AC14:AC25" si="20">IF(AB14&lt;=771,ROUND(((192.4571/AB14^2)+(0.2438/AB14)),8),IF(AB14&lt;=788.5,(1489.067/AB14^2)+(-0.0018684),IF(AB14&lt;=840,ROUND(((330.301/AB14^2)+(0/AB14)),8),IF(AB14&lt;=1076,ROUND(((103.872/AB14^2)+(0.2701/AB14)),8)))))</f>
        <v>3.4438999999999997E-4</v>
      </c>
      <c r="AD14" s="27">
        <f t="shared" ref="AD14:AD25" si="21">ROUND(EXP(-AC14*Z14*(1+0.8*AC14*Z14)),4)</f>
        <v>1.0103</v>
      </c>
      <c r="AE14" s="25"/>
      <c r="AF14" s="26">
        <f t="shared" ref="AF14:AF25" si="22">INT(E14*4+0.5)/4</f>
        <v>30</v>
      </c>
      <c r="AG14" s="27">
        <f>AF14-15</f>
        <v>15</v>
      </c>
      <c r="AH14" s="27">
        <f t="shared" ref="AH14:AH25" si="23">ROUND(((D14/2)*1000),1)</f>
        <v>494.6</v>
      </c>
      <c r="AI14" s="27">
        <f t="shared" ref="AI14:AI25" si="24">AH14*2</f>
        <v>989.2</v>
      </c>
      <c r="AJ14" s="27">
        <f>IF(AI14&lt;=771,ROUND(((346.4228/(AI14^2))+(0.4388/AI14)),8),IF(AI14&lt;=787,(2680.3206/(AI14^2))+(-0.00336312),IF(AI14&lt;=838.5,ROUND(((594.5418/(AI14^2))+(0/AI14)),8),IF(AI14&lt;=1075,ROUND(((186.9696/(AI14^2))+(0.4862/AI14)),8)))))</f>
        <v>6.8258000000000001E-4</v>
      </c>
      <c r="AK14" s="27">
        <f>ROUND(EXP(-AJ14*AG14*(1+0.8*AJ14*AG14)),4)</f>
        <v>0.98970000000000002</v>
      </c>
      <c r="AL14" s="25"/>
      <c r="AM14" s="26">
        <f t="shared" ref="AM14:AM25" si="25">INT(E14*2+0.5)/2</f>
        <v>30</v>
      </c>
      <c r="AN14" s="27">
        <f t="shared" ref="AN14:AN25" si="26">AM14-60</f>
        <v>-30</v>
      </c>
      <c r="AO14" s="27">
        <f t="shared" ref="AO14:AO25" si="27">ROUND(((D14/2)*1000),1)</f>
        <v>494.6</v>
      </c>
      <c r="AP14" s="27">
        <f t="shared" ref="AP14:AP25" si="28">AO14*2</f>
        <v>989.2</v>
      </c>
      <c r="AQ14" s="27">
        <f t="shared" ref="AQ14:AQ25" si="29">ROUND((AP14*0.999012),3)</f>
        <v>988.22299999999996</v>
      </c>
      <c r="AR14" s="27">
        <f t="shared" ref="AR14:AR25" si="30">ROUND((341.0957/AQ14^2),8)</f>
        <v>3.4926999999999999E-4</v>
      </c>
      <c r="AS14" s="27">
        <f t="shared" ref="AS14:AS25" si="31">ROUND(EXP(-AR14*AN14*(1+0.8*AR14*AN14)),4)</f>
        <v>1.0104</v>
      </c>
      <c r="AT14" s="25"/>
      <c r="AU14" s="26">
        <f t="shared" ref="AU14:AU25" si="32">INT(((D14/2)*1000)/1+0.5)*1</f>
        <v>495</v>
      </c>
      <c r="AV14" s="26">
        <f t="shared" ref="AV14:AV25" si="33">AU14*2</f>
        <v>990</v>
      </c>
      <c r="AW14" s="26">
        <f t="shared" ref="AW14:AW25" si="34">ROUND((AV14*0.999012),3)</f>
        <v>989.02200000000005</v>
      </c>
      <c r="AX14" s="26">
        <f t="shared" ref="AX14:AX25" si="35">INT(E14*2+0.5)/2</f>
        <v>30</v>
      </c>
      <c r="AY14" s="27">
        <f t="shared" ref="AY14:AY25" si="36">AX14-60</f>
        <v>-30</v>
      </c>
      <c r="AZ14" s="27">
        <f t="shared" ref="AZ14:AZ25" si="37">IF(AW14&lt;=771,ROUND(((192.4571/(AW14^2))+(0.2438/AW14)),8),IF(AW14&lt;=788.5,(1489.067/AW14^2)+(-0.0018684),IF(AW14&lt;=840,ROUND(((330.301/(AW14^2))+(0/AW14)),8),IF(AW14&lt;=1076,ROUND(((103.872/(AW14^2))+(0.2701/AW14)),8)))))</f>
        <v>3.7929000000000001E-4</v>
      </c>
      <c r="BA14" s="27">
        <f t="shared" ref="BA14:BA25" si="38">ROUND(EXP(-AZ14*AY14*(1+0.8*AZ14*AY14)),4)</f>
        <v>1.0113000000000001</v>
      </c>
      <c r="BB14" s="25"/>
      <c r="BC14" s="26">
        <f t="shared" ref="BC14:BD25" si="39">INT(D14)</f>
        <v>0</v>
      </c>
      <c r="BD14" s="29">
        <f t="shared" si="39"/>
        <v>30</v>
      </c>
      <c r="BE14" s="29">
        <f t="shared" ref="BE14:BE25" si="40">BD14-60</f>
        <v>-30</v>
      </c>
      <c r="BF14" s="26" t="b">
        <f t="shared" ref="BF14:BF25" si="41">IF(AND(BC14&gt;82.9,BC14&lt;=89.6),-0.001077,IF(AND(BC14&gt;76.6,BC14&lt;=82.9),-0.001011,IF(AND(BC14&gt;70.6,BC14&lt;=76.6),-0.000977,IF(AND(BC14&gt;57.2,BC14&lt;=70.6),-0.001005,IF(AND(BC14&gt;52.3,BC14&lt;57.2),-0.001238,IF(AND(BC14&gt;47.6,BC14&lt;=52.3),-0.001084,IF(AND(BC14&gt;43.2,BC14&lt;=47.6),-0.000965)))))))</f>
        <v>0</v>
      </c>
      <c r="BG14" s="26" t="b">
        <f t="shared" ref="BG14:BG25" si="42">IF(AND(BC14&gt;39,BC14&lt;=43.2),-0.000843,IF(AND(BC14&gt;35,BC14&lt;=39),-0.000719,IF(AND(BC14&gt;30.2,BC14&lt;=35),-0.000617,IF(AND(BC14&gt;25.7,BC14&lt;=30.2),-0.000512,IF(AND(BC14&gt;10,BC14&lt;25.7),-0.0003948)))))</f>
        <v>0</v>
      </c>
      <c r="BH14" s="26" t="b">
        <f t="shared" ref="BH14:BH25" si="43">IF(BF14=FALSE,BG14,BF14)</f>
        <v>0</v>
      </c>
      <c r="BI14" s="26" t="b">
        <f t="shared" ref="BI14:BI25" si="44">IF(AND(BC14&gt;82.9,BC14&lt;=89.6),0.00085,IF(AND(BC14&gt;76.6,BC14&lt;=82.9),0.00075,IF(AND(BC14&gt;70.6,BC14&lt;=76.6),0.0007,IF(AND(BC14&gt;57.2,BC14&lt;=70.6),0.00074,IF(AND(BC14&gt;52.3,BC14&lt;57.2),0.00105,IF(AND(BC14&gt;47.6,BC14&lt;=52.3),0.00085,IF(AND(BC14&gt;43.2,BC14&lt;=47.6),0.0007)))))))</f>
        <v>0</v>
      </c>
      <c r="BJ14" s="26" t="b">
        <f t="shared" ref="BJ14:BJ25" si="45">IF(AND(BC14&gt;39,BC14&lt;=43.2),0.00055,IF(AND(BC14&gt;35,BC14&lt;=39),0.0004,IF(AND(BC14&gt;30.2,BC14&lt;=35),0.00028,IF(AND(BC14&gt;25.7,BC14&lt;=30.2),0.00016,IF(AND(BC14&gt;10,BC14&lt;25.7),0.00003)))))</f>
        <v>0</v>
      </c>
      <c r="BK14" s="26" t="b">
        <f t="shared" ref="BK14:BK25" si="46">IF(BI14=FALSE,BJ14,BI14)</f>
        <v>0</v>
      </c>
      <c r="BL14" s="26">
        <f t="shared" ref="BL14:BL25" si="47">ROUND((0.9293286219*BH14+BK14+BH14/141.5*BC14),8)</f>
        <v>0</v>
      </c>
      <c r="BM14" s="26">
        <f t="shared" ref="BM14:BM25" si="48">ROUND((0.9293286*(-0.00000049)+0.0000006+(-0.00000049)/141.5*BC14),10)</f>
        <v>1.4460000000000001E-7</v>
      </c>
      <c r="BN14" s="26">
        <f t="shared" ref="BN14:BN25" si="49">ROUND((1+(BL14*BE14)+(BM14*BE14^2)),5)</f>
        <v>1.00013</v>
      </c>
      <c r="BO14" s="26">
        <f t="shared" ref="BO14:BO25" si="50">ROUND((D14+0.5),1)</f>
        <v>1.5</v>
      </c>
      <c r="BP14" s="26" t="b">
        <f t="shared" ref="BP14:BP25" si="51">IF(AND(BO14&gt;82.9,BO14&lt;=89.6),-0.001077,IF(AND(BO14&gt;76.6,BO14&lt;=82.9),-0.001011,IF(AND(BO14&gt;70.6,BO14&lt;=76.6),-0.000977,IF(AND(BO14&gt;57.2,BO14&lt;=70.6),-0.001005,IF(AND(BO14&gt;52.3,BO14&lt;57.2),-0.001238,IF(AND(BO14&gt;47.6,BO14&lt;=52.3),-0.001084,IF(AND(BO14&gt;43.2,BO14&lt;=47.6),-0.000965)))))))</f>
        <v>0</v>
      </c>
      <c r="BQ14" s="26" t="b">
        <f t="shared" ref="BQ14:BQ25" si="52">IF(AND(BO14&gt;39,BO14&lt;=43.2),-0.000843,IF(AND(BO14&gt;35,BO14&lt;=39),-0.000719,IF(AND(BO14&gt;30.2,BO14&lt;=35),-0.000617,IF(AND(BO14&gt;25.7,BO14&lt;=30.2),-0.000512,IF(AND(BO14&gt;10,BO14&lt;25.7),-0.0003948)))))</f>
        <v>0</v>
      </c>
      <c r="BR14" s="26" t="b">
        <f t="shared" ref="BR14:BR25" si="53">IF(BP14=FALSE,BQ14,BP14)</f>
        <v>0</v>
      </c>
      <c r="BS14" s="26" t="b">
        <f t="shared" ref="BS14:BS25" si="54">IF(AND(BO14&gt;82.9,BO14&lt;=89.6),0.00085,IF(AND(BO14&gt;76.6,BO14&lt;=82.9),0.00075,IF(AND(BO14&gt;70.6,BO14&lt;=76.6),0.0007,IF(AND(BO14&gt;57.2,BO14&lt;=70.6),0.00074,IF(AND(BO14&gt;52.3,BO14&lt;57.2),0.00105,IF(AND(BO14&gt;47.6,BO14&lt;=52.3),0.00085,IF(AND(BO14&gt;43.2,BO14&lt;=47.6),0.0007)))))))</f>
        <v>0</v>
      </c>
      <c r="BT14" s="26" t="b">
        <f t="shared" ref="BT14:BT25" si="55">IF(AND(BO14&gt;39,BO14&lt;=43.2),0.00055,IF(AND(BO14&gt;35,BO14&lt;=39),0.0004,IF(AND(BO14&gt;30.2,BO14&lt;=35),0.00028,IF(AND(BO14&gt;25.7,BO14&lt;=30.2),0.00016,IF(AND(BO14&gt;10,BO14&lt;25.7),0.00003)))))</f>
        <v>0</v>
      </c>
      <c r="BU14" s="26" t="b">
        <f t="shared" ref="BU14:BU25" si="56">IF(BS14=FALSE,BT14,BS14)</f>
        <v>0</v>
      </c>
      <c r="BV14" s="26">
        <f t="shared" ref="BV14:BV25" si="57">ROUND((0.9293286219*BR14+BU14+BR14/141.5*BO14),8)</f>
        <v>0</v>
      </c>
      <c r="BW14" s="26">
        <f t="shared" ref="BW14:BW25" si="58">ROUND((0.9293286*(-0.00000049)+0.0000006+(-0.00000049)/141.5*BO14),10)</f>
        <v>1.3939999999999999E-7</v>
      </c>
      <c r="BX14" s="26">
        <f t="shared" ref="BX14:BX25" si="59">ROUND((1+(BV14*BE14)+(BW14*BE14^2)),5)</f>
        <v>1.00013</v>
      </c>
      <c r="BY14" s="26">
        <f t="shared" ref="BY14:BY25" si="60">BN14-BX14</f>
        <v>0</v>
      </c>
      <c r="BZ14" s="26">
        <f t="shared" ref="BZ14:BZ25" si="61">(D14-(INT(D14)))*BY14</f>
        <v>0</v>
      </c>
      <c r="CA14" s="26">
        <f t="shared" ref="CA14:CA25" si="62">BN14-BZ14</f>
        <v>1.00013</v>
      </c>
      <c r="CB14" s="29">
        <f t="shared" ref="CB14:CB25" si="63">ROUND((E14+0.5),1)</f>
        <v>30.5</v>
      </c>
      <c r="CC14" s="26">
        <f t="shared" ref="CC14:CC25" si="64">INT(D14)</f>
        <v>0</v>
      </c>
      <c r="CD14" s="29">
        <f t="shared" ref="CD14:CD25" si="65">CB14-60</f>
        <v>-29.5</v>
      </c>
      <c r="CE14" s="26" t="b">
        <f t="shared" ref="CE14:CE25" si="66">IF(AND(CC14&gt;82.9,CC14&lt;=89.6),-0.001077,IF(AND(CC14&gt;76.6,CC14&lt;=82.9),-0.001011,IF(AND(CC14&gt;70.6,CC14&lt;=76.6),-0.000977,IF(AND(CC14&gt;57.2,CC14&lt;=70.6),-0.001005,IF(AND(CC14&gt;52.3,CC14&lt;57.2),-0.001238,IF(AND(CC14&gt;47.6,CC14&lt;=52.3),-0.001084,IF(AND(CC14&gt;43.2,CC14&lt;=47.6),-0.000965)))))))</f>
        <v>0</v>
      </c>
      <c r="CF14" s="26" t="b">
        <f t="shared" ref="CF14:CF25" si="67">IF(AND(CC14&gt;39,CC14&lt;=43.2),-0.000843,IF(AND(CC14&gt;35,CC14&lt;=39),-0.000719,IF(AND(CC14&gt;30.2,CC14&lt;=35),-0.000617,IF(AND(CC14&gt;25.7,CC14&lt;=30.2),-0.000512,IF(AND(CC14&gt;10,CC14&lt;25.7),-0.0003948)))))</f>
        <v>0</v>
      </c>
      <c r="CG14" s="26" t="b">
        <f t="shared" ref="CG14:CG25" si="68">IF(CE14=FALSE,CF14,CE14)</f>
        <v>0</v>
      </c>
      <c r="CH14" s="26" t="b">
        <f t="shared" ref="CH14:CH25" si="69">IF(AND(CC14&gt;82.9,CC14&lt;=89.6),0.00085,IF(AND(CC14&gt;76.6,CC14&lt;=82.9),0.00075,IF(AND(CC14&gt;70.6,CC14&lt;=76.6),0.0007,IF(AND(CC14&gt;57.2,CC14&lt;=70.6),0.00074,IF(AND(CC14&gt;52.3,CC14&lt;57.2),0.00105,IF(AND(CC14&gt;47.6,CC14&lt;=52.3),0.00085,IF(AND(CC14&gt;43.2,CC14&lt;=47.6),0.0007)))))))</f>
        <v>0</v>
      </c>
      <c r="CI14" s="26" t="b">
        <f t="shared" ref="CI14:CI25" si="70">IF(AND(CC14&gt;39,CC14&lt;=43.2),0.00055,IF(AND(CC14&gt;35,CC14&lt;=39),0.0004,IF(AND(CC14&gt;30.2,CC14&lt;=35),0.00028,IF(AND(CC14&gt;25.7,CC14&lt;=30.2),0.00016,IF(AND(CC14&gt;10,CC14&lt;25.7),0.00003)))))</f>
        <v>0</v>
      </c>
      <c r="CJ14" s="26" t="b">
        <f t="shared" ref="CJ14:CJ25" si="71">IF(CH14=FALSE,CI14,CH14)</f>
        <v>0</v>
      </c>
      <c r="CK14" s="26">
        <f t="shared" ref="CK14:CK25" si="72">ROUND((0.9293286219*CG14+CJ14+CG14/141.5*CC14),8)</f>
        <v>0</v>
      </c>
      <c r="CL14" s="26">
        <f t="shared" ref="CL14:CL25" si="73">ROUND((0.9293286*(-0.00000049)+0.0000006+(-0.00000049)/141.5*CC14),10)</f>
        <v>1.4460000000000001E-7</v>
      </c>
      <c r="CM14" s="26">
        <f t="shared" ref="CM14:CM25" si="74">ROUND((1+(CK14*CD14)+(CL14*CD14^2)),5)</f>
        <v>1.00013</v>
      </c>
      <c r="CN14" s="26">
        <f t="shared" ref="CN14:CO25" si="75">ROUND((D14+0.5),1)</f>
        <v>1.5</v>
      </c>
      <c r="CO14" s="29">
        <f t="shared" si="75"/>
        <v>30.5</v>
      </c>
      <c r="CP14" s="29">
        <f t="shared" ref="CP14:CP25" si="76">CO14-60</f>
        <v>-29.5</v>
      </c>
      <c r="CQ14" s="26" t="b">
        <f t="shared" ref="CQ14:CQ25" si="77">IF(AND(CN14&gt;82.9,CN14&lt;=89.6),-0.001077,IF(AND(CN14&gt;76.6,CN14&lt;=82.9),-0.001011,IF(AND(CN14&gt;70.6,CN14&lt;=76.6),-0.000977,IF(AND(CN14&gt;57.2,CN14&lt;=70.6),-0.001005,IF(AND(CN14&gt;52.3,CN14&lt;57.2),-0.001238,IF(AND(CN14&gt;47.6,CN14&lt;=52.3),-0.001084,IF(AND(CN14&gt;43.2,CN14&lt;=47.6),-0.000965)))))))</f>
        <v>0</v>
      </c>
      <c r="CR14" s="26" t="b">
        <f t="shared" ref="CR14:CR25" si="78">IF(AND(CN14&gt;39,CN14&lt;=43.2),-0.000843,IF(AND(CN14&gt;35,CN14&lt;=39),-0.000719,IF(AND(CN14&gt;30.2,CN14&lt;=35),-0.000617,IF(AND(CN14&gt;25.7,CN14&lt;=30.2),-0.000512,IF(AND(CN14&gt;10,CN14&lt;25.7),-0.0003948)))))</f>
        <v>0</v>
      </c>
      <c r="CS14" s="26" t="b">
        <f t="shared" ref="CS14:CS25" si="79">IF(CQ14=FALSE,CR14,CQ14)</f>
        <v>0</v>
      </c>
      <c r="CT14" s="26" t="b">
        <f t="shared" ref="CT14:CT25" si="80">IF(AND(CN14&gt;82.9,CN14&lt;=89.6),0.00085,IF(AND(CN14&gt;76.6,CN14&lt;=82.9),0.00075,IF(AND(CN14&gt;70.6,CN14&lt;=76.6),0.0007,IF(AND(CN14&gt;57.2,CN14&lt;=70.6),0.00074,IF(AND(CN14&gt;52.3,CN14&lt;57.2),0.00105,IF(AND(CN14&gt;47.6,CN14&lt;=52.3),0.00085,IF(AND(CN14&gt;43.2,CN14&lt;=47.6),0.0007)))))))</f>
        <v>0</v>
      </c>
      <c r="CU14" s="26" t="b">
        <f t="shared" ref="CU14:CU25" si="81">IF(AND(CN14&gt;39,CN14&lt;=43.2),0.00055,IF(AND(CN14&gt;35,CN14&lt;=39),0.0004,IF(AND(CN14&gt;30.2,CN14&lt;=35),0.00028,IF(AND(CN14&gt;25.7,CN14&lt;=30.2),0.00016,IF(AND(CN14&gt;10,CN14&lt;25.7),0.00003)))))</f>
        <v>0</v>
      </c>
      <c r="CV14" s="26" t="b">
        <f t="shared" ref="CV14:CV25" si="82">IF(CT14=FALSE,CU14,CT14)</f>
        <v>0</v>
      </c>
      <c r="CW14" s="26">
        <f t="shared" ref="CW14:CW25" si="83">ROUND((0.9293286219*CS14+CV14+CS14/141.5*CN14),8)</f>
        <v>0</v>
      </c>
      <c r="CX14" s="26">
        <f t="shared" ref="CX14:CX25" si="84">ROUND((0.9293286*(-0.00000049)+0.0000006+(-0.00000049)/141.5*CN14),10)</f>
        <v>1.3939999999999999E-7</v>
      </c>
      <c r="CY14" s="26">
        <f t="shared" ref="CY14:CY25" si="85">ROUND((1+(CW14*CP14)+(CX14*CP14^2)),5)</f>
        <v>1.0001199999999999</v>
      </c>
      <c r="CZ14" s="26">
        <f t="shared" ref="CZ14:CZ25" si="86">CM14-CY14</f>
        <v>1.0000000000065512E-5</v>
      </c>
      <c r="DA14" s="26">
        <f t="shared" ref="DA14:DA25" si="87">(D14-INT(D14))*CZ14</f>
        <v>9.8920000000648043E-6</v>
      </c>
      <c r="DB14" s="26">
        <f t="shared" ref="DB14:DB25" si="88">CM14-DA14</f>
        <v>1.000120108</v>
      </c>
      <c r="DC14" s="26">
        <f t="shared" ref="DC14:DC25" si="89">CA14-DB14</f>
        <v>9.8920000000113362E-6</v>
      </c>
      <c r="DD14" s="29">
        <f t="shared" ref="DD14:DD25" si="90">E14-(INT(E14))</f>
        <v>0</v>
      </c>
      <c r="DE14" s="26">
        <f t="shared" ref="DE14:DE25" si="91">DC14*DD14</f>
        <v>0</v>
      </c>
      <c r="DF14" s="26">
        <f t="shared" ref="DF14:DF25" si="92">ROUND((CA14-DE14),5)</f>
        <v>1.00013</v>
      </c>
      <c r="DG14" s="25"/>
      <c r="DH14" s="25"/>
      <c r="DI14" s="25"/>
      <c r="DJ14" s="25"/>
      <c r="DK14" s="25"/>
      <c r="DL14" s="25"/>
      <c r="DM14" s="25"/>
      <c r="DN14" s="25"/>
      <c r="DO14" s="25"/>
    </row>
    <row r="15" spans="1:143" ht="15.9" customHeight="1">
      <c r="A15" s="30" t="s">
        <v>35</v>
      </c>
      <c r="B15" s="31">
        <v>641</v>
      </c>
      <c r="C15" s="32">
        <v>1.1499999999999999</v>
      </c>
      <c r="D15" s="44">
        <v>0.98919999999999997</v>
      </c>
      <c r="E15" s="33">
        <v>30</v>
      </c>
      <c r="F15" s="85">
        <f t="shared" ref="F15:F25" si="93">IF($F$13="6A",IF(ISERROR(P15),0,P15),IF($F$13="54A",IF(ISERROR(W15),0,W15),IF($F$13="6B",IF(ISERROR(AD15),0,AD15),IF($F$13="54B",IF(ISERROR(AK15),0,AK15),IF($F$13="24A",AS15,IF($F$13="24B",BA15))))))</f>
        <v>0.98970000000000002</v>
      </c>
      <c r="G15" s="86">
        <f t="shared" si="0"/>
        <v>1.1379999999999999</v>
      </c>
      <c r="H15" s="85">
        <f t="shared" si="1"/>
        <v>0.98809999999999998</v>
      </c>
      <c r="I15" s="86">
        <f t="shared" si="2"/>
        <v>1.1257095999999998</v>
      </c>
      <c r="J15" s="87">
        <f t="shared" si="3"/>
        <v>1.1244577999999998</v>
      </c>
      <c r="K15" s="24">
        <f t="shared" si="4"/>
        <v>30</v>
      </c>
      <c r="L15" s="24">
        <f t="shared" si="5"/>
        <v>-30</v>
      </c>
      <c r="M15" s="24">
        <f t="shared" si="6"/>
        <v>1</v>
      </c>
      <c r="N15" s="24">
        <f t="shared" si="7"/>
        <v>1066.8689999999999</v>
      </c>
      <c r="O15" s="24">
        <f t="shared" si="8"/>
        <v>2.9967999999999998E-4</v>
      </c>
      <c r="P15" s="24">
        <f t="shared" si="9"/>
        <v>1.0089999999999999</v>
      </c>
      <c r="Q15" s="25"/>
      <c r="R15" s="26">
        <f t="shared" si="10"/>
        <v>30</v>
      </c>
      <c r="S15" s="27">
        <f t="shared" si="11"/>
        <v>15</v>
      </c>
      <c r="T15" s="27">
        <f t="shared" si="12"/>
        <v>494.6</v>
      </c>
      <c r="U15" s="27">
        <f t="shared" si="13"/>
        <v>989.2</v>
      </c>
      <c r="V15" s="27">
        <f t="shared" si="14"/>
        <v>6.2744999999999999E-4</v>
      </c>
      <c r="W15" s="27">
        <f t="shared" si="15"/>
        <v>0.99060000000000004</v>
      </c>
      <c r="X15" s="28"/>
      <c r="Y15" s="27">
        <f t="shared" si="16"/>
        <v>30</v>
      </c>
      <c r="Z15" s="27">
        <f t="shared" si="17"/>
        <v>-30</v>
      </c>
      <c r="AA15" s="27">
        <f t="shared" si="18"/>
        <v>1</v>
      </c>
      <c r="AB15" s="27">
        <f t="shared" si="19"/>
        <v>1066.95638588</v>
      </c>
      <c r="AC15" s="27">
        <f t="shared" si="20"/>
        <v>3.4438999999999997E-4</v>
      </c>
      <c r="AD15" s="27">
        <f t="shared" si="21"/>
        <v>1.0103</v>
      </c>
      <c r="AE15" s="25"/>
      <c r="AF15" s="26">
        <f t="shared" si="22"/>
        <v>30</v>
      </c>
      <c r="AG15" s="27">
        <f t="shared" ref="AG15:AG25" si="94">AF15-15</f>
        <v>15</v>
      </c>
      <c r="AH15" s="27">
        <f t="shared" si="23"/>
        <v>494.6</v>
      </c>
      <c r="AI15" s="27">
        <f t="shared" si="24"/>
        <v>989.2</v>
      </c>
      <c r="AJ15" s="27">
        <f t="shared" ref="AJ15:AJ25" si="95">IF(AI15&lt;=771,ROUND(((346.4228/(AI15^2))+(0.4388/AI15)),8),IF(AI15&lt;=787,(2680.3206/(AI15^2))+(-0.00336312),IF(AI15&lt;=838.5,ROUND(((594.5418/(AI15^2))+(0/AI15)),8),IF(AI15&lt;=1075,ROUND(((186.9696/(AI15^2))+(0.4862/AI15)),8)))))</f>
        <v>6.8258000000000001E-4</v>
      </c>
      <c r="AK15" s="27">
        <f t="shared" ref="AK15:AK25" si="96">ROUND(EXP(-AJ15*AG15*(1+0.8*AJ15*AG15)),4)</f>
        <v>0.98970000000000002</v>
      </c>
      <c r="AL15" s="25"/>
      <c r="AM15" s="26">
        <f t="shared" si="25"/>
        <v>30</v>
      </c>
      <c r="AN15" s="27">
        <f t="shared" si="26"/>
        <v>-30</v>
      </c>
      <c r="AO15" s="27">
        <f t="shared" si="27"/>
        <v>494.6</v>
      </c>
      <c r="AP15" s="27">
        <f t="shared" si="28"/>
        <v>989.2</v>
      </c>
      <c r="AQ15" s="27">
        <f t="shared" si="29"/>
        <v>988.22299999999996</v>
      </c>
      <c r="AR15" s="27">
        <f t="shared" si="30"/>
        <v>3.4926999999999999E-4</v>
      </c>
      <c r="AS15" s="27">
        <f t="shared" si="31"/>
        <v>1.0104</v>
      </c>
      <c r="AT15" s="25"/>
      <c r="AU15" s="26">
        <f t="shared" si="32"/>
        <v>495</v>
      </c>
      <c r="AV15" s="26">
        <f t="shared" si="33"/>
        <v>990</v>
      </c>
      <c r="AW15" s="26">
        <f t="shared" si="34"/>
        <v>989.02200000000005</v>
      </c>
      <c r="AX15" s="26">
        <f t="shared" si="35"/>
        <v>30</v>
      </c>
      <c r="AY15" s="27">
        <f t="shared" si="36"/>
        <v>-30</v>
      </c>
      <c r="AZ15" s="27">
        <f t="shared" si="37"/>
        <v>3.7929000000000001E-4</v>
      </c>
      <c r="BA15" s="27">
        <f t="shared" si="38"/>
        <v>1.0113000000000001</v>
      </c>
      <c r="BB15" s="25"/>
      <c r="BC15" s="26">
        <f t="shared" si="39"/>
        <v>0</v>
      </c>
      <c r="BD15" s="29">
        <f t="shared" si="39"/>
        <v>30</v>
      </c>
      <c r="BE15" s="29">
        <f t="shared" si="40"/>
        <v>-30</v>
      </c>
      <c r="BF15" s="26" t="b">
        <f t="shared" si="41"/>
        <v>0</v>
      </c>
      <c r="BG15" s="26" t="b">
        <f t="shared" si="42"/>
        <v>0</v>
      </c>
      <c r="BH15" s="26" t="b">
        <f t="shared" si="43"/>
        <v>0</v>
      </c>
      <c r="BI15" s="26" t="b">
        <f t="shared" si="44"/>
        <v>0</v>
      </c>
      <c r="BJ15" s="26" t="b">
        <f t="shared" si="45"/>
        <v>0</v>
      </c>
      <c r="BK15" s="26" t="b">
        <f t="shared" si="46"/>
        <v>0</v>
      </c>
      <c r="BL15" s="26">
        <f t="shared" si="47"/>
        <v>0</v>
      </c>
      <c r="BM15" s="26">
        <f t="shared" si="48"/>
        <v>1.4460000000000001E-7</v>
      </c>
      <c r="BN15" s="26">
        <f t="shared" si="49"/>
        <v>1.00013</v>
      </c>
      <c r="BO15" s="26">
        <f t="shared" si="50"/>
        <v>1.5</v>
      </c>
      <c r="BP15" s="26" t="b">
        <f t="shared" si="51"/>
        <v>0</v>
      </c>
      <c r="BQ15" s="26" t="b">
        <f t="shared" si="52"/>
        <v>0</v>
      </c>
      <c r="BR15" s="26" t="b">
        <f t="shared" si="53"/>
        <v>0</v>
      </c>
      <c r="BS15" s="26" t="b">
        <f t="shared" si="54"/>
        <v>0</v>
      </c>
      <c r="BT15" s="26" t="b">
        <f t="shared" si="55"/>
        <v>0</v>
      </c>
      <c r="BU15" s="26" t="b">
        <f t="shared" si="56"/>
        <v>0</v>
      </c>
      <c r="BV15" s="26">
        <f t="shared" si="57"/>
        <v>0</v>
      </c>
      <c r="BW15" s="26">
        <f t="shared" si="58"/>
        <v>1.3939999999999999E-7</v>
      </c>
      <c r="BX15" s="26">
        <f t="shared" si="59"/>
        <v>1.00013</v>
      </c>
      <c r="BY15" s="26">
        <f t="shared" si="60"/>
        <v>0</v>
      </c>
      <c r="BZ15" s="26">
        <f t="shared" si="61"/>
        <v>0</v>
      </c>
      <c r="CA15" s="26">
        <f t="shared" si="62"/>
        <v>1.00013</v>
      </c>
      <c r="CB15" s="29">
        <f t="shared" si="63"/>
        <v>30.5</v>
      </c>
      <c r="CC15" s="26">
        <f t="shared" si="64"/>
        <v>0</v>
      </c>
      <c r="CD15" s="29">
        <f t="shared" si="65"/>
        <v>-29.5</v>
      </c>
      <c r="CE15" s="26" t="b">
        <f t="shared" si="66"/>
        <v>0</v>
      </c>
      <c r="CF15" s="26" t="b">
        <f t="shared" si="67"/>
        <v>0</v>
      </c>
      <c r="CG15" s="26" t="b">
        <f t="shared" si="68"/>
        <v>0</v>
      </c>
      <c r="CH15" s="26" t="b">
        <f t="shared" si="69"/>
        <v>0</v>
      </c>
      <c r="CI15" s="26" t="b">
        <f t="shared" si="70"/>
        <v>0</v>
      </c>
      <c r="CJ15" s="26" t="b">
        <f t="shared" si="71"/>
        <v>0</v>
      </c>
      <c r="CK15" s="26">
        <f t="shared" si="72"/>
        <v>0</v>
      </c>
      <c r="CL15" s="26">
        <f t="shared" si="73"/>
        <v>1.4460000000000001E-7</v>
      </c>
      <c r="CM15" s="26">
        <f t="shared" si="74"/>
        <v>1.00013</v>
      </c>
      <c r="CN15" s="26">
        <f t="shared" si="75"/>
        <v>1.5</v>
      </c>
      <c r="CO15" s="29">
        <f t="shared" si="75"/>
        <v>30.5</v>
      </c>
      <c r="CP15" s="29">
        <f t="shared" si="76"/>
        <v>-29.5</v>
      </c>
      <c r="CQ15" s="26" t="b">
        <f t="shared" si="77"/>
        <v>0</v>
      </c>
      <c r="CR15" s="26" t="b">
        <f t="shared" si="78"/>
        <v>0</v>
      </c>
      <c r="CS15" s="26" t="b">
        <f t="shared" si="79"/>
        <v>0</v>
      </c>
      <c r="CT15" s="26" t="b">
        <f t="shared" si="80"/>
        <v>0</v>
      </c>
      <c r="CU15" s="26" t="b">
        <f t="shared" si="81"/>
        <v>0</v>
      </c>
      <c r="CV15" s="26" t="b">
        <f t="shared" si="82"/>
        <v>0</v>
      </c>
      <c r="CW15" s="26">
        <f t="shared" si="83"/>
        <v>0</v>
      </c>
      <c r="CX15" s="26">
        <f t="shared" si="84"/>
        <v>1.3939999999999999E-7</v>
      </c>
      <c r="CY15" s="26">
        <f t="shared" si="85"/>
        <v>1.0001199999999999</v>
      </c>
      <c r="CZ15" s="26">
        <f t="shared" si="86"/>
        <v>1.0000000000065512E-5</v>
      </c>
      <c r="DA15" s="26">
        <f t="shared" si="87"/>
        <v>9.8920000000648043E-6</v>
      </c>
      <c r="DB15" s="26">
        <f t="shared" si="88"/>
        <v>1.000120108</v>
      </c>
      <c r="DC15" s="26">
        <f t="shared" si="89"/>
        <v>9.8920000000113362E-6</v>
      </c>
      <c r="DD15" s="29">
        <f t="shared" si="90"/>
        <v>0</v>
      </c>
      <c r="DE15" s="26">
        <f t="shared" si="91"/>
        <v>0</v>
      </c>
      <c r="DF15" s="26">
        <f t="shared" si="92"/>
        <v>1.00013</v>
      </c>
      <c r="DG15" s="25"/>
      <c r="DH15" s="25"/>
      <c r="DI15" s="25"/>
      <c r="DJ15" s="25"/>
      <c r="DK15" s="25"/>
      <c r="DL15" s="25"/>
      <c r="DM15" s="25"/>
      <c r="DN15" s="25"/>
      <c r="DO15" s="25"/>
      <c r="EM15" s="34"/>
    </row>
    <row r="16" spans="1:143" ht="15.9" customHeight="1">
      <c r="A16" s="30" t="s">
        <v>36</v>
      </c>
      <c r="B16" s="31">
        <v>703</v>
      </c>
      <c r="C16" s="32">
        <v>649</v>
      </c>
      <c r="D16" s="44">
        <v>0.98919999999999997</v>
      </c>
      <c r="E16" s="33">
        <v>40</v>
      </c>
      <c r="F16" s="85">
        <f t="shared" si="93"/>
        <v>0.9829</v>
      </c>
      <c r="G16" s="86">
        <f t="shared" si="0"/>
        <v>637.90200000000004</v>
      </c>
      <c r="H16" s="85">
        <f t="shared" si="1"/>
        <v>0.98809999999999998</v>
      </c>
      <c r="I16" s="86">
        <f t="shared" si="2"/>
        <v>631.01265840000008</v>
      </c>
      <c r="J16" s="87">
        <f t="shared" si="3"/>
        <v>630.31096620000005</v>
      </c>
      <c r="K16" s="24">
        <f t="shared" si="4"/>
        <v>40</v>
      </c>
      <c r="L16" s="24">
        <f t="shared" si="5"/>
        <v>-20</v>
      </c>
      <c r="M16" s="24">
        <f t="shared" si="6"/>
        <v>1</v>
      </c>
      <c r="N16" s="24">
        <f t="shared" si="7"/>
        <v>1066.8689999999999</v>
      </c>
      <c r="O16" s="24">
        <f t="shared" si="8"/>
        <v>2.9967999999999998E-4</v>
      </c>
      <c r="P16" s="24">
        <f t="shared" si="9"/>
        <v>1.006</v>
      </c>
      <c r="Q16" s="25"/>
      <c r="R16" s="26">
        <f t="shared" si="10"/>
        <v>40</v>
      </c>
      <c r="S16" s="27">
        <f t="shared" si="11"/>
        <v>25</v>
      </c>
      <c r="T16" s="27">
        <f t="shared" si="12"/>
        <v>494.6</v>
      </c>
      <c r="U16" s="27">
        <f t="shared" si="13"/>
        <v>989.2</v>
      </c>
      <c r="V16" s="27">
        <f t="shared" si="14"/>
        <v>6.2744999999999999E-4</v>
      </c>
      <c r="W16" s="27">
        <f t="shared" si="15"/>
        <v>0.98419999999999996</v>
      </c>
      <c r="X16" s="28"/>
      <c r="Y16" s="27">
        <f t="shared" si="16"/>
        <v>40</v>
      </c>
      <c r="Z16" s="27">
        <f t="shared" si="17"/>
        <v>-20</v>
      </c>
      <c r="AA16" s="27">
        <f t="shared" si="18"/>
        <v>1</v>
      </c>
      <c r="AB16" s="27">
        <f t="shared" si="19"/>
        <v>1066.95638588</v>
      </c>
      <c r="AC16" s="27">
        <f t="shared" si="20"/>
        <v>3.4438999999999997E-4</v>
      </c>
      <c r="AD16" s="27">
        <f t="shared" si="21"/>
        <v>1.0068999999999999</v>
      </c>
      <c r="AE16" s="25"/>
      <c r="AF16" s="26">
        <f t="shared" si="22"/>
        <v>40</v>
      </c>
      <c r="AG16" s="27">
        <f t="shared" si="94"/>
        <v>25</v>
      </c>
      <c r="AH16" s="27">
        <f t="shared" si="23"/>
        <v>494.6</v>
      </c>
      <c r="AI16" s="27">
        <f t="shared" si="24"/>
        <v>989.2</v>
      </c>
      <c r="AJ16" s="27">
        <f t="shared" si="95"/>
        <v>6.8258000000000001E-4</v>
      </c>
      <c r="AK16" s="27">
        <f t="shared" si="96"/>
        <v>0.9829</v>
      </c>
      <c r="AL16" s="25"/>
      <c r="AM16" s="26">
        <f t="shared" si="25"/>
        <v>40</v>
      </c>
      <c r="AN16" s="27">
        <f t="shared" si="26"/>
        <v>-20</v>
      </c>
      <c r="AO16" s="27">
        <f t="shared" si="27"/>
        <v>494.6</v>
      </c>
      <c r="AP16" s="27">
        <f t="shared" si="28"/>
        <v>989.2</v>
      </c>
      <c r="AQ16" s="27">
        <f t="shared" si="29"/>
        <v>988.22299999999996</v>
      </c>
      <c r="AR16" s="27">
        <f t="shared" si="30"/>
        <v>3.4926999999999999E-4</v>
      </c>
      <c r="AS16" s="27">
        <f t="shared" si="31"/>
        <v>1.0069999999999999</v>
      </c>
      <c r="AT16" s="25"/>
      <c r="AU16" s="26">
        <f t="shared" si="32"/>
        <v>495</v>
      </c>
      <c r="AV16" s="26">
        <f t="shared" si="33"/>
        <v>990</v>
      </c>
      <c r="AW16" s="26">
        <f t="shared" si="34"/>
        <v>989.02200000000005</v>
      </c>
      <c r="AX16" s="26">
        <f t="shared" si="35"/>
        <v>40</v>
      </c>
      <c r="AY16" s="27">
        <f t="shared" si="36"/>
        <v>-20</v>
      </c>
      <c r="AZ16" s="27">
        <f t="shared" si="37"/>
        <v>3.7929000000000001E-4</v>
      </c>
      <c r="BA16" s="27">
        <f t="shared" si="38"/>
        <v>1.0076000000000001</v>
      </c>
      <c r="BB16" s="25"/>
      <c r="BC16" s="26">
        <f t="shared" si="39"/>
        <v>0</v>
      </c>
      <c r="BD16" s="29">
        <f t="shared" si="39"/>
        <v>40</v>
      </c>
      <c r="BE16" s="29">
        <f t="shared" si="40"/>
        <v>-20</v>
      </c>
      <c r="BF16" s="26" t="b">
        <f t="shared" si="41"/>
        <v>0</v>
      </c>
      <c r="BG16" s="26" t="b">
        <f t="shared" si="42"/>
        <v>0</v>
      </c>
      <c r="BH16" s="26" t="b">
        <f t="shared" si="43"/>
        <v>0</v>
      </c>
      <c r="BI16" s="26" t="b">
        <f t="shared" si="44"/>
        <v>0</v>
      </c>
      <c r="BJ16" s="26" t="b">
        <f t="shared" si="45"/>
        <v>0</v>
      </c>
      <c r="BK16" s="26" t="b">
        <f t="shared" si="46"/>
        <v>0</v>
      </c>
      <c r="BL16" s="26">
        <f t="shared" si="47"/>
        <v>0</v>
      </c>
      <c r="BM16" s="26">
        <f t="shared" si="48"/>
        <v>1.4460000000000001E-7</v>
      </c>
      <c r="BN16" s="26">
        <f t="shared" si="49"/>
        <v>1.0000599999999999</v>
      </c>
      <c r="BO16" s="26">
        <f t="shared" si="50"/>
        <v>1.5</v>
      </c>
      <c r="BP16" s="26" t="b">
        <f t="shared" si="51"/>
        <v>0</v>
      </c>
      <c r="BQ16" s="26" t="b">
        <f t="shared" si="52"/>
        <v>0</v>
      </c>
      <c r="BR16" s="26" t="b">
        <f t="shared" si="53"/>
        <v>0</v>
      </c>
      <c r="BS16" s="26" t="b">
        <f t="shared" si="54"/>
        <v>0</v>
      </c>
      <c r="BT16" s="26" t="b">
        <f t="shared" si="55"/>
        <v>0</v>
      </c>
      <c r="BU16" s="26" t="b">
        <f t="shared" si="56"/>
        <v>0</v>
      </c>
      <c r="BV16" s="26">
        <f t="shared" si="57"/>
        <v>0</v>
      </c>
      <c r="BW16" s="26">
        <f t="shared" si="58"/>
        <v>1.3939999999999999E-7</v>
      </c>
      <c r="BX16" s="26">
        <f t="shared" si="59"/>
        <v>1.0000599999999999</v>
      </c>
      <c r="BY16" s="26">
        <f t="shared" si="60"/>
        <v>0</v>
      </c>
      <c r="BZ16" s="26">
        <f t="shared" si="61"/>
        <v>0</v>
      </c>
      <c r="CA16" s="26">
        <f t="shared" si="62"/>
        <v>1.0000599999999999</v>
      </c>
      <c r="CB16" s="29">
        <f t="shared" si="63"/>
        <v>40.5</v>
      </c>
      <c r="CC16" s="26">
        <f t="shared" si="64"/>
        <v>0</v>
      </c>
      <c r="CD16" s="29">
        <f t="shared" si="65"/>
        <v>-19.5</v>
      </c>
      <c r="CE16" s="26" t="b">
        <f t="shared" si="66"/>
        <v>0</v>
      </c>
      <c r="CF16" s="26" t="b">
        <f t="shared" si="67"/>
        <v>0</v>
      </c>
      <c r="CG16" s="26" t="b">
        <f t="shared" si="68"/>
        <v>0</v>
      </c>
      <c r="CH16" s="26" t="b">
        <f t="shared" si="69"/>
        <v>0</v>
      </c>
      <c r="CI16" s="26" t="b">
        <f t="shared" si="70"/>
        <v>0</v>
      </c>
      <c r="CJ16" s="26" t="b">
        <f t="shared" si="71"/>
        <v>0</v>
      </c>
      <c r="CK16" s="26">
        <f t="shared" si="72"/>
        <v>0</v>
      </c>
      <c r="CL16" s="26">
        <f t="shared" si="73"/>
        <v>1.4460000000000001E-7</v>
      </c>
      <c r="CM16" s="26">
        <f t="shared" si="74"/>
        <v>1.0000500000000001</v>
      </c>
      <c r="CN16" s="26">
        <f t="shared" si="75"/>
        <v>1.5</v>
      </c>
      <c r="CO16" s="29">
        <f t="shared" si="75"/>
        <v>40.5</v>
      </c>
      <c r="CP16" s="29">
        <f t="shared" si="76"/>
        <v>-19.5</v>
      </c>
      <c r="CQ16" s="26" t="b">
        <f t="shared" si="77"/>
        <v>0</v>
      </c>
      <c r="CR16" s="26" t="b">
        <f t="shared" si="78"/>
        <v>0</v>
      </c>
      <c r="CS16" s="26" t="b">
        <f t="shared" si="79"/>
        <v>0</v>
      </c>
      <c r="CT16" s="26" t="b">
        <f t="shared" si="80"/>
        <v>0</v>
      </c>
      <c r="CU16" s="26" t="b">
        <f t="shared" si="81"/>
        <v>0</v>
      </c>
      <c r="CV16" s="26" t="b">
        <f t="shared" si="82"/>
        <v>0</v>
      </c>
      <c r="CW16" s="26">
        <f t="shared" si="83"/>
        <v>0</v>
      </c>
      <c r="CX16" s="26">
        <f t="shared" si="84"/>
        <v>1.3939999999999999E-7</v>
      </c>
      <c r="CY16" s="26">
        <f t="shared" si="85"/>
        <v>1.0000500000000001</v>
      </c>
      <c r="CZ16" s="26">
        <f t="shared" si="86"/>
        <v>0</v>
      </c>
      <c r="DA16" s="26">
        <f t="shared" si="87"/>
        <v>0</v>
      </c>
      <c r="DB16" s="26">
        <f t="shared" si="88"/>
        <v>1.0000500000000001</v>
      </c>
      <c r="DC16" s="26">
        <f t="shared" si="89"/>
        <v>9.9999999998434674E-6</v>
      </c>
      <c r="DD16" s="29">
        <f t="shared" si="90"/>
        <v>0</v>
      </c>
      <c r="DE16" s="26">
        <f t="shared" si="91"/>
        <v>0</v>
      </c>
      <c r="DF16" s="26">
        <f t="shared" si="92"/>
        <v>1.0000599999999999</v>
      </c>
      <c r="DG16" s="25"/>
      <c r="DH16" s="25"/>
      <c r="DI16" s="25"/>
      <c r="DJ16" s="25"/>
      <c r="DK16" s="25"/>
      <c r="DL16" s="35" t="e">
        <f>#REF!</f>
        <v>#REF!</v>
      </c>
      <c r="DM16" s="25"/>
      <c r="DN16" s="36" t="e">
        <f>#REF!</f>
        <v>#REF!</v>
      </c>
      <c r="DO16" s="25"/>
    </row>
    <row r="17" spans="1:119" ht="15.9" customHeight="1">
      <c r="A17" s="37" t="s">
        <v>37</v>
      </c>
      <c r="B17" s="38">
        <v>693</v>
      </c>
      <c r="C17" s="39">
        <v>670</v>
      </c>
      <c r="D17" s="71">
        <v>0.98919999999999997</v>
      </c>
      <c r="E17" s="40">
        <v>40</v>
      </c>
      <c r="F17" s="41">
        <f t="shared" si="93"/>
        <v>0.9829</v>
      </c>
      <c r="G17" s="42">
        <f t="shared" si="0"/>
        <v>658.54300000000001</v>
      </c>
      <c r="H17" s="41">
        <f t="shared" si="1"/>
        <v>0.98809999999999998</v>
      </c>
      <c r="I17" s="42">
        <f t="shared" si="2"/>
        <v>651.43073559999993</v>
      </c>
      <c r="J17" s="43">
        <f t="shared" si="3"/>
        <v>650.70633829999997</v>
      </c>
      <c r="K17" s="24">
        <f t="shared" si="4"/>
        <v>40</v>
      </c>
      <c r="L17" s="24">
        <f t="shared" si="5"/>
        <v>-20</v>
      </c>
      <c r="M17" s="24">
        <f t="shared" si="6"/>
        <v>1</v>
      </c>
      <c r="N17" s="24">
        <f t="shared" si="7"/>
        <v>1066.8689999999999</v>
      </c>
      <c r="O17" s="24">
        <f t="shared" si="8"/>
        <v>2.9967999999999998E-4</v>
      </c>
      <c r="P17" s="24">
        <f t="shared" si="9"/>
        <v>1.006</v>
      </c>
      <c r="Q17" s="25"/>
      <c r="R17" s="26">
        <f t="shared" si="10"/>
        <v>40</v>
      </c>
      <c r="S17" s="27">
        <f t="shared" si="11"/>
        <v>25</v>
      </c>
      <c r="T17" s="27">
        <f t="shared" si="12"/>
        <v>494.6</v>
      </c>
      <c r="U17" s="27">
        <f t="shared" si="13"/>
        <v>989.2</v>
      </c>
      <c r="V17" s="27">
        <f t="shared" si="14"/>
        <v>6.2744999999999999E-4</v>
      </c>
      <c r="W17" s="27">
        <f t="shared" si="15"/>
        <v>0.98419999999999996</v>
      </c>
      <c r="X17" s="28"/>
      <c r="Y17" s="27">
        <f t="shared" si="16"/>
        <v>40</v>
      </c>
      <c r="Z17" s="27">
        <f t="shared" si="17"/>
        <v>-20</v>
      </c>
      <c r="AA17" s="27">
        <f t="shared" si="18"/>
        <v>1</v>
      </c>
      <c r="AB17" s="27">
        <f t="shared" si="19"/>
        <v>1066.95638588</v>
      </c>
      <c r="AC17" s="27">
        <f t="shared" si="20"/>
        <v>3.4438999999999997E-4</v>
      </c>
      <c r="AD17" s="27">
        <f t="shared" si="21"/>
        <v>1.0068999999999999</v>
      </c>
      <c r="AE17" s="25"/>
      <c r="AF17" s="26">
        <f t="shared" si="22"/>
        <v>40</v>
      </c>
      <c r="AG17" s="27">
        <f t="shared" si="94"/>
        <v>25</v>
      </c>
      <c r="AH17" s="27">
        <f t="shared" si="23"/>
        <v>494.6</v>
      </c>
      <c r="AI17" s="27">
        <f t="shared" si="24"/>
        <v>989.2</v>
      </c>
      <c r="AJ17" s="27">
        <f t="shared" si="95"/>
        <v>6.8258000000000001E-4</v>
      </c>
      <c r="AK17" s="27">
        <f t="shared" si="96"/>
        <v>0.9829</v>
      </c>
      <c r="AL17" s="25"/>
      <c r="AM17" s="26">
        <f t="shared" si="25"/>
        <v>40</v>
      </c>
      <c r="AN17" s="27">
        <f t="shared" si="26"/>
        <v>-20</v>
      </c>
      <c r="AO17" s="27">
        <f t="shared" si="27"/>
        <v>494.6</v>
      </c>
      <c r="AP17" s="27">
        <f t="shared" si="28"/>
        <v>989.2</v>
      </c>
      <c r="AQ17" s="27">
        <f t="shared" si="29"/>
        <v>988.22299999999996</v>
      </c>
      <c r="AR17" s="27">
        <f t="shared" si="30"/>
        <v>3.4926999999999999E-4</v>
      </c>
      <c r="AS17" s="27">
        <f t="shared" si="31"/>
        <v>1.0069999999999999</v>
      </c>
      <c r="AT17" s="25"/>
      <c r="AU17" s="26">
        <f t="shared" si="32"/>
        <v>495</v>
      </c>
      <c r="AV17" s="26">
        <f t="shared" si="33"/>
        <v>990</v>
      </c>
      <c r="AW17" s="26">
        <f t="shared" si="34"/>
        <v>989.02200000000005</v>
      </c>
      <c r="AX17" s="26">
        <f t="shared" si="35"/>
        <v>40</v>
      </c>
      <c r="AY17" s="27">
        <f t="shared" si="36"/>
        <v>-20</v>
      </c>
      <c r="AZ17" s="27">
        <f t="shared" si="37"/>
        <v>3.7929000000000001E-4</v>
      </c>
      <c r="BA17" s="27">
        <f t="shared" si="38"/>
        <v>1.0076000000000001</v>
      </c>
      <c r="BB17" s="25"/>
      <c r="BC17" s="26">
        <f t="shared" si="39"/>
        <v>0</v>
      </c>
      <c r="BD17" s="29">
        <f t="shared" si="39"/>
        <v>40</v>
      </c>
      <c r="BE17" s="29">
        <f t="shared" si="40"/>
        <v>-20</v>
      </c>
      <c r="BF17" s="26" t="b">
        <f t="shared" si="41"/>
        <v>0</v>
      </c>
      <c r="BG17" s="26" t="b">
        <f t="shared" si="42"/>
        <v>0</v>
      </c>
      <c r="BH17" s="26" t="b">
        <f t="shared" si="43"/>
        <v>0</v>
      </c>
      <c r="BI17" s="26" t="b">
        <f t="shared" si="44"/>
        <v>0</v>
      </c>
      <c r="BJ17" s="26" t="b">
        <f t="shared" si="45"/>
        <v>0</v>
      </c>
      <c r="BK17" s="26" t="b">
        <f t="shared" si="46"/>
        <v>0</v>
      </c>
      <c r="BL17" s="26">
        <f t="shared" si="47"/>
        <v>0</v>
      </c>
      <c r="BM17" s="26">
        <f t="shared" si="48"/>
        <v>1.4460000000000001E-7</v>
      </c>
      <c r="BN17" s="26">
        <f t="shared" si="49"/>
        <v>1.0000599999999999</v>
      </c>
      <c r="BO17" s="26">
        <f t="shared" si="50"/>
        <v>1.5</v>
      </c>
      <c r="BP17" s="26" t="b">
        <f t="shared" si="51"/>
        <v>0</v>
      </c>
      <c r="BQ17" s="26" t="b">
        <f t="shared" si="52"/>
        <v>0</v>
      </c>
      <c r="BR17" s="26" t="b">
        <f t="shared" si="53"/>
        <v>0</v>
      </c>
      <c r="BS17" s="26" t="b">
        <f t="shared" si="54"/>
        <v>0</v>
      </c>
      <c r="BT17" s="26" t="b">
        <f t="shared" si="55"/>
        <v>0</v>
      </c>
      <c r="BU17" s="26" t="b">
        <f t="shared" si="56"/>
        <v>0</v>
      </c>
      <c r="BV17" s="26">
        <f t="shared" si="57"/>
        <v>0</v>
      </c>
      <c r="BW17" s="26">
        <f t="shared" si="58"/>
        <v>1.3939999999999999E-7</v>
      </c>
      <c r="BX17" s="26">
        <f t="shared" si="59"/>
        <v>1.0000599999999999</v>
      </c>
      <c r="BY17" s="26">
        <f t="shared" si="60"/>
        <v>0</v>
      </c>
      <c r="BZ17" s="26">
        <f t="shared" si="61"/>
        <v>0</v>
      </c>
      <c r="CA17" s="26">
        <f t="shared" si="62"/>
        <v>1.0000599999999999</v>
      </c>
      <c r="CB17" s="29">
        <f t="shared" si="63"/>
        <v>40.5</v>
      </c>
      <c r="CC17" s="26">
        <f t="shared" si="64"/>
        <v>0</v>
      </c>
      <c r="CD17" s="29">
        <f t="shared" si="65"/>
        <v>-19.5</v>
      </c>
      <c r="CE17" s="26" t="b">
        <f t="shared" si="66"/>
        <v>0</v>
      </c>
      <c r="CF17" s="26" t="b">
        <f t="shared" si="67"/>
        <v>0</v>
      </c>
      <c r="CG17" s="26" t="b">
        <f t="shared" si="68"/>
        <v>0</v>
      </c>
      <c r="CH17" s="26" t="b">
        <f t="shared" si="69"/>
        <v>0</v>
      </c>
      <c r="CI17" s="26" t="b">
        <f t="shared" si="70"/>
        <v>0</v>
      </c>
      <c r="CJ17" s="26" t="b">
        <f t="shared" si="71"/>
        <v>0</v>
      </c>
      <c r="CK17" s="26">
        <f t="shared" si="72"/>
        <v>0</v>
      </c>
      <c r="CL17" s="26">
        <f t="shared" si="73"/>
        <v>1.4460000000000001E-7</v>
      </c>
      <c r="CM17" s="26">
        <f t="shared" si="74"/>
        <v>1.0000500000000001</v>
      </c>
      <c r="CN17" s="26">
        <f t="shared" si="75"/>
        <v>1.5</v>
      </c>
      <c r="CO17" s="29">
        <f t="shared" si="75"/>
        <v>40.5</v>
      </c>
      <c r="CP17" s="29">
        <f t="shared" si="76"/>
        <v>-19.5</v>
      </c>
      <c r="CQ17" s="26" t="b">
        <f t="shared" si="77"/>
        <v>0</v>
      </c>
      <c r="CR17" s="26" t="b">
        <f t="shared" si="78"/>
        <v>0</v>
      </c>
      <c r="CS17" s="26" t="b">
        <f t="shared" si="79"/>
        <v>0</v>
      </c>
      <c r="CT17" s="26" t="b">
        <f t="shared" si="80"/>
        <v>0</v>
      </c>
      <c r="CU17" s="26" t="b">
        <f t="shared" si="81"/>
        <v>0</v>
      </c>
      <c r="CV17" s="26" t="b">
        <f t="shared" si="82"/>
        <v>0</v>
      </c>
      <c r="CW17" s="26">
        <f t="shared" si="83"/>
        <v>0</v>
      </c>
      <c r="CX17" s="26">
        <f t="shared" si="84"/>
        <v>1.3939999999999999E-7</v>
      </c>
      <c r="CY17" s="26">
        <f t="shared" si="85"/>
        <v>1.0000500000000001</v>
      </c>
      <c r="CZ17" s="26">
        <f t="shared" si="86"/>
        <v>0</v>
      </c>
      <c r="DA17" s="26">
        <f t="shared" si="87"/>
        <v>0</v>
      </c>
      <c r="DB17" s="26">
        <f t="shared" si="88"/>
        <v>1.0000500000000001</v>
      </c>
      <c r="DC17" s="26">
        <f t="shared" si="89"/>
        <v>9.9999999998434674E-6</v>
      </c>
      <c r="DD17" s="29">
        <f t="shared" si="90"/>
        <v>0</v>
      </c>
      <c r="DE17" s="26">
        <f t="shared" si="91"/>
        <v>0</v>
      </c>
      <c r="DF17" s="26">
        <f t="shared" si="92"/>
        <v>1.0000599999999999</v>
      </c>
      <c r="DG17" s="25"/>
      <c r="DH17" s="25"/>
      <c r="DI17" s="25"/>
      <c r="DJ17" s="25"/>
      <c r="DK17" s="25"/>
      <c r="DL17" s="25"/>
      <c r="DM17" s="25"/>
      <c r="DN17" s="25"/>
      <c r="DO17" s="25"/>
    </row>
    <row r="18" spans="1:119" ht="15.9" customHeight="1">
      <c r="A18" s="30" t="s">
        <v>64</v>
      </c>
      <c r="B18" s="31">
        <v>615</v>
      </c>
      <c r="C18" s="32">
        <v>0.36</v>
      </c>
      <c r="D18" s="44">
        <v>0.98919999999999997</v>
      </c>
      <c r="E18" s="33">
        <v>30</v>
      </c>
      <c r="F18" s="85">
        <f t="shared" si="93"/>
        <v>0.98970000000000002</v>
      </c>
      <c r="G18" s="86">
        <f t="shared" si="0"/>
        <v>0.35599999999999998</v>
      </c>
      <c r="H18" s="85">
        <f t="shared" si="1"/>
        <v>0.98809999999999998</v>
      </c>
      <c r="I18" s="86">
        <f t="shared" si="2"/>
        <v>0.35215519999999995</v>
      </c>
      <c r="J18" s="87">
        <f t="shared" si="3"/>
        <v>0.35176359999999995</v>
      </c>
      <c r="K18" s="24">
        <f t="shared" si="4"/>
        <v>30</v>
      </c>
      <c r="L18" s="24">
        <f t="shared" si="5"/>
        <v>-30</v>
      </c>
      <c r="M18" s="24">
        <f t="shared" si="6"/>
        <v>1</v>
      </c>
      <c r="N18" s="24">
        <f t="shared" si="7"/>
        <v>1066.8689999999999</v>
      </c>
      <c r="O18" s="24">
        <f t="shared" si="8"/>
        <v>2.9967999999999998E-4</v>
      </c>
      <c r="P18" s="24">
        <f t="shared" si="9"/>
        <v>1.0089999999999999</v>
      </c>
      <c r="Q18" s="25"/>
      <c r="R18" s="26">
        <f t="shared" si="10"/>
        <v>30</v>
      </c>
      <c r="S18" s="27">
        <f t="shared" si="11"/>
        <v>15</v>
      </c>
      <c r="T18" s="27">
        <f t="shared" si="12"/>
        <v>494.6</v>
      </c>
      <c r="U18" s="27">
        <f t="shared" si="13"/>
        <v>989.2</v>
      </c>
      <c r="V18" s="27">
        <f t="shared" si="14"/>
        <v>6.2744999999999999E-4</v>
      </c>
      <c r="W18" s="27">
        <f t="shared" si="15"/>
        <v>0.99060000000000004</v>
      </c>
      <c r="X18" s="28"/>
      <c r="Y18" s="27">
        <f t="shared" si="16"/>
        <v>30</v>
      </c>
      <c r="Z18" s="27">
        <f t="shared" si="17"/>
        <v>-30</v>
      </c>
      <c r="AA18" s="27">
        <f t="shared" si="18"/>
        <v>1</v>
      </c>
      <c r="AB18" s="27">
        <f t="shared" si="19"/>
        <v>1066.95638588</v>
      </c>
      <c r="AC18" s="27">
        <f t="shared" si="20"/>
        <v>3.4438999999999997E-4</v>
      </c>
      <c r="AD18" s="27">
        <f t="shared" si="21"/>
        <v>1.0103</v>
      </c>
      <c r="AE18" s="25"/>
      <c r="AF18" s="26">
        <f t="shared" si="22"/>
        <v>30</v>
      </c>
      <c r="AG18" s="27">
        <f t="shared" si="94"/>
        <v>15</v>
      </c>
      <c r="AH18" s="27">
        <f t="shared" si="23"/>
        <v>494.6</v>
      </c>
      <c r="AI18" s="27">
        <f t="shared" si="24"/>
        <v>989.2</v>
      </c>
      <c r="AJ18" s="27">
        <f t="shared" si="95"/>
        <v>6.8258000000000001E-4</v>
      </c>
      <c r="AK18" s="27">
        <f t="shared" si="96"/>
        <v>0.98970000000000002</v>
      </c>
      <c r="AL18" s="25"/>
      <c r="AM18" s="26">
        <f t="shared" si="25"/>
        <v>30</v>
      </c>
      <c r="AN18" s="27">
        <f t="shared" si="26"/>
        <v>-30</v>
      </c>
      <c r="AO18" s="27">
        <f t="shared" si="27"/>
        <v>494.6</v>
      </c>
      <c r="AP18" s="27">
        <f t="shared" si="28"/>
        <v>989.2</v>
      </c>
      <c r="AQ18" s="27">
        <f t="shared" si="29"/>
        <v>988.22299999999996</v>
      </c>
      <c r="AR18" s="27">
        <f t="shared" si="30"/>
        <v>3.4926999999999999E-4</v>
      </c>
      <c r="AS18" s="27">
        <f t="shared" si="31"/>
        <v>1.0104</v>
      </c>
      <c r="AT18" s="25"/>
      <c r="AU18" s="26">
        <f t="shared" si="32"/>
        <v>495</v>
      </c>
      <c r="AV18" s="26">
        <f t="shared" si="33"/>
        <v>990</v>
      </c>
      <c r="AW18" s="26">
        <f t="shared" si="34"/>
        <v>989.02200000000005</v>
      </c>
      <c r="AX18" s="26">
        <f t="shared" si="35"/>
        <v>30</v>
      </c>
      <c r="AY18" s="27">
        <f t="shared" si="36"/>
        <v>-30</v>
      </c>
      <c r="AZ18" s="27">
        <f t="shared" si="37"/>
        <v>3.7929000000000001E-4</v>
      </c>
      <c r="BA18" s="27">
        <f t="shared" si="38"/>
        <v>1.0113000000000001</v>
      </c>
      <c r="BB18" s="25"/>
      <c r="BC18" s="26">
        <f t="shared" si="39"/>
        <v>0</v>
      </c>
      <c r="BD18" s="29">
        <f t="shared" si="39"/>
        <v>30</v>
      </c>
      <c r="BE18" s="29">
        <f t="shared" si="40"/>
        <v>-30</v>
      </c>
      <c r="BF18" s="26" t="b">
        <f t="shared" si="41"/>
        <v>0</v>
      </c>
      <c r="BG18" s="26" t="b">
        <f t="shared" si="42"/>
        <v>0</v>
      </c>
      <c r="BH18" s="26" t="b">
        <f t="shared" si="43"/>
        <v>0</v>
      </c>
      <c r="BI18" s="26" t="b">
        <f t="shared" si="44"/>
        <v>0</v>
      </c>
      <c r="BJ18" s="26" t="b">
        <f t="shared" si="45"/>
        <v>0</v>
      </c>
      <c r="BK18" s="26" t="b">
        <f t="shared" si="46"/>
        <v>0</v>
      </c>
      <c r="BL18" s="26">
        <f t="shared" si="47"/>
        <v>0</v>
      </c>
      <c r="BM18" s="26">
        <f t="shared" si="48"/>
        <v>1.4460000000000001E-7</v>
      </c>
      <c r="BN18" s="26">
        <f t="shared" si="49"/>
        <v>1.00013</v>
      </c>
      <c r="BO18" s="26">
        <f t="shared" si="50"/>
        <v>1.5</v>
      </c>
      <c r="BP18" s="26" t="b">
        <f t="shared" si="51"/>
        <v>0</v>
      </c>
      <c r="BQ18" s="26" t="b">
        <f t="shared" si="52"/>
        <v>0</v>
      </c>
      <c r="BR18" s="26" t="b">
        <f t="shared" si="53"/>
        <v>0</v>
      </c>
      <c r="BS18" s="26" t="b">
        <f t="shared" si="54"/>
        <v>0</v>
      </c>
      <c r="BT18" s="26" t="b">
        <f t="shared" si="55"/>
        <v>0</v>
      </c>
      <c r="BU18" s="26" t="b">
        <f t="shared" si="56"/>
        <v>0</v>
      </c>
      <c r="BV18" s="26">
        <f t="shared" si="57"/>
        <v>0</v>
      </c>
      <c r="BW18" s="26">
        <f t="shared" si="58"/>
        <v>1.3939999999999999E-7</v>
      </c>
      <c r="BX18" s="26">
        <f t="shared" si="59"/>
        <v>1.00013</v>
      </c>
      <c r="BY18" s="26">
        <f t="shared" si="60"/>
        <v>0</v>
      </c>
      <c r="BZ18" s="26">
        <f t="shared" si="61"/>
        <v>0</v>
      </c>
      <c r="CA18" s="26">
        <f t="shared" si="62"/>
        <v>1.00013</v>
      </c>
      <c r="CB18" s="29">
        <f t="shared" si="63"/>
        <v>30.5</v>
      </c>
      <c r="CC18" s="26">
        <f t="shared" si="64"/>
        <v>0</v>
      </c>
      <c r="CD18" s="29">
        <f t="shared" si="65"/>
        <v>-29.5</v>
      </c>
      <c r="CE18" s="26" t="b">
        <f t="shared" si="66"/>
        <v>0</v>
      </c>
      <c r="CF18" s="26" t="b">
        <f t="shared" si="67"/>
        <v>0</v>
      </c>
      <c r="CG18" s="26" t="b">
        <f t="shared" si="68"/>
        <v>0</v>
      </c>
      <c r="CH18" s="26" t="b">
        <f t="shared" si="69"/>
        <v>0</v>
      </c>
      <c r="CI18" s="26" t="b">
        <f t="shared" si="70"/>
        <v>0</v>
      </c>
      <c r="CJ18" s="26" t="b">
        <f t="shared" si="71"/>
        <v>0</v>
      </c>
      <c r="CK18" s="26">
        <f t="shared" si="72"/>
        <v>0</v>
      </c>
      <c r="CL18" s="26">
        <f t="shared" si="73"/>
        <v>1.4460000000000001E-7</v>
      </c>
      <c r="CM18" s="26">
        <f t="shared" si="74"/>
        <v>1.00013</v>
      </c>
      <c r="CN18" s="26">
        <f t="shared" si="75"/>
        <v>1.5</v>
      </c>
      <c r="CO18" s="29">
        <f t="shared" si="75"/>
        <v>30.5</v>
      </c>
      <c r="CP18" s="29">
        <f t="shared" si="76"/>
        <v>-29.5</v>
      </c>
      <c r="CQ18" s="26" t="b">
        <f t="shared" si="77"/>
        <v>0</v>
      </c>
      <c r="CR18" s="26" t="b">
        <f t="shared" si="78"/>
        <v>0</v>
      </c>
      <c r="CS18" s="26" t="b">
        <f t="shared" si="79"/>
        <v>0</v>
      </c>
      <c r="CT18" s="26" t="b">
        <f t="shared" si="80"/>
        <v>0</v>
      </c>
      <c r="CU18" s="26" t="b">
        <f t="shared" si="81"/>
        <v>0</v>
      </c>
      <c r="CV18" s="26" t="b">
        <f t="shared" si="82"/>
        <v>0</v>
      </c>
      <c r="CW18" s="26">
        <f t="shared" si="83"/>
        <v>0</v>
      </c>
      <c r="CX18" s="26">
        <f t="shared" si="84"/>
        <v>1.3939999999999999E-7</v>
      </c>
      <c r="CY18" s="26">
        <f t="shared" si="85"/>
        <v>1.0001199999999999</v>
      </c>
      <c r="CZ18" s="26">
        <f t="shared" si="86"/>
        <v>1.0000000000065512E-5</v>
      </c>
      <c r="DA18" s="26">
        <f t="shared" si="87"/>
        <v>9.8920000000648043E-6</v>
      </c>
      <c r="DB18" s="26">
        <f t="shared" si="88"/>
        <v>1.000120108</v>
      </c>
      <c r="DC18" s="26">
        <f t="shared" si="89"/>
        <v>9.8920000000113362E-6</v>
      </c>
      <c r="DD18" s="29">
        <f t="shared" si="90"/>
        <v>0</v>
      </c>
      <c r="DE18" s="26">
        <f t="shared" si="91"/>
        <v>0</v>
      </c>
      <c r="DF18" s="26">
        <f t="shared" si="92"/>
        <v>1.00013</v>
      </c>
      <c r="DG18" s="25"/>
      <c r="DH18" s="25"/>
      <c r="DI18" s="25"/>
      <c r="DJ18" s="25"/>
      <c r="DK18" s="25"/>
      <c r="DL18" s="25"/>
      <c r="DM18" s="25"/>
      <c r="DN18" s="25"/>
      <c r="DO18" s="25"/>
    </row>
    <row r="19" spans="1:119" ht="15.9" customHeight="1">
      <c r="A19" s="30" t="s">
        <v>38</v>
      </c>
      <c r="B19" s="32">
        <v>332</v>
      </c>
      <c r="C19" s="32">
        <v>32</v>
      </c>
      <c r="D19" s="44">
        <v>0.98919999999999997</v>
      </c>
      <c r="E19" s="33">
        <v>71</v>
      </c>
      <c r="F19" s="85">
        <f t="shared" si="93"/>
        <v>0.96140000000000003</v>
      </c>
      <c r="G19" s="86">
        <f t="shared" si="0"/>
        <v>30.765000000000001</v>
      </c>
      <c r="H19" s="85">
        <f t="shared" si="1"/>
        <v>0.98809999999999998</v>
      </c>
      <c r="I19" s="86">
        <f t="shared" si="2"/>
        <v>30.432738000000001</v>
      </c>
      <c r="J19" s="87">
        <f t="shared" si="3"/>
        <v>30.398896499999999</v>
      </c>
      <c r="K19" s="24">
        <f t="shared" si="4"/>
        <v>71</v>
      </c>
      <c r="L19" s="24">
        <f t="shared" si="5"/>
        <v>11</v>
      </c>
      <c r="M19" s="24">
        <f t="shared" si="6"/>
        <v>1</v>
      </c>
      <c r="N19" s="24">
        <f t="shared" si="7"/>
        <v>1066.8689999999999</v>
      </c>
      <c r="O19" s="24">
        <f t="shared" si="8"/>
        <v>2.9967999999999998E-4</v>
      </c>
      <c r="P19" s="24">
        <f t="shared" si="9"/>
        <v>0.99670000000000003</v>
      </c>
      <c r="Q19" s="25"/>
      <c r="R19" s="26">
        <f t="shared" si="10"/>
        <v>71</v>
      </c>
      <c r="S19" s="27">
        <f t="shared" si="11"/>
        <v>56</v>
      </c>
      <c r="T19" s="27">
        <f t="shared" si="12"/>
        <v>494.6</v>
      </c>
      <c r="U19" s="27">
        <f t="shared" si="13"/>
        <v>989.2</v>
      </c>
      <c r="V19" s="27">
        <f t="shared" si="14"/>
        <v>6.2744999999999999E-4</v>
      </c>
      <c r="W19" s="27">
        <f t="shared" si="15"/>
        <v>0.96450000000000002</v>
      </c>
      <c r="X19" s="28"/>
      <c r="Y19" s="27">
        <f t="shared" si="16"/>
        <v>71</v>
      </c>
      <c r="Z19" s="27">
        <f t="shared" si="17"/>
        <v>11</v>
      </c>
      <c r="AA19" s="27">
        <f t="shared" si="18"/>
        <v>1</v>
      </c>
      <c r="AB19" s="27">
        <f t="shared" si="19"/>
        <v>1066.95638588</v>
      </c>
      <c r="AC19" s="27">
        <f t="shared" si="20"/>
        <v>3.4438999999999997E-4</v>
      </c>
      <c r="AD19" s="27">
        <f t="shared" si="21"/>
        <v>0.99619999999999997</v>
      </c>
      <c r="AE19" s="25"/>
      <c r="AF19" s="26">
        <f t="shared" si="22"/>
        <v>71</v>
      </c>
      <c r="AG19" s="27">
        <f t="shared" si="94"/>
        <v>56</v>
      </c>
      <c r="AH19" s="27">
        <f t="shared" si="23"/>
        <v>494.6</v>
      </c>
      <c r="AI19" s="27">
        <f t="shared" si="24"/>
        <v>989.2</v>
      </c>
      <c r="AJ19" s="27">
        <f t="shared" si="95"/>
        <v>6.8258000000000001E-4</v>
      </c>
      <c r="AK19" s="27">
        <f t="shared" si="96"/>
        <v>0.96140000000000003</v>
      </c>
      <c r="AL19" s="25"/>
      <c r="AM19" s="26">
        <f t="shared" si="25"/>
        <v>71</v>
      </c>
      <c r="AN19" s="27">
        <f t="shared" si="26"/>
        <v>11</v>
      </c>
      <c r="AO19" s="27">
        <f t="shared" si="27"/>
        <v>494.6</v>
      </c>
      <c r="AP19" s="27">
        <f t="shared" si="28"/>
        <v>989.2</v>
      </c>
      <c r="AQ19" s="27">
        <f t="shared" si="29"/>
        <v>988.22299999999996</v>
      </c>
      <c r="AR19" s="27">
        <f t="shared" si="30"/>
        <v>3.4926999999999999E-4</v>
      </c>
      <c r="AS19" s="27">
        <f t="shared" si="31"/>
        <v>0.99619999999999997</v>
      </c>
      <c r="AT19" s="25"/>
      <c r="AU19" s="26">
        <f t="shared" si="32"/>
        <v>495</v>
      </c>
      <c r="AV19" s="26">
        <f t="shared" si="33"/>
        <v>990</v>
      </c>
      <c r="AW19" s="26">
        <f t="shared" si="34"/>
        <v>989.02200000000005</v>
      </c>
      <c r="AX19" s="26">
        <f t="shared" si="35"/>
        <v>71</v>
      </c>
      <c r="AY19" s="27">
        <f t="shared" si="36"/>
        <v>11</v>
      </c>
      <c r="AZ19" s="27">
        <f t="shared" si="37"/>
        <v>3.7929000000000001E-4</v>
      </c>
      <c r="BA19" s="27">
        <f t="shared" si="38"/>
        <v>0.99580000000000002</v>
      </c>
      <c r="BB19" s="25"/>
      <c r="BC19" s="26">
        <f t="shared" si="39"/>
        <v>0</v>
      </c>
      <c r="BD19" s="29">
        <f t="shared" si="39"/>
        <v>71</v>
      </c>
      <c r="BE19" s="29">
        <f t="shared" si="40"/>
        <v>11</v>
      </c>
      <c r="BF19" s="26" t="b">
        <f t="shared" si="41"/>
        <v>0</v>
      </c>
      <c r="BG19" s="26" t="b">
        <f t="shared" si="42"/>
        <v>0</v>
      </c>
      <c r="BH19" s="26" t="b">
        <f t="shared" si="43"/>
        <v>0</v>
      </c>
      <c r="BI19" s="26" t="b">
        <f t="shared" si="44"/>
        <v>0</v>
      </c>
      <c r="BJ19" s="26" t="b">
        <f t="shared" si="45"/>
        <v>0</v>
      </c>
      <c r="BK19" s="26" t="b">
        <f t="shared" si="46"/>
        <v>0</v>
      </c>
      <c r="BL19" s="26">
        <f t="shared" si="47"/>
        <v>0</v>
      </c>
      <c r="BM19" s="26">
        <f t="shared" si="48"/>
        <v>1.4460000000000001E-7</v>
      </c>
      <c r="BN19" s="26">
        <f t="shared" si="49"/>
        <v>1.0000199999999999</v>
      </c>
      <c r="BO19" s="26">
        <f t="shared" si="50"/>
        <v>1.5</v>
      </c>
      <c r="BP19" s="26" t="b">
        <f t="shared" si="51"/>
        <v>0</v>
      </c>
      <c r="BQ19" s="26" t="b">
        <f t="shared" si="52"/>
        <v>0</v>
      </c>
      <c r="BR19" s="26" t="b">
        <f t="shared" si="53"/>
        <v>0</v>
      </c>
      <c r="BS19" s="26" t="b">
        <f t="shared" si="54"/>
        <v>0</v>
      </c>
      <c r="BT19" s="26" t="b">
        <f t="shared" si="55"/>
        <v>0</v>
      </c>
      <c r="BU19" s="26" t="b">
        <f t="shared" si="56"/>
        <v>0</v>
      </c>
      <c r="BV19" s="26">
        <f t="shared" si="57"/>
        <v>0</v>
      </c>
      <c r="BW19" s="26">
        <f t="shared" si="58"/>
        <v>1.3939999999999999E-7</v>
      </c>
      <c r="BX19" s="26">
        <f t="shared" si="59"/>
        <v>1.0000199999999999</v>
      </c>
      <c r="BY19" s="26">
        <f t="shared" si="60"/>
        <v>0</v>
      </c>
      <c r="BZ19" s="26">
        <f t="shared" si="61"/>
        <v>0</v>
      </c>
      <c r="CA19" s="26">
        <f t="shared" si="62"/>
        <v>1.0000199999999999</v>
      </c>
      <c r="CB19" s="29">
        <f t="shared" si="63"/>
        <v>71.5</v>
      </c>
      <c r="CC19" s="26">
        <f t="shared" si="64"/>
        <v>0</v>
      </c>
      <c r="CD19" s="29">
        <f t="shared" si="65"/>
        <v>11.5</v>
      </c>
      <c r="CE19" s="26" t="b">
        <f t="shared" si="66"/>
        <v>0</v>
      </c>
      <c r="CF19" s="26" t="b">
        <f t="shared" si="67"/>
        <v>0</v>
      </c>
      <c r="CG19" s="26" t="b">
        <f t="shared" si="68"/>
        <v>0</v>
      </c>
      <c r="CH19" s="26" t="b">
        <f t="shared" si="69"/>
        <v>0</v>
      </c>
      <c r="CI19" s="26" t="b">
        <f t="shared" si="70"/>
        <v>0</v>
      </c>
      <c r="CJ19" s="26" t="b">
        <f t="shared" si="71"/>
        <v>0</v>
      </c>
      <c r="CK19" s="26">
        <f t="shared" si="72"/>
        <v>0</v>
      </c>
      <c r="CL19" s="26">
        <f t="shared" si="73"/>
        <v>1.4460000000000001E-7</v>
      </c>
      <c r="CM19" s="26">
        <f t="shared" si="74"/>
        <v>1.0000199999999999</v>
      </c>
      <c r="CN19" s="26">
        <f t="shared" si="75"/>
        <v>1.5</v>
      </c>
      <c r="CO19" s="29">
        <f t="shared" si="75"/>
        <v>71.5</v>
      </c>
      <c r="CP19" s="29">
        <f t="shared" si="76"/>
        <v>11.5</v>
      </c>
      <c r="CQ19" s="26" t="b">
        <f t="shared" si="77"/>
        <v>0</v>
      </c>
      <c r="CR19" s="26" t="b">
        <f t="shared" si="78"/>
        <v>0</v>
      </c>
      <c r="CS19" s="26" t="b">
        <f t="shared" si="79"/>
        <v>0</v>
      </c>
      <c r="CT19" s="26" t="b">
        <f t="shared" si="80"/>
        <v>0</v>
      </c>
      <c r="CU19" s="26" t="b">
        <f t="shared" si="81"/>
        <v>0</v>
      </c>
      <c r="CV19" s="26" t="b">
        <f t="shared" si="82"/>
        <v>0</v>
      </c>
      <c r="CW19" s="26">
        <f t="shared" si="83"/>
        <v>0</v>
      </c>
      <c r="CX19" s="26">
        <f t="shared" si="84"/>
        <v>1.3939999999999999E-7</v>
      </c>
      <c r="CY19" s="26">
        <f t="shared" si="85"/>
        <v>1.0000199999999999</v>
      </c>
      <c r="CZ19" s="26">
        <f t="shared" si="86"/>
        <v>0</v>
      </c>
      <c r="DA19" s="26">
        <f t="shared" si="87"/>
        <v>0</v>
      </c>
      <c r="DB19" s="26">
        <f t="shared" si="88"/>
        <v>1.0000199999999999</v>
      </c>
      <c r="DC19" s="26">
        <f t="shared" si="89"/>
        <v>0</v>
      </c>
      <c r="DD19" s="29">
        <f t="shared" si="90"/>
        <v>0</v>
      </c>
      <c r="DE19" s="26">
        <f t="shared" si="91"/>
        <v>0</v>
      </c>
      <c r="DF19" s="26">
        <f t="shared" si="92"/>
        <v>1.0000199999999999</v>
      </c>
      <c r="DG19" s="25"/>
      <c r="DH19" s="25"/>
      <c r="DI19" s="25"/>
      <c r="DJ19" s="25"/>
      <c r="DK19" s="25"/>
      <c r="DL19" s="25"/>
      <c r="DM19" s="25"/>
      <c r="DN19" s="25"/>
      <c r="DO19" s="25"/>
    </row>
    <row r="20" spans="1:119" ht="15.9" customHeight="1">
      <c r="A20" s="30" t="s">
        <v>39</v>
      </c>
      <c r="B20" s="32">
        <v>217</v>
      </c>
      <c r="C20" s="32">
        <v>55.05</v>
      </c>
      <c r="D20" s="44">
        <v>0.98919999999999997</v>
      </c>
      <c r="E20" s="33">
        <v>90</v>
      </c>
      <c r="F20" s="85">
        <f t="shared" si="93"/>
        <v>0.94810000000000005</v>
      </c>
      <c r="G20" s="86">
        <f t="shared" si="0"/>
        <v>52.192999999999998</v>
      </c>
      <c r="H20" s="85">
        <f t="shared" si="1"/>
        <v>0.98809999999999998</v>
      </c>
      <c r="I20" s="86">
        <f t="shared" si="2"/>
        <v>51.629315599999998</v>
      </c>
      <c r="J20" s="87">
        <f t="shared" si="3"/>
        <v>51.571903299999995</v>
      </c>
      <c r="K20" s="24">
        <f t="shared" si="4"/>
        <v>90</v>
      </c>
      <c r="L20" s="24">
        <f t="shared" si="5"/>
        <v>30</v>
      </c>
      <c r="M20" s="24">
        <f t="shared" si="6"/>
        <v>1</v>
      </c>
      <c r="N20" s="24">
        <f t="shared" si="7"/>
        <v>1066.8689999999999</v>
      </c>
      <c r="O20" s="24">
        <f t="shared" si="8"/>
        <v>2.9967999999999998E-4</v>
      </c>
      <c r="P20" s="24">
        <f t="shared" si="9"/>
        <v>0.99099999999999999</v>
      </c>
      <c r="Q20" s="25"/>
      <c r="R20" s="26">
        <f t="shared" si="10"/>
        <v>90</v>
      </c>
      <c r="S20" s="27">
        <f t="shared" si="11"/>
        <v>75</v>
      </c>
      <c r="T20" s="27">
        <f t="shared" si="12"/>
        <v>494.6</v>
      </c>
      <c r="U20" s="27">
        <f t="shared" si="13"/>
        <v>989.2</v>
      </c>
      <c r="V20" s="27">
        <f t="shared" si="14"/>
        <v>6.2744999999999999E-4</v>
      </c>
      <c r="W20" s="27">
        <f t="shared" si="15"/>
        <v>0.95230000000000004</v>
      </c>
      <c r="X20" s="28"/>
      <c r="Y20" s="27">
        <f t="shared" si="16"/>
        <v>90</v>
      </c>
      <c r="Z20" s="27">
        <f t="shared" si="17"/>
        <v>30</v>
      </c>
      <c r="AA20" s="27">
        <f t="shared" si="18"/>
        <v>1</v>
      </c>
      <c r="AB20" s="27">
        <f t="shared" si="19"/>
        <v>1066.95638588</v>
      </c>
      <c r="AC20" s="27">
        <f t="shared" si="20"/>
        <v>3.4438999999999997E-4</v>
      </c>
      <c r="AD20" s="27">
        <f t="shared" si="21"/>
        <v>0.98960000000000004</v>
      </c>
      <c r="AE20" s="25"/>
      <c r="AF20" s="26">
        <f t="shared" si="22"/>
        <v>90</v>
      </c>
      <c r="AG20" s="27">
        <f t="shared" si="94"/>
        <v>75</v>
      </c>
      <c r="AH20" s="27">
        <f t="shared" si="23"/>
        <v>494.6</v>
      </c>
      <c r="AI20" s="27">
        <f t="shared" si="24"/>
        <v>989.2</v>
      </c>
      <c r="AJ20" s="27">
        <f t="shared" si="95"/>
        <v>6.8258000000000001E-4</v>
      </c>
      <c r="AK20" s="27">
        <f t="shared" si="96"/>
        <v>0.94810000000000005</v>
      </c>
      <c r="AL20" s="25"/>
      <c r="AM20" s="26">
        <f t="shared" si="25"/>
        <v>90</v>
      </c>
      <c r="AN20" s="27">
        <f t="shared" si="26"/>
        <v>30</v>
      </c>
      <c r="AO20" s="27">
        <f t="shared" si="27"/>
        <v>494.6</v>
      </c>
      <c r="AP20" s="27">
        <f t="shared" si="28"/>
        <v>989.2</v>
      </c>
      <c r="AQ20" s="27">
        <f t="shared" si="29"/>
        <v>988.22299999999996</v>
      </c>
      <c r="AR20" s="27">
        <f t="shared" si="30"/>
        <v>3.4926999999999999E-4</v>
      </c>
      <c r="AS20" s="27">
        <f t="shared" si="31"/>
        <v>0.98950000000000005</v>
      </c>
      <c r="AT20" s="25"/>
      <c r="AU20" s="26">
        <f t="shared" si="32"/>
        <v>495</v>
      </c>
      <c r="AV20" s="26">
        <f t="shared" si="33"/>
        <v>990</v>
      </c>
      <c r="AW20" s="26">
        <f t="shared" si="34"/>
        <v>989.02200000000005</v>
      </c>
      <c r="AX20" s="26">
        <f t="shared" si="35"/>
        <v>90</v>
      </c>
      <c r="AY20" s="27">
        <f t="shared" si="36"/>
        <v>30</v>
      </c>
      <c r="AZ20" s="27">
        <f t="shared" si="37"/>
        <v>3.7929000000000001E-4</v>
      </c>
      <c r="BA20" s="27">
        <f t="shared" si="38"/>
        <v>0.98860000000000003</v>
      </c>
      <c r="BB20" s="25"/>
      <c r="BC20" s="26">
        <f t="shared" si="39"/>
        <v>0</v>
      </c>
      <c r="BD20" s="29">
        <f t="shared" si="39"/>
        <v>90</v>
      </c>
      <c r="BE20" s="29">
        <f t="shared" si="40"/>
        <v>30</v>
      </c>
      <c r="BF20" s="26" t="b">
        <f t="shared" si="41"/>
        <v>0</v>
      </c>
      <c r="BG20" s="26" t="b">
        <f t="shared" si="42"/>
        <v>0</v>
      </c>
      <c r="BH20" s="26" t="b">
        <f t="shared" si="43"/>
        <v>0</v>
      </c>
      <c r="BI20" s="26" t="b">
        <f t="shared" si="44"/>
        <v>0</v>
      </c>
      <c r="BJ20" s="26" t="b">
        <f t="shared" si="45"/>
        <v>0</v>
      </c>
      <c r="BK20" s="26" t="b">
        <f t="shared" si="46"/>
        <v>0</v>
      </c>
      <c r="BL20" s="26">
        <f t="shared" si="47"/>
        <v>0</v>
      </c>
      <c r="BM20" s="26">
        <f t="shared" si="48"/>
        <v>1.4460000000000001E-7</v>
      </c>
      <c r="BN20" s="26">
        <f t="shared" si="49"/>
        <v>1.00013</v>
      </c>
      <c r="BO20" s="26">
        <f t="shared" si="50"/>
        <v>1.5</v>
      </c>
      <c r="BP20" s="26" t="b">
        <f t="shared" si="51"/>
        <v>0</v>
      </c>
      <c r="BQ20" s="26" t="b">
        <f t="shared" si="52"/>
        <v>0</v>
      </c>
      <c r="BR20" s="26" t="b">
        <f t="shared" si="53"/>
        <v>0</v>
      </c>
      <c r="BS20" s="26" t="b">
        <f t="shared" si="54"/>
        <v>0</v>
      </c>
      <c r="BT20" s="26" t="b">
        <f t="shared" si="55"/>
        <v>0</v>
      </c>
      <c r="BU20" s="26" t="b">
        <f t="shared" si="56"/>
        <v>0</v>
      </c>
      <c r="BV20" s="26">
        <f t="shared" si="57"/>
        <v>0</v>
      </c>
      <c r="BW20" s="26">
        <f t="shared" si="58"/>
        <v>1.3939999999999999E-7</v>
      </c>
      <c r="BX20" s="26">
        <f t="shared" si="59"/>
        <v>1.00013</v>
      </c>
      <c r="BY20" s="26">
        <f t="shared" si="60"/>
        <v>0</v>
      </c>
      <c r="BZ20" s="26">
        <f t="shared" si="61"/>
        <v>0</v>
      </c>
      <c r="CA20" s="26">
        <f t="shared" si="62"/>
        <v>1.00013</v>
      </c>
      <c r="CB20" s="29">
        <f t="shared" si="63"/>
        <v>90.5</v>
      </c>
      <c r="CC20" s="26">
        <f t="shared" si="64"/>
        <v>0</v>
      </c>
      <c r="CD20" s="29">
        <f t="shared" si="65"/>
        <v>30.5</v>
      </c>
      <c r="CE20" s="26" t="b">
        <f t="shared" si="66"/>
        <v>0</v>
      </c>
      <c r="CF20" s="26" t="b">
        <f t="shared" si="67"/>
        <v>0</v>
      </c>
      <c r="CG20" s="26" t="b">
        <f t="shared" si="68"/>
        <v>0</v>
      </c>
      <c r="CH20" s="26" t="b">
        <f t="shared" si="69"/>
        <v>0</v>
      </c>
      <c r="CI20" s="26" t="b">
        <f t="shared" si="70"/>
        <v>0</v>
      </c>
      <c r="CJ20" s="26" t="b">
        <f t="shared" si="71"/>
        <v>0</v>
      </c>
      <c r="CK20" s="26">
        <f t="shared" si="72"/>
        <v>0</v>
      </c>
      <c r="CL20" s="26">
        <f t="shared" si="73"/>
        <v>1.4460000000000001E-7</v>
      </c>
      <c r="CM20" s="26">
        <f t="shared" si="74"/>
        <v>1.00013</v>
      </c>
      <c r="CN20" s="26">
        <f t="shared" si="75"/>
        <v>1.5</v>
      </c>
      <c r="CO20" s="29">
        <f t="shared" si="75"/>
        <v>90.5</v>
      </c>
      <c r="CP20" s="29">
        <f t="shared" si="76"/>
        <v>30.5</v>
      </c>
      <c r="CQ20" s="26" t="b">
        <f t="shared" si="77"/>
        <v>0</v>
      </c>
      <c r="CR20" s="26" t="b">
        <f t="shared" si="78"/>
        <v>0</v>
      </c>
      <c r="CS20" s="26" t="b">
        <f t="shared" si="79"/>
        <v>0</v>
      </c>
      <c r="CT20" s="26" t="b">
        <f t="shared" si="80"/>
        <v>0</v>
      </c>
      <c r="CU20" s="26" t="b">
        <f t="shared" si="81"/>
        <v>0</v>
      </c>
      <c r="CV20" s="26" t="b">
        <f t="shared" si="82"/>
        <v>0</v>
      </c>
      <c r="CW20" s="26">
        <f t="shared" si="83"/>
        <v>0</v>
      </c>
      <c r="CX20" s="26">
        <f t="shared" si="84"/>
        <v>1.3939999999999999E-7</v>
      </c>
      <c r="CY20" s="26">
        <f t="shared" si="85"/>
        <v>1.00013</v>
      </c>
      <c r="CZ20" s="26">
        <f t="shared" si="86"/>
        <v>0</v>
      </c>
      <c r="DA20" s="26">
        <f t="shared" si="87"/>
        <v>0</v>
      </c>
      <c r="DB20" s="26">
        <f t="shared" si="88"/>
        <v>1.00013</v>
      </c>
      <c r="DC20" s="26">
        <f t="shared" si="89"/>
        <v>0</v>
      </c>
      <c r="DD20" s="29">
        <f t="shared" si="90"/>
        <v>0</v>
      </c>
      <c r="DE20" s="26">
        <f t="shared" si="91"/>
        <v>0</v>
      </c>
      <c r="DF20" s="26">
        <f t="shared" si="92"/>
        <v>1.00013</v>
      </c>
      <c r="DG20" s="25"/>
      <c r="DH20" s="25"/>
      <c r="DI20" s="25"/>
      <c r="DJ20" s="25"/>
      <c r="DK20" s="25"/>
      <c r="DL20" s="25"/>
      <c r="DM20" s="25"/>
      <c r="DN20" s="25"/>
      <c r="DO20" s="25"/>
    </row>
    <row r="21" spans="1:119" ht="15.9" customHeight="1">
      <c r="A21" s="30" t="s">
        <v>40</v>
      </c>
      <c r="B21" s="32">
        <v>439</v>
      </c>
      <c r="C21" s="32">
        <v>23.27</v>
      </c>
      <c r="D21" s="44">
        <v>0.94750000000000001</v>
      </c>
      <c r="E21" s="33">
        <v>70</v>
      </c>
      <c r="F21" s="85">
        <f t="shared" si="93"/>
        <v>0.95989999999999998</v>
      </c>
      <c r="G21" s="86">
        <f t="shared" si="0"/>
        <v>22.337</v>
      </c>
      <c r="H21" s="85">
        <f t="shared" si="1"/>
        <v>0.94640000000000002</v>
      </c>
      <c r="I21" s="86">
        <f t="shared" si="2"/>
        <v>21.1643075</v>
      </c>
      <c r="J21" s="87">
        <f t="shared" si="3"/>
        <v>21.139736800000001</v>
      </c>
      <c r="K21" s="24">
        <f t="shared" si="4"/>
        <v>70</v>
      </c>
      <c r="L21" s="24">
        <f t="shared" si="5"/>
        <v>10</v>
      </c>
      <c r="M21" s="24">
        <f t="shared" si="6"/>
        <v>1</v>
      </c>
      <c r="N21" s="24">
        <f t="shared" si="7"/>
        <v>1066.8689999999999</v>
      </c>
      <c r="O21" s="24">
        <f t="shared" si="8"/>
        <v>2.9967999999999998E-4</v>
      </c>
      <c r="P21" s="24">
        <f t="shared" si="9"/>
        <v>0.997</v>
      </c>
      <c r="Q21" s="25"/>
      <c r="R21" s="26">
        <f t="shared" si="10"/>
        <v>70</v>
      </c>
      <c r="S21" s="27">
        <f t="shared" si="11"/>
        <v>55</v>
      </c>
      <c r="T21" s="27">
        <f t="shared" si="12"/>
        <v>473.8</v>
      </c>
      <c r="U21" s="27">
        <f t="shared" si="13"/>
        <v>947.6</v>
      </c>
      <c r="V21" s="27">
        <f t="shared" si="14"/>
        <v>6.8375E-4</v>
      </c>
      <c r="W21" s="27">
        <f t="shared" si="15"/>
        <v>0.96199999999999997</v>
      </c>
      <c r="X21" s="28"/>
      <c r="Y21" s="27">
        <f t="shared" si="16"/>
        <v>70</v>
      </c>
      <c r="Z21" s="27">
        <f t="shared" si="17"/>
        <v>10</v>
      </c>
      <c r="AA21" s="27">
        <f t="shared" si="18"/>
        <v>1</v>
      </c>
      <c r="AB21" s="27">
        <f t="shared" si="19"/>
        <v>1067.2923082699999</v>
      </c>
      <c r="AC21" s="27">
        <f t="shared" si="20"/>
        <v>3.4425999999999999E-4</v>
      </c>
      <c r="AD21" s="27">
        <f t="shared" si="21"/>
        <v>0.99660000000000004</v>
      </c>
      <c r="AE21" s="25"/>
      <c r="AF21" s="26">
        <f t="shared" si="22"/>
        <v>70</v>
      </c>
      <c r="AG21" s="27">
        <f t="shared" si="94"/>
        <v>55</v>
      </c>
      <c r="AH21" s="27">
        <f t="shared" si="23"/>
        <v>473.8</v>
      </c>
      <c r="AI21" s="27">
        <f t="shared" si="24"/>
        <v>947.6</v>
      </c>
      <c r="AJ21" s="27">
        <f t="shared" si="95"/>
        <v>7.2130000000000002E-4</v>
      </c>
      <c r="AK21" s="27">
        <f t="shared" si="96"/>
        <v>0.95989999999999998</v>
      </c>
      <c r="AL21" s="25"/>
      <c r="AM21" s="26">
        <f t="shared" si="25"/>
        <v>70</v>
      </c>
      <c r="AN21" s="27">
        <f t="shared" si="26"/>
        <v>10</v>
      </c>
      <c r="AO21" s="27">
        <f t="shared" si="27"/>
        <v>473.8</v>
      </c>
      <c r="AP21" s="27">
        <f t="shared" si="28"/>
        <v>947.6</v>
      </c>
      <c r="AQ21" s="27">
        <f t="shared" si="29"/>
        <v>946.66399999999999</v>
      </c>
      <c r="AR21" s="27">
        <f t="shared" si="30"/>
        <v>3.8060999999999998E-4</v>
      </c>
      <c r="AS21" s="27">
        <f t="shared" si="31"/>
        <v>0.99619999999999997</v>
      </c>
      <c r="AT21" s="25"/>
      <c r="AU21" s="26">
        <f t="shared" si="32"/>
        <v>474</v>
      </c>
      <c r="AV21" s="26">
        <f t="shared" si="33"/>
        <v>948</v>
      </c>
      <c r="AW21" s="26">
        <f t="shared" si="34"/>
        <v>947.06299999999999</v>
      </c>
      <c r="AX21" s="26">
        <f t="shared" si="35"/>
        <v>70</v>
      </c>
      <c r="AY21" s="27">
        <f t="shared" si="36"/>
        <v>10</v>
      </c>
      <c r="AZ21" s="27">
        <f t="shared" si="37"/>
        <v>4.0100999999999998E-4</v>
      </c>
      <c r="BA21" s="27">
        <f t="shared" si="38"/>
        <v>0.996</v>
      </c>
      <c r="BB21" s="25"/>
      <c r="BC21" s="26">
        <f t="shared" si="39"/>
        <v>0</v>
      </c>
      <c r="BD21" s="29">
        <f t="shared" si="39"/>
        <v>70</v>
      </c>
      <c r="BE21" s="29">
        <f t="shared" si="40"/>
        <v>10</v>
      </c>
      <c r="BF21" s="26" t="b">
        <f t="shared" si="41"/>
        <v>0</v>
      </c>
      <c r="BG21" s="26" t="b">
        <f t="shared" si="42"/>
        <v>0</v>
      </c>
      <c r="BH21" s="26" t="b">
        <f t="shared" si="43"/>
        <v>0</v>
      </c>
      <c r="BI21" s="26" t="b">
        <f t="shared" si="44"/>
        <v>0</v>
      </c>
      <c r="BJ21" s="26" t="b">
        <f t="shared" si="45"/>
        <v>0</v>
      </c>
      <c r="BK21" s="26" t="b">
        <f t="shared" si="46"/>
        <v>0</v>
      </c>
      <c r="BL21" s="26">
        <f t="shared" si="47"/>
        <v>0</v>
      </c>
      <c r="BM21" s="26">
        <f t="shared" si="48"/>
        <v>1.4460000000000001E-7</v>
      </c>
      <c r="BN21" s="26">
        <f t="shared" si="49"/>
        <v>1.0000100000000001</v>
      </c>
      <c r="BO21" s="26">
        <f t="shared" si="50"/>
        <v>1.4</v>
      </c>
      <c r="BP21" s="26" t="b">
        <f t="shared" si="51"/>
        <v>0</v>
      </c>
      <c r="BQ21" s="26" t="b">
        <f t="shared" si="52"/>
        <v>0</v>
      </c>
      <c r="BR21" s="26" t="b">
        <f t="shared" si="53"/>
        <v>0</v>
      </c>
      <c r="BS21" s="26" t="b">
        <f t="shared" si="54"/>
        <v>0</v>
      </c>
      <c r="BT21" s="26" t="b">
        <f t="shared" si="55"/>
        <v>0</v>
      </c>
      <c r="BU21" s="26" t="b">
        <f t="shared" si="56"/>
        <v>0</v>
      </c>
      <c r="BV21" s="26">
        <f t="shared" si="57"/>
        <v>0</v>
      </c>
      <c r="BW21" s="26">
        <f t="shared" si="58"/>
        <v>1.3979999999999999E-7</v>
      </c>
      <c r="BX21" s="26">
        <f t="shared" si="59"/>
        <v>1.0000100000000001</v>
      </c>
      <c r="BY21" s="26">
        <f t="shared" si="60"/>
        <v>0</v>
      </c>
      <c r="BZ21" s="26">
        <f t="shared" si="61"/>
        <v>0</v>
      </c>
      <c r="CA21" s="26">
        <f t="shared" si="62"/>
        <v>1.0000100000000001</v>
      </c>
      <c r="CB21" s="29">
        <f t="shared" si="63"/>
        <v>70.5</v>
      </c>
      <c r="CC21" s="26">
        <f t="shared" si="64"/>
        <v>0</v>
      </c>
      <c r="CD21" s="29">
        <f t="shared" si="65"/>
        <v>10.5</v>
      </c>
      <c r="CE21" s="26" t="b">
        <f t="shared" si="66"/>
        <v>0</v>
      </c>
      <c r="CF21" s="26" t="b">
        <f t="shared" si="67"/>
        <v>0</v>
      </c>
      <c r="CG21" s="26" t="b">
        <f t="shared" si="68"/>
        <v>0</v>
      </c>
      <c r="CH21" s="26" t="b">
        <f t="shared" si="69"/>
        <v>0</v>
      </c>
      <c r="CI21" s="26" t="b">
        <f t="shared" si="70"/>
        <v>0</v>
      </c>
      <c r="CJ21" s="26" t="b">
        <f t="shared" si="71"/>
        <v>0</v>
      </c>
      <c r="CK21" s="26">
        <f t="shared" si="72"/>
        <v>0</v>
      </c>
      <c r="CL21" s="26">
        <f t="shared" si="73"/>
        <v>1.4460000000000001E-7</v>
      </c>
      <c r="CM21" s="26">
        <f t="shared" si="74"/>
        <v>1.0000199999999999</v>
      </c>
      <c r="CN21" s="26">
        <f t="shared" si="75"/>
        <v>1.4</v>
      </c>
      <c r="CO21" s="29">
        <f t="shared" si="75"/>
        <v>70.5</v>
      </c>
      <c r="CP21" s="29">
        <f t="shared" si="76"/>
        <v>10.5</v>
      </c>
      <c r="CQ21" s="26" t="b">
        <f t="shared" si="77"/>
        <v>0</v>
      </c>
      <c r="CR21" s="26" t="b">
        <f t="shared" si="78"/>
        <v>0</v>
      </c>
      <c r="CS21" s="26" t="b">
        <f t="shared" si="79"/>
        <v>0</v>
      </c>
      <c r="CT21" s="26" t="b">
        <f t="shared" si="80"/>
        <v>0</v>
      </c>
      <c r="CU21" s="26" t="b">
        <f t="shared" si="81"/>
        <v>0</v>
      </c>
      <c r="CV21" s="26" t="b">
        <f t="shared" si="82"/>
        <v>0</v>
      </c>
      <c r="CW21" s="26">
        <f t="shared" si="83"/>
        <v>0</v>
      </c>
      <c r="CX21" s="26">
        <f t="shared" si="84"/>
        <v>1.3979999999999999E-7</v>
      </c>
      <c r="CY21" s="26">
        <f t="shared" si="85"/>
        <v>1.0000199999999999</v>
      </c>
      <c r="CZ21" s="26">
        <f t="shared" si="86"/>
        <v>0</v>
      </c>
      <c r="DA21" s="26">
        <f t="shared" si="87"/>
        <v>0</v>
      </c>
      <c r="DB21" s="26">
        <f t="shared" si="88"/>
        <v>1.0000199999999999</v>
      </c>
      <c r="DC21" s="26">
        <f t="shared" si="89"/>
        <v>-9.9999999998434674E-6</v>
      </c>
      <c r="DD21" s="29">
        <f t="shared" si="90"/>
        <v>0</v>
      </c>
      <c r="DE21" s="26">
        <f t="shared" si="91"/>
        <v>0</v>
      </c>
      <c r="DF21" s="26">
        <f t="shared" si="92"/>
        <v>1.0000100000000001</v>
      </c>
      <c r="DG21" s="25"/>
      <c r="DH21" s="25"/>
      <c r="DI21" s="25"/>
      <c r="DJ21" s="25"/>
      <c r="DK21" s="25"/>
      <c r="DL21" s="25"/>
      <c r="DM21" s="25"/>
      <c r="DN21" s="25"/>
      <c r="DO21" s="25"/>
    </row>
    <row r="22" spans="1:119" ht="15.9" customHeight="1">
      <c r="A22" s="30" t="s">
        <v>41</v>
      </c>
      <c r="B22" s="32">
        <v>265</v>
      </c>
      <c r="C22" s="32">
        <v>37.25</v>
      </c>
      <c r="D22" s="44">
        <v>0.94750000000000001</v>
      </c>
      <c r="E22" s="33">
        <v>70</v>
      </c>
      <c r="F22" s="85">
        <f t="shared" si="93"/>
        <v>0.95989999999999998</v>
      </c>
      <c r="G22" s="86">
        <f t="shared" si="0"/>
        <v>35.756</v>
      </c>
      <c r="H22" s="85">
        <f t="shared" si="1"/>
        <v>0.94640000000000002</v>
      </c>
      <c r="I22" s="86">
        <f t="shared" si="2"/>
        <v>33.878810000000001</v>
      </c>
      <c r="J22" s="87">
        <f t="shared" si="3"/>
        <v>33.839478400000004</v>
      </c>
      <c r="K22" s="24">
        <f t="shared" si="4"/>
        <v>70</v>
      </c>
      <c r="L22" s="24">
        <f t="shared" si="5"/>
        <v>10</v>
      </c>
      <c r="M22" s="24">
        <f t="shared" si="6"/>
        <v>1</v>
      </c>
      <c r="N22" s="24">
        <f t="shared" si="7"/>
        <v>1066.8689999999999</v>
      </c>
      <c r="O22" s="24">
        <f t="shared" si="8"/>
        <v>2.9967999999999998E-4</v>
      </c>
      <c r="P22" s="24">
        <f t="shared" si="9"/>
        <v>0.997</v>
      </c>
      <c r="Q22" s="25"/>
      <c r="R22" s="26">
        <f t="shared" si="10"/>
        <v>70</v>
      </c>
      <c r="S22" s="27">
        <f t="shared" si="11"/>
        <v>55</v>
      </c>
      <c r="T22" s="27">
        <f t="shared" si="12"/>
        <v>473.8</v>
      </c>
      <c r="U22" s="27">
        <f t="shared" si="13"/>
        <v>947.6</v>
      </c>
      <c r="V22" s="27">
        <f t="shared" si="14"/>
        <v>6.8375E-4</v>
      </c>
      <c r="W22" s="27">
        <f t="shared" si="15"/>
        <v>0.96199999999999997</v>
      </c>
      <c r="X22" s="28"/>
      <c r="Y22" s="27">
        <f t="shared" si="16"/>
        <v>70</v>
      </c>
      <c r="Z22" s="27">
        <f t="shared" si="17"/>
        <v>10</v>
      </c>
      <c r="AA22" s="27">
        <f t="shared" si="18"/>
        <v>1</v>
      </c>
      <c r="AB22" s="27">
        <f t="shared" si="19"/>
        <v>1067.2923082699999</v>
      </c>
      <c r="AC22" s="27">
        <f t="shared" si="20"/>
        <v>3.4425999999999999E-4</v>
      </c>
      <c r="AD22" s="27">
        <f t="shared" si="21"/>
        <v>0.99660000000000004</v>
      </c>
      <c r="AE22" s="25"/>
      <c r="AF22" s="26">
        <f t="shared" si="22"/>
        <v>70</v>
      </c>
      <c r="AG22" s="27">
        <f t="shared" si="94"/>
        <v>55</v>
      </c>
      <c r="AH22" s="27">
        <f t="shared" si="23"/>
        <v>473.8</v>
      </c>
      <c r="AI22" s="27">
        <f t="shared" si="24"/>
        <v>947.6</v>
      </c>
      <c r="AJ22" s="27">
        <f t="shared" si="95"/>
        <v>7.2130000000000002E-4</v>
      </c>
      <c r="AK22" s="27">
        <f t="shared" si="96"/>
        <v>0.95989999999999998</v>
      </c>
      <c r="AL22" s="25"/>
      <c r="AM22" s="26">
        <f t="shared" si="25"/>
        <v>70</v>
      </c>
      <c r="AN22" s="27">
        <f t="shared" si="26"/>
        <v>10</v>
      </c>
      <c r="AO22" s="27">
        <f t="shared" si="27"/>
        <v>473.8</v>
      </c>
      <c r="AP22" s="27">
        <f t="shared" si="28"/>
        <v>947.6</v>
      </c>
      <c r="AQ22" s="27">
        <f t="shared" si="29"/>
        <v>946.66399999999999</v>
      </c>
      <c r="AR22" s="27">
        <f t="shared" si="30"/>
        <v>3.8060999999999998E-4</v>
      </c>
      <c r="AS22" s="27">
        <f t="shared" si="31"/>
        <v>0.99619999999999997</v>
      </c>
      <c r="AT22" s="25"/>
      <c r="AU22" s="26">
        <f t="shared" si="32"/>
        <v>474</v>
      </c>
      <c r="AV22" s="26">
        <f t="shared" si="33"/>
        <v>948</v>
      </c>
      <c r="AW22" s="26">
        <f t="shared" si="34"/>
        <v>947.06299999999999</v>
      </c>
      <c r="AX22" s="26">
        <f t="shared" si="35"/>
        <v>70</v>
      </c>
      <c r="AY22" s="27">
        <f t="shared" si="36"/>
        <v>10</v>
      </c>
      <c r="AZ22" s="27">
        <f t="shared" si="37"/>
        <v>4.0100999999999998E-4</v>
      </c>
      <c r="BA22" s="27">
        <f t="shared" si="38"/>
        <v>0.996</v>
      </c>
      <c r="BB22" s="25"/>
      <c r="BC22" s="26">
        <f t="shared" si="39"/>
        <v>0</v>
      </c>
      <c r="BD22" s="29">
        <f t="shared" si="39"/>
        <v>70</v>
      </c>
      <c r="BE22" s="29">
        <f t="shared" si="40"/>
        <v>10</v>
      </c>
      <c r="BF22" s="26" t="b">
        <f t="shared" si="41"/>
        <v>0</v>
      </c>
      <c r="BG22" s="26" t="b">
        <f t="shared" si="42"/>
        <v>0</v>
      </c>
      <c r="BH22" s="26" t="b">
        <f t="shared" si="43"/>
        <v>0</v>
      </c>
      <c r="BI22" s="26" t="b">
        <f t="shared" si="44"/>
        <v>0</v>
      </c>
      <c r="BJ22" s="26" t="b">
        <f t="shared" si="45"/>
        <v>0</v>
      </c>
      <c r="BK22" s="26" t="b">
        <f t="shared" si="46"/>
        <v>0</v>
      </c>
      <c r="BL22" s="26">
        <f t="shared" si="47"/>
        <v>0</v>
      </c>
      <c r="BM22" s="26">
        <f t="shared" si="48"/>
        <v>1.4460000000000001E-7</v>
      </c>
      <c r="BN22" s="26">
        <f t="shared" si="49"/>
        <v>1.0000100000000001</v>
      </c>
      <c r="BO22" s="26">
        <f t="shared" si="50"/>
        <v>1.4</v>
      </c>
      <c r="BP22" s="26" t="b">
        <f t="shared" si="51"/>
        <v>0</v>
      </c>
      <c r="BQ22" s="26" t="b">
        <f t="shared" si="52"/>
        <v>0</v>
      </c>
      <c r="BR22" s="26" t="b">
        <f t="shared" si="53"/>
        <v>0</v>
      </c>
      <c r="BS22" s="26" t="b">
        <f t="shared" si="54"/>
        <v>0</v>
      </c>
      <c r="BT22" s="26" t="b">
        <f t="shared" si="55"/>
        <v>0</v>
      </c>
      <c r="BU22" s="26" t="b">
        <f t="shared" si="56"/>
        <v>0</v>
      </c>
      <c r="BV22" s="26">
        <f t="shared" si="57"/>
        <v>0</v>
      </c>
      <c r="BW22" s="26">
        <f t="shared" si="58"/>
        <v>1.3979999999999999E-7</v>
      </c>
      <c r="BX22" s="26">
        <f t="shared" si="59"/>
        <v>1.0000100000000001</v>
      </c>
      <c r="BY22" s="26">
        <f t="shared" si="60"/>
        <v>0</v>
      </c>
      <c r="BZ22" s="26">
        <f t="shared" si="61"/>
        <v>0</v>
      </c>
      <c r="CA22" s="26">
        <f t="shared" si="62"/>
        <v>1.0000100000000001</v>
      </c>
      <c r="CB22" s="29">
        <f t="shared" si="63"/>
        <v>70.5</v>
      </c>
      <c r="CC22" s="26">
        <f t="shared" si="64"/>
        <v>0</v>
      </c>
      <c r="CD22" s="29">
        <f t="shared" si="65"/>
        <v>10.5</v>
      </c>
      <c r="CE22" s="26" t="b">
        <f t="shared" si="66"/>
        <v>0</v>
      </c>
      <c r="CF22" s="26" t="b">
        <f t="shared" si="67"/>
        <v>0</v>
      </c>
      <c r="CG22" s="26" t="b">
        <f t="shared" si="68"/>
        <v>0</v>
      </c>
      <c r="CH22" s="26" t="b">
        <f t="shared" si="69"/>
        <v>0</v>
      </c>
      <c r="CI22" s="26" t="b">
        <f t="shared" si="70"/>
        <v>0</v>
      </c>
      <c r="CJ22" s="26" t="b">
        <f t="shared" si="71"/>
        <v>0</v>
      </c>
      <c r="CK22" s="26">
        <f t="shared" si="72"/>
        <v>0</v>
      </c>
      <c r="CL22" s="26">
        <f t="shared" si="73"/>
        <v>1.4460000000000001E-7</v>
      </c>
      <c r="CM22" s="26">
        <f t="shared" si="74"/>
        <v>1.0000199999999999</v>
      </c>
      <c r="CN22" s="26">
        <f t="shared" si="75"/>
        <v>1.4</v>
      </c>
      <c r="CO22" s="29">
        <f t="shared" si="75"/>
        <v>70.5</v>
      </c>
      <c r="CP22" s="29">
        <f t="shared" si="76"/>
        <v>10.5</v>
      </c>
      <c r="CQ22" s="26" t="b">
        <f t="shared" si="77"/>
        <v>0</v>
      </c>
      <c r="CR22" s="26" t="b">
        <f t="shared" si="78"/>
        <v>0</v>
      </c>
      <c r="CS22" s="26" t="b">
        <f t="shared" si="79"/>
        <v>0</v>
      </c>
      <c r="CT22" s="26" t="b">
        <f t="shared" si="80"/>
        <v>0</v>
      </c>
      <c r="CU22" s="26" t="b">
        <f t="shared" si="81"/>
        <v>0</v>
      </c>
      <c r="CV22" s="26" t="b">
        <f t="shared" si="82"/>
        <v>0</v>
      </c>
      <c r="CW22" s="26">
        <f t="shared" si="83"/>
        <v>0</v>
      </c>
      <c r="CX22" s="26">
        <f t="shared" si="84"/>
        <v>1.3979999999999999E-7</v>
      </c>
      <c r="CY22" s="26">
        <f t="shared" si="85"/>
        <v>1.0000199999999999</v>
      </c>
      <c r="CZ22" s="26">
        <f t="shared" si="86"/>
        <v>0</v>
      </c>
      <c r="DA22" s="26">
        <f t="shared" si="87"/>
        <v>0</v>
      </c>
      <c r="DB22" s="26">
        <f t="shared" si="88"/>
        <v>1.0000199999999999</v>
      </c>
      <c r="DC22" s="26">
        <f t="shared" si="89"/>
        <v>-9.9999999998434674E-6</v>
      </c>
      <c r="DD22" s="29">
        <f t="shared" si="90"/>
        <v>0</v>
      </c>
      <c r="DE22" s="26">
        <f t="shared" si="91"/>
        <v>0</v>
      </c>
      <c r="DF22" s="26">
        <f t="shared" si="92"/>
        <v>1.0000100000000001</v>
      </c>
      <c r="DG22" s="25"/>
      <c r="DH22" s="25"/>
      <c r="DI22" s="25"/>
      <c r="DJ22" s="25"/>
      <c r="DK22" s="25"/>
      <c r="DL22" s="25"/>
      <c r="DM22" s="25"/>
      <c r="DN22" s="25"/>
      <c r="DO22" s="25"/>
    </row>
    <row r="23" spans="1:119" ht="15.9" customHeight="1">
      <c r="A23" s="78" t="s">
        <v>42</v>
      </c>
      <c r="B23" s="32">
        <v>20</v>
      </c>
      <c r="C23" s="32">
        <v>4.05</v>
      </c>
      <c r="D23" s="44">
        <v>0.98919999999999997</v>
      </c>
      <c r="E23" s="33">
        <v>40</v>
      </c>
      <c r="F23" s="85">
        <f t="shared" si="93"/>
        <v>0.9829</v>
      </c>
      <c r="G23" s="86">
        <f t="shared" si="0"/>
        <v>3.9809999999999999</v>
      </c>
      <c r="H23" s="85">
        <f t="shared" si="1"/>
        <v>0.98809999999999998</v>
      </c>
      <c r="I23" s="86">
        <f t="shared" si="2"/>
        <v>3.9380051999999997</v>
      </c>
      <c r="J23" s="87">
        <f t="shared" si="3"/>
        <v>3.9336260999999997</v>
      </c>
      <c r="K23" s="24">
        <f t="shared" ref="K23:K24" si="97">INT(E23*2+0.5)/2</f>
        <v>40</v>
      </c>
      <c r="L23" s="24">
        <f t="shared" ref="L23:L24" si="98">K23-60</f>
        <v>-20</v>
      </c>
      <c r="M23" s="24">
        <f t="shared" ref="M23:M24" si="99">INT(D23*2+0.5)/2</f>
        <v>1</v>
      </c>
      <c r="N23" s="24">
        <f t="shared" ref="N23:N24" si="100">ROUND((141360.198/(M23+131.5)),3)</f>
        <v>1066.8689999999999</v>
      </c>
      <c r="O23" s="24">
        <f t="shared" ref="O23:O24" si="101">ROUND((341.0957/N23^2)+(0/N23),8)</f>
        <v>2.9967999999999998E-4</v>
      </c>
      <c r="P23" s="24">
        <f t="shared" ref="P23:P24" si="102">ROUND(EXP(-O23*L23*(1+0.8*O23*L23)),4)</f>
        <v>1.006</v>
      </c>
      <c r="Q23" s="25"/>
      <c r="R23" s="26">
        <f t="shared" ref="R23:R24" si="103">INT(E23*4+0.5)/4</f>
        <v>40</v>
      </c>
      <c r="S23" s="27">
        <f t="shared" ref="S23:S24" si="104">R23-15</f>
        <v>25</v>
      </c>
      <c r="T23" s="27">
        <f t="shared" ref="T23:T24" si="105">ROUND((D23/2*1000),1)</f>
        <v>494.6</v>
      </c>
      <c r="U23" s="27">
        <f t="shared" ref="U23:U24" si="106">T23*2</f>
        <v>989.2</v>
      </c>
      <c r="V23" s="27">
        <f t="shared" ref="V23:V24" si="107">ROUND(ROUND(ROUND(613.9723/U23,9)/U23,11)+ROUND(0/U23,11),8)</f>
        <v>6.2744999999999999E-4</v>
      </c>
      <c r="W23" s="27">
        <f t="shared" ref="W23:W24" si="108">ROUND(EXP(ROUND(-V23*S23*(1+0.8*V23*S23),9)),4)</f>
        <v>0.98419999999999996</v>
      </c>
      <c r="X23" s="28"/>
      <c r="Y23" s="27">
        <f t="shared" ref="Y23:Y24" si="109">INT(E23*2+0.5)/2</f>
        <v>40</v>
      </c>
      <c r="Z23" s="27">
        <f t="shared" ref="Z23:Z24" si="110">Y23-60</f>
        <v>-20</v>
      </c>
      <c r="AA23" s="27">
        <f t="shared" ref="AA23:AA24" si="111">INT(D23*2+0.5)/2</f>
        <v>1</v>
      </c>
      <c r="AB23" s="27">
        <f t="shared" ref="AB23:AB24" si="112">ROUND((141360.198/(D23+131.5)),8)</f>
        <v>1066.95638588</v>
      </c>
      <c r="AC23" s="27">
        <f t="shared" ref="AC23:AC24" si="113">IF(AB23&lt;=771,ROUND(((192.4571/AB23^2)+(0.2438/AB23)),8),IF(AB23&lt;=788.5,(1489.067/AB23^2)+(-0.0018684),IF(AB23&lt;=840,ROUND(((330.301/AB23^2)+(0/AB23)),8),IF(AB23&lt;=1076,ROUND(((103.872/AB23^2)+(0.2701/AB23)),8)))))</f>
        <v>3.4438999999999997E-4</v>
      </c>
      <c r="AD23" s="27">
        <f t="shared" ref="AD23:AD24" si="114">ROUND(EXP(-AC23*Z23*(1+0.8*AC23*Z23)),4)</f>
        <v>1.0068999999999999</v>
      </c>
      <c r="AE23" s="25"/>
      <c r="AF23" s="26">
        <f t="shared" ref="AF23:AF24" si="115">INT(E23*4+0.5)/4</f>
        <v>40</v>
      </c>
      <c r="AG23" s="27">
        <f t="shared" ref="AG23:AG24" si="116">AF23-15</f>
        <v>25</v>
      </c>
      <c r="AH23" s="27">
        <f t="shared" ref="AH23:AH24" si="117">ROUND(((D23/2)*1000),1)</f>
        <v>494.6</v>
      </c>
      <c r="AI23" s="27">
        <f t="shared" ref="AI23:AI24" si="118">AH23*2</f>
        <v>989.2</v>
      </c>
      <c r="AJ23" s="27">
        <f t="shared" ref="AJ23:AJ24" si="119">IF(AI23&lt;=771,ROUND(((346.4228/(AI23^2))+(0.4388/AI23)),8),IF(AI23&lt;=787,(2680.3206/(AI23^2))+(-0.00336312),IF(AI23&lt;=838.5,ROUND(((594.5418/(AI23^2))+(0/AI23)),8),IF(AI23&lt;=1075,ROUND(((186.9696/(AI23^2))+(0.4862/AI23)),8)))))</f>
        <v>6.8258000000000001E-4</v>
      </c>
      <c r="AK23" s="27">
        <f t="shared" ref="AK23:AK24" si="120">ROUND(EXP(-AJ23*AG23*(1+0.8*AJ23*AG23)),4)</f>
        <v>0.9829</v>
      </c>
      <c r="AL23" s="25"/>
      <c r="AM23" s="26">
        <f t="shared" ref="AM23:AM24" si="121">INT(E23*2+0.5)/2</f>
        <v>40</v>
      </c>
      <c r="AN23" s="27">
        <f t="shared" ref="AN23:AN24" si="122">AM23-60</f>
        <v>-20</v>
      </c>
      <c r="AO23" s="27">
        <f t="shared" ref="AO23:AO24" si="123">ROUND(((D23/2)*1000),1)</f>
        <v>494.6</v>
      </c>
      <c r="AP23" s="27">
        <f t="shared" ref="AP23:AP24" si="124">AO23*2</f>
        <v>989.2</v>
      </c>
      <c r="AQ23" s="27">
        <f t="shared" ref="AQ23:AQ24" si="125">ROUND((AP23*0.999012),3)</f>
        <v>988.22299999999996</v>
      </c>
      <c r="AR23" s="27">
        <f t="shared" ref="AR23:AR24" si="126">ROUND((341.0957/AQ23^2),8)</f>
        <v>3.4926999999999999E-4</v>
      </c>
      <c r="AS23" s="27">
        <f t="shared" ref="AS23:AS24" si="127">ROUND(EXP(-AR23*AN23*(1+0.8*AR23*AN23)),4)</f>
        <v>1.0069999999999999</v>
      </c>
      <c r="AT23" s="25"/>
      <c r="AU23" s="26">
        <f t="shared" ref="AU23:AU24" si="128">INT(((D23/2)*1000)/1+0.5)*1</f>
        <v>495</v>
      </c>
      <c r="AV23" s="26">
        <f t="shared" ref="AV23:AV24" si="129">AU23*2</f>
        <v>990</v>
      </c>
      <c r="AW23" s="26">
        <f t="shared" ref="AW23:AW24" si="130">ROUND((AV23*0.999012),3)</f>
        <v>989.02200000000005</v>
      </c>
      <c r="AX23" s="26">
        <f t="shared" ref="AX23:AX24" si="131">INT(E23*2+0.5)/2</f>
        <v>40</v>
      </c>
      <c r="AY23" s="27">
        <f t="shared" ref="AY23:AY24" si="132">AX23-60</f>
        <v>-20</v>
      </c>
      <c r="AZ23" s="27">
        <f t="shared" ref="AZ23:AZ24" si="133">IF(AW23&lt;=771,ROUND(((192.4571/(AW23^2))+(0.2438/AW23)),8),IF(AW23&lt;=788.5,(1489.067/AW23^2)+(-0.0018684),IF(AW23&lt;=840,ROUND(((330.301/(AW23^2))+(0/AW23)),8),IF(AW23&lt;=1076,ROUND(((103.872/(AW23^2))+(0.2701/AW23)),8)))))</f>
        <v>3.7929000000000001E-4</v>
      </c>
      <c r="BA23" s="27">
        <f t="shared" ref="BA23:BA24" si="134">ROUND(EXP(-AZ23*AY23*(1+0.8*AZ23*AY23)),4)</f>
        <v>1.0076000000000001</v>
      </c>
      <c r="BB23" s="25"/>
      <c r="BC23" s="26">
        <f t="shared" ref="BC23:BC24" si="135">INT(D23)</f>
        <v>0</v>
      </c>
      <c r="BD23" s="29">
        <f t="shared" ref="BD23:BD24" si="136">INT(E23)</f>
        <v>40</v>
      </c>
      <c r="BE23" s="29">
        <f t="shared" ref="BE23:BE24" si="137">BD23-60</f>
        <v>-20</v>
      </c>
      <c r="BF23" s="26" t="b">
        <f t="shared" ref="BF23:BF24" si="138">IF(AND(BC23&gt;82.9,BC23&lt;=89.6),-0.001077,IF(AND(BC23&gt;76.6,BC23&lt;=82.9),-0.001011,IF(AND(BC23&gt;70.6,BC23&lt;=76.6),-0.000977,IF(AND(BC23&gt;57.2,BC23&lt;=70.6),-0.001005,IF(AND(BC23&gt;52.3,BC23&lt;57.2),-0.001238,IF(AND(BC23&gt;47.6,BC23&lt;=52.3),-0.001084,IF(AND(BC23&gt;43.2,BC23&lt;=47.6),-0.000965)))))))</f>
        <v>0</v>
      </c>
      <c r="BG23" s="26" t="b">
        <f t="shared" ref="BG23:BG24" si="139">IF(AND(BC23&gt;39,BC23&lt;=43.2),-0.000843,IF(AND(BC23&gt;35,BC23&lt;=39),-0.000719,IF(AND(BC23&gt;30.2,BC23&lt;=35),-0.000617,IF(AND(BC23&gt;25.7,BC23&lt;=30.2),-0.000512,IF(AND(BC23&gt;10,BC23&lt;25.7),-0.0003948)))))</f>
        <v>0</v>
      </c>
      <c r="BH23" s="26" t="b">
        <f t="shared" ref="BH23:BH24" si="140">IF(BF23=FALSE,BG23,BF23)</f>
        <v>0</v>
      </c>
      <c r="BI23" s="26" t="b">
        <f t="shared" ref="BI23:BI24" si="141">IF(AND(BC23&gt;82.9,BC23&lt;=89.6),0.00085,IF(AND(BC23&gt;76.6,BC23&lt;=82.9),0.00075,IF(AND(BC23&gt;70.6,BC23&lt;=76.6),0.0007,IF(AND(BC23&gt;57.2,BC23&lt;=70.6),0.00074,IF(AND(BC23&gt;52.3,BC23&lt;57.2),0.00105,IF(AND(BC23&gt;47.6,BC23&lt;=52.3),0.00085,IF(AND(BC23&gt;43.2,BC23&lt;=47.6),0.0007)))))))</f>
        <v>0</v>
      </c>
      <c r="BJ23" s="26" t="b">
        <f t="shared" ref="BJ23:BJ24" si="142">IF(AND(BC23&gt;39,BC23&lt;=43.2),0.00055,IF(AND(BC23&gt;35,BC23&lt;=39),0.0004,IF(AND(BC23&gt;30.2,BC23&lt;=35),0.00028,IF(AND(BC23&gt;25.7,BC23&lt;=30.2),0.00016,IF(AND(BC23&gt;10,BC23&lt;25.7),0.00003)))))</f>
        <v>0</v>
      </c>
      <c r="BK23" s="26" t="b">
        <f t="shared" ref="BK23:BK24" si="143">IF(BI23=FALSE,BJ23,BI23)</f>
        <v>0</v>
      </c>
      <c r="BL23" s="26">
        <f t="shared" ref="BL23:BL24" si="144">ROUND((0.9293286219*BH23+BK23+BH23/141.5*BC23),8)</f>
        <v>0</v>
      </c>
      <c r="BM23" s="26">
        <f t="shared" ref="BM23:BM24" si="145">ROUND((0.9293286*(-0.00000049)+0.0000006+(-0.00000049)/141.5*BC23),10)</f>
        <v>1.4460000000000001E-7</v>
      </c>
      <c r="BN23" s="26">
        <f t="shared" ref="BN23:BN24" si="146">ROUND((1+(BL23*BE23)+(BM23*BE23^2)),5)</f>
        <v>1.0000599999999999</v>
      </c>
      <c r="BO23" s="26">
        <f t="shared" ref="BO23:BO24" si="147">ROUND((D23+0.5),1)</f>
        <v>1.5</v>
      </c>
      <c r="BP23" s="26" t="b">
        <f t="shared" ref="BP23:BP24" si="148">IF(AND(BO23&gt;82.9,BO23&lt;=89.6),-0.001077,IF(AND(BO23&gt;76.6,BO23&lt;=82.9),-0.001011,IF(AND(BO23&gt;70.6,BO23&lt;=76.6),-0.000977,IF(AND(BO23&gt;57.2,BO23&lt;=70.6),-0.001005,IF(AND(BO23&gt;52.3,BO23&lt;57.2),-0.001238,IF(AND(BO23&gt;47.6,BO23&lt;=52.3),-0.001084,IF(AND(BO23&gt;43.2,BO23&lt;=47.6),-0.000965)))))))</f>
        <v>0</v>
      </c>
      <c r="BQ23" s="26" t="b">
        <f t="shared" ref="BQ23:BQ24" si="149">IF(AND(BO23&gt;39,BO23&lt;=43.2),-0.000843,IF(AND(BO23&gt;35,BO23&lt;=39),-0.000719,IF(AND(BO23&gt;30.2,BO23&lt;=35),-0.000617,IF(AND(BO23&gt;25.7,BO23&lt;=30.2),-0.000512,IF(AND(BO23&gt;10,BO23&lt;25.7),-0.0003948)))))</f>
        <v>0</v>
      </c>
      <c r="BR23" s="26" t="b">
        <f t="shared" ref="BR23:BR24" si="150">IF(BP23=FALSE,BQ23,BP23)</f>
        <v>0</v>
      </c>
      <c r="BS23" s="26" t="b">
        <f t="shared" ref="BS23:BS24" si="151">IF(AND(BO23&gt;82.9,BO23&lt;=89.6),0.00085,IF(AND(BO23&gt;76.6,BO23&lt;=82.9),0.00075,IF(AND(BO23&gt;70.6,BO23&lt;=76.6),0.0007,IF(AND(BO23&gt;57.2,BO23&lt;=70.6),0.00074,IF(AND(BO23&gt;52.3,BO23&lt;57.2),0.00105,IF(AND(BO23&gt;47.6,BO23&lt;=52.3),0.00085,IF(AND(BO23&gt;43.2,BO23&lt;=47.6),0.0007)))))))</f>
        <v>0</v>
      </c>
      <c r="BT23" s="26" t="b">
        <f t="shared" ref="BT23:BT24" si="152">IF(AND(BO23&gt;39,BO23&lt;=43.2),0.00055,IF(AND(BO23&gt;35,BO23&lt;=39),0.0004,IF(AND(BO23&gt;30.2,BO23&lt;=35),0.00028,IF(AND(BO23&gt;25.7,BO23&lt;=30.2),0.00016,IF(AND(BO23&gt;10,BO23&lt;25.7),0.00003)))))</f>
        <v>0</v>
      </c>
      <c r="BU23" s="26" t="b">
        <f t="shared" ref="BU23:BU24" si="153">IF(BS23=FALSE,BT23,BS23)</f>
        <v>0</v>
      </c>
      <c r="BV23" s="26">
        <f t="shared" ref="BV23:BV24" si="154">ROUND((0.9293286219*BR23+BU23+BR23/141.5*BO23),8)</f>
        <v>0</v>
      </c>
      <c r="BW23" s="26">
        <f t="shared" ref="BW23:BW24" si="155">ROUND((0.9293286*(-0.00000049)+0.0000006+(-0.00000049)/141.5*BO23),10)</f>
        <v>1.3939999999999999E-7</v>
      </c>
      <c r="BX23" s="26">
        <f t="shared" ref="BX23:BX24" si="156">ROUND((1+(BV23*BE23)+(BW23*BE23^2)),5)</f>
        <v>1.0000599999999999</v>
      </c>
      <c r="BY23" s="26">
        <f t="shared" ref="BY23:BY24" si="157">BN23-BX23</f>
        <v>0</v>
      </c>
      <c r="BZ23" s="26">
        <f t="shared" ref="BZ23:BZ24" si="158">(D23-(INT(D23)))*BY23</f>
        <v>0</v>
      </c>
      <c r="CA23" s="26">
        <f t="shared" ref="CA23:CA24" si="159">BN23-BZ23</f>
        <v>1.0000599999999999</v>
      </c>
      <c r="CB23" s="29">
        <f t="shared" ref="CB23:CB24" si="160">ROUND((E23+0.5),1)</f>
        <v>40.5</v>
      </c>
      <c r="CC23" s="26">
        <f t="shared" ref="CC23:CC24" si="161">INT(D23)</f>
        <v>0</v>
      </c>
      <c r="CD23" s="29">
        <f t="shared" ref="CD23:CD24" si="162">CB23-60</f>
        <v>-19.5</v>
      </c>
      <c r="CE23" s="26" t="b">
        <f t="shared" ref="CE23:CE24" si="163">IF(AND(CC23&gt;82.9,CC23&lt;=89.6),-0.001077,IF(AND(CC23&gt;76.6,CC23&lt;=82.9),-0.001011,IF(AND(CC23&gt;70.6,CC23&lt;=76.6),-0.000977,IF(AND(CC23&gt;57.2,CC23&lt;=70.6),-0.001005,IF(AND(CC23&gt;52.3,CC23&lt;57.2),-0.001238,IF(AND(CC23&gt;47.6,CC23&lt;=52.3),-0.001084,IF(AND(CC23&gt;43.2,CC23&lt;=47.6),-0.000965)))))))</f>
        <v>0</v>
      </c>
      <c r="CF23" s="26" t="b">
        <f t="shared" ref="CF23:CF24" si="164">IF(AND(CC23&gt;39,CC23&lt;=43.2),-0.000843,IF(AND(CC23&gt;35,CC23&lt;=39),-0.000719,IF(AND(CC23&gt;30.2,CC23&lt;=35),-0.000617,IF(AND(CC23&gt;25.7,CC23&lt;=30.2),-0.000512,IF(AND(CC23&gt;10,CC23&lt;25.7),-0.0003948)))))</f>
        <v>0</v>
      </c>
      <c r="CG23" s="26" t="b">
        <f t="shared" ref="CG23:CG24" si="165">IF(CE23=FALSE,CF23,CE23)</f>
        <v>0</v>
      </c>
      <c r="CH23" s="26" t="b">
        <f t="shared" ref="CH23:CH24" si="166">IF(AND(CC23&gt;82.9,CC23&lt;=89.6),0.00085,IF(AND(CC23&gt;76.6,CC23&lt;=82.9),0.00075,IF(AND(CC23&gt;70.6,CC23&lt;=76.6),0.0007,IF(AND(CC23&gt;57.2,CC23&lt;=70.6),0.00074,IF(AND(CC23&gt;52.3,CC23&lt;57.2),0.00105,IF(AND(CC23&gt;47.6,CC23&lt;=52.3),0.00085,IF(AND(CC23&gt;43.2,CC23&lt;=47.6),0.0007)))))))</f>
        <v>0</v>
      </c>
      <c r="CI23" s="26" t="b">
        <f t="shared" ref="CI23:CI24" si="167">IF(AND(CC23&gt;39,CC23&lt;=43.2),0.00055,IF(AND(CC23&gt;35,CC23&lt;=39),0.0004,IF(AND(CC23&gt;30.2,CC23&lt;=35),0.00028,IF(AND(CC23&gt;25.7,CC23&lt;=30.2),0.00016,IF(AND(CC23&gt;10,CC23&lt;25.7),0.00003)))))</f>
        <v>0</v>
      </c>
      <c r="CJ23" s="26" t="b">
        <f t="shared" ref="CJ23:CJ24" si="168">IF(CH23=FALSE,CI23,CH23)</f>
        <v>0</v>
      </c>
      <c r="CK23" s="26">
        <f t="shared" ref="CK23:CK24" si="169">ROUND((0.9293286219*CG23+CJ23+CG23/141.5*CC23),8)</f>
        <v>0</v>
      </c>
      <c r="CL23" s="26">
        <f t="shared" ref="CL23:CL24" si="170">ROUND((0.9293286*(-0.00000049)+0.0000006+(-0.00000049)/141.5*CC23),10)</f>
        <v>1.4460000000000001E-7</v>
      </c>
      <c r="CM23" s="26">
        <f t="shared" ref="CM23:CM24" si="171">ROUND((1+(CK23*CD23)+(CL23*CD23^2)),5)</f>
        <v>1.0000500000000001</v>
      </c>
      <c r="CN23" s="26">
        <f t="shared" ref="CN23:CN24" si="172">ROUND((D23+0.5),1)</f>
        <v>1.5</v>
      </c>
      <c r="CO23" s="29">
        <f t="shared" ref="CO23:CO24" si="173">ROUND((E23+0.5),1)</f>
        <v>40.5</v>
      </c>
      <c r="CP23" s="29">
        <f t="shared" ref="CP23:CP24" si="174">CO23-60</f>
        <v>-19.5</v>
      </c>
      <c r="CQ23" s="26" t="b">
        <f t="shared" ref="CQ23:CQ24" si="175">IF(AND(CN23&gt;82.9,CN23&lt;=89.6),-0.001077,IF(AND(CN23&gt;76.6,CN23&lt;=82.9),-0.001011,IF(AND(CN23&gt;70.6,CN23&lt;=76.6),-0.000977,IF(AND(CN23&gt;57.2,CN23&lt;=70.6),-0.001005,IF(AND(CN23&gt;52.3,CN23&lt;57.2),-0.001238,IF(AND(CN23&gt;47.6,CN23&lt;=52.3),-0.001084,IF(AND(CN23&gt;43.2,CN23&lt;=47.6),-0.000965)))))))</f>
        <v>0</v>
      </c>
      <c r="CR23" s="26" t="b">
        <f t="shared" ref="CR23:CR24" si="176">IF(AND(CN23&gt;39,CN23&lt;=43.2),-0.000843,IF(AND(CN23&gt;35,CN23&lt;=39),-0.000719,IF(AND(CN23&gt;30.2,CN23&lt;=35),-0.000617,IF(AND(CN23&gt;25.7,CN23&lt;=30.2),-0.000512,IF(AND(CN23&gt;10,CN23&lt;25.7),-0.0003948)))))</f>
        <v>0</v>
      </c>
      <c r="CS23" s="26" t="b">
        <f t="shared" ref="CS23:CS24" si="177">IF(CQ23=FALSE,CR23,CQ23)</f>
        <v>0</v>
      </c>
      <c r="CT23" s="26" t="b">
        <f t="shared" ref="CT23:CT24" si="178">IF(AND(CN23&gt;82.9,CN23&lt;=89.6),0.00085,IF(AND(CN23&gt;76.6,CN23&lt;=82.9),0.00075,IF(AND(CN23&gt;70.6,CN23&lt;=76.6),0.0007,IF(AND(CN23&gt;57.2,CN23&lt;=70.6),0.00074,IF(AND(CN23&gt;52.3,CN23&lt;57.2),0.00105,IF(AND(CN23&gt;47.6,CN23&lt;=52.3),0.00085,IF(AND(CN23&gt;43.2,CN23&lt;=47.6),0.0007)))))))</f>
        <v>0</v>
      </c>
      <c r="CU23" s="26" t="b">
        <f t="shared" ref="CU23:CU24" si="179">IF(AND(CN23&gt;39,CN23&lt;=43.2),0.00055,IF(AND(CN23&gt;35,CN23&lt;=39),0.0004,IF(AND(CN23&gt;30.2,CN23&lt;=35),0.00028,IF(AND(CN23&gt;25.7,CN23&lt;=30.2),0.00016,IF(AND(CN23&gt;10,CN23&lt;25.7),0.00003)))))</f>
        <v>0</v>
      </c>
      <c r="CV23" s="26" t="b">
        <f t="shared" ref="CV23:CV24" si="180">IF(CT23=FALSE,CU23,CT23)</f>
        <v>0</v>
      </c>
      <c r="CW23" s="26">
        <f t="shared" ref="CW23:CW24" si="181">ROUND((0.9293286219*CS23+CV23+CS23/141.5*CN23),8)</f>
        <v>0</v>
      </c>
      <c r="CX23" s="26">
        <f t="shared" ref="CX23:CX24" si="182">ROUND((0.9293286*(-0.00000049)+0.0000006+(-0.00000049)/141.5*CN23),10)</f>
        <v>1.3939999999999999E-7</v>
      </c>
      <c r="CY23" s="26">
        <f t="shared" ref="CY23:CY24" si="183">ROUND((1+(CW23*CP23)+(CX23*CP23^2)),5)</f>
        <v>1.0000500000000001</v>
      </c>
      <c r="CZ23" s="26">
        <f t="shared" ref="CZ23:CZ24" si="184">CM23-CY23</f>
        <v>0</v>
      </c>
      <c r="DA23" s="26">
        <f t="shared" ref="DA23:DA24" si="185">(D23-INT(D23))*CZ23</f>
        <v>0</v>
      </c>
      <c r="DB23" s="26">
        <f t="shared" ref="DB23:DB24" si="186">CM23-DA23</f>
        <v>1.0000500000000001</v>
      </c>
      <c r="DC23" s="26">
        <f t="shared" ref="DC23:DC24" si="187">CA23-DB23</f>
        <v>9.9999999998434674E-6</v>
      </c>
      <c r="DD23" s="29">
        <f t="shared" ref="DD23:DD24" si="188">E23-(INT(E23))</f>
        <v>0</v>
      </c>
      <c r="DE23" s="26">
        <f t="shared" ref="DE23:DE24" si="189">DC23*DD23</f>
        <v>0</v>
      </c>
      <c r="DF23" s="26">
        <f t="shared" ref="DF23:DF24" si="190">ROUND((CA23-DE23),5)</f>
        <v>1.0000599999999999</v>
      </c>
      <c r="DG23" s="25"/>
      <c r="DH23" s="25"/>
      <c r="DI23" s="25"/>
      <c r="DJ23" s="25"/>
      <c r="DK23" s="25"/>
      <c r="DL23" s="25"/>
      <c r="DM23" s="25"/>
      <c r="DN23" s="25"/>
      <c r="DO23" s="25"/>
    </row>
    <row r="24" spans="1:119" ht="15.9" customHeight="1">
      <c r="A24" s="78"/>
      <c r="B24" s="80"/>
      <c r="C24" s="80"/>
      <c r="D24" s="81"/>
      <c r="E24" s="82"/>
      <c r="F24" s="85">
        <f t="shared" si="93"/>
        <v>0</v>
      </c>
      <c r="G24" s="86">
        <f t="shared" si="0"/>
        <v>0</v>
      </c>
      <c r="H24" s="85">
        <f t="shared" si="1"/>
        <v>-1.1000000000000001E-3</v>
      </c>
      <c r="I24" s="86">
        <f t="shared" si="2"/>
        <v>0</v>
      </c>
      <c r="J24" s="87">
        <f t="shared" si="3"/>
        <v>0</v>
      </c>
      <c r="K24" s="24">
        <f t="shared" si="97"/>
        <v>0</v>
      </c>
      <c r="L24" s="24">
        <f t="shared" si="98"/>
        <v>-60</v>
      </c>
      <c r="M24" s="24">
        <f t="shared" si="99"/>
        <v>0</v>
      </c>
      <c r="N24" s="24">
        <f t="shared" si="100"/>
        <v>1074.982</v>
      </c>
      <c r="O24" s="24">
        <f t="shared" si="101"/>
        <v>2.9516999999999998E-4</v>
      </c>
      <c r="P24" s="24">
        <f t="shared" si="102"/>
        <v>1.0176000000000001</v>
      </c>
      <c r="Q24" s="25"/>
      <c r="R24" s="26">
        <f t="shared" si="103"/>
        <v>0</v>
      </c>
      <c r="S24" s="27">
        <f t="shared" si="104"/>
        <v>-15</v>
      </c>
      <c r="T24" s="27">
        <f t="shared" si="105"/>
        <v>0</v>
      </c>
      <c r="U24" s="27">
        <f t="shared" si="106"/>
        <v>0</v>
      </c>
      <c r="V24" s="27" t="e">
        <f t="shared" si="107"/>
        <v>#DIV/0!</v>
      </c>
      <c r="W24" s="27" t="e">
        <f t="shared" si="108"/>
        <v>#DIV/0!</v>
      </c>
      <c r="X24" s="28"/>
      <c r="Y24" s="27">
        <f t="shared" si="109"/>
        <v>0</v>
      </c>
      <c r="Z24" s="27">
        <f t="shared" si="110"/>
        <v>-60</v>
      </c>
      <c r="AA24" s="27">
        <f t="shared" si="111"/>
        <v>0</v>
      </c>
      <c r="AB24" s="27">
        <f t="shared" si="112"/>
        <v>1074.9824943000001</v>
      </c>
      <c r="AC24" s="27">
        <f t="shared" si="113"/>
        <v>3.4115000000000003E-4</v>
      </c>
      <c r="AD24" s="27">
        <f t="shared" si="114"/>
        <v>1.0203</v>
      </c>
      <c r="AE24" s="25"/>
      <c r="AF24" s="26">
        <f t="shared" si="115"/>
        <v>0</v>
      </c>
      <c r="AG24" s="27">
        <f t="shared" si="116"/>
        <v>-15</v>
      </c>
      <c r="AH24" s="27">
        <f t="shared" si="117"/>
        <v>0</v>
      </c>
      <c r="AI24" s="27">
        <f t="shared" si="118"/>
        <v>0</v>
      </c>
      <c r="AJ24" s="27" t="e">
        <f t="shared" si="119"/>
        <v>#DIV/0!</v>
      </c>
      <c r="AK24" s="27" t="e">
        <f t="shared" si="120"/>
        <v>#DIV/0!</v>
      </c>
      <c r="AL24" s="25"/>
      <c r="AM24" s="26">
        <f t="shared" si="121"/>
        <v>0</v>
      </c>
      <c r="AN24" s="27">
        <f t="shared" si="122"/>
        <v>-60</v>
      </c>
      <c r="AO24" s="27">
        <f t="shared" si="123"/>
        <v>0</v>
      </c>
      <c r="AP24" s="27">
        <f t="shared" si="124"/>
        <v>0</v>
      </c>
      <c r="AQ24" s="27">
        <f t="shared" si="125"/>
        <v>0</v>
      </c>
      <c r="AR24" s="27" t="e">
        <f t="shared" si="126"/>
        <v>#DIV/0!</v>
      </c>
      <c r="AS24" s="27" t="e">
        <f t="shared" si="127"/>
        <v>#DIV/0!</v>
      </c>
      <c r="AT24" s="25"/>
      <c r="AU24" s="26">
        <f t="shared" si="128"/>
        <v>0</v>
      </c>
      <c r="AV24" s="26">
        <f t="shared" si="129"/>
        <v>0</v>
      </c>
      <c r="AW24" s="26">
        <f t="shared" si="130"/>
        <v>0</v>
      </c>
      <c r="AX24" s="26">
        <f t="shared" si="131"/>
        <v>0</v>
      </c>
      <c r="AY24" s="27">
        <f t="shared" si="132"/>
        <v>-60</v>
      </c>
      <c r="AZ24" s="27" t="e">
        <f t="shared" si="133"/>
        <v>#DIV/0!</v>
      </c>
      <c r="BA24" s="27" t="e">
        <f t="shared" si="134"/>
        <v>#DIV/0!</v>
      </c>
      <c r="BB24" s="25"/>
      <c r="BC24" s="26">
        <f t="shared" si="135"/>
        <v>0</v>
      </c>
      <c r="BD24" s="29">
        <f t="shared" si="136"/>
        <v>0</v>
      </c>
      <c r="BE24" s="29">
        <f t="shared" si="137"/>
        <v>-60</v>
      </c>
      <c r="BF24" s="26" t="b">
        <f t="shared" si="138"/>
        <v>0</v>
      </c>
      <c r="BG24" s="26" t="b">
        <f t="shared" si="139"/>
        <v>0</v>
      </c>
      <c r="BH24" s="26" t="b">
        <f t="shared" si="140"/>
        <v>0</v>
      </c>
      <c r="BI24" s="26" t="b">
        <f t="shared" si="141"/>
        <v>0</v>
      </c>
      <c r="BJ24" s="26" t="b">
        <f t="shared" si="142"/>
        <v>0</v>
      </c>
      <c r="BK24" s="26" t="b">
        <f t="shared" si="143"/>
        <v>0</v>
      </c>
      <c r="BL24" s="26">
        <f t="shared" si="144"/>
        <v>0</v>
      </c>
      <c r="BM24" s="26">
        <f t="shared" si="145"/>
        <v>1.4460000000000001E-7</v>
      </c>
      <c r="BN24" s="26">
        <f t="shared" si="146"/>
        <v>1.0005200000000001</v>
      </c>
      <c r="BO24" s="26">
        <f t="shared" si="147"/>
        <v>0.5</v>
      </c>
      <c r="BP24" s="26" t="b">
        <f t="shared" si="148"/>
        <v>0</v>
      </c>
      <c r="BQ24" s="26" t="b">
        <f t="shared" si="149"/>
        <v>0</v>
      </c>
      <c r="BR24" s="26" t="b">
        <f t="shared" si="150"/>
        <v>0</v>
      </c>
      <c r="BS24" s="26" t="b">
        <f t="shared" si="151"/>
        <v>0</v>
      </c>
      <c r="BT24" s="26" t="b">
        <f t="shared" si="152"/>
        <v>0</v>
      </c>
      <c r="BU24" s="26" t="b">
        <f t="shared" si="153"/>
        <v>0</v>
      </c>
      <c r="BV24" s="26">
        <f t="shared" si="154"/>
        <v>0</v>
      </c>
      <c r="BW24" s="26">
        <f t="shared" si="155"/>
        <v>1.4289999999999999E-7</v>
      </c>
      <c r="BX24" s="26">
        <f t="shared" si="156"/>
        <v>1.00051</v>
      </c>
      <c r="BY24" s="26">
        <f t="shared" si="157"/>
        <v>1.0000000000065512E-5</v>
      </c>
      <c r="BZ24" s="26">
        <f t="shared" si="158"/>
        <v>0</v>
      </c>
      <c r="CA24" s="26">
        <f t="shared" si="159"/>
        <v>1.0005200000000001</v>
      </c>
      <c r="CB24" s="29">
        <f t="shared" si="160"/>
        <v>0.5</v>
      </c>
      <c r="CC24" s="26">
        <f t="shared" si="161"/>
        <v>0</v>
      </c>
      <c r="CD24" s="29">
        <f t="shared" si="162"/>
        <v>-59.5</v>
      </c>
      <c r="CE24" s="26" t="b">
        <f t="shared" si="163"/>
        <v>0</v>
      </c>
      <c r="CF24" s="26" t="b">
        <f t="shared" si="164"/>
        <v>0</v>
      </c>
      <c r="CG24" s="26" t="b">
        <f t="shared" si="165"/>
        <v>0</v>
      </c>
      <c r="CH24" s="26" t="b">
        <f t="shared" si="166"/>
        <v>0</v>
      </c>
      <c r="CI24" s="26" t="b">
        <f t="shared" si="167"/>
        <v>0</v>
      </c>
      <c r="CJ24" s="26" t="b">
        <f t="shared" si="168"/>
        <v>0</v>
      </c>
      <c r="CK24" s="26">
        <f t="shared" si="169"/>
        <v>0</v>
      </c>
      <c r="CL24" s="26">
        <f t="shared" si="170"/>
        <v>1.4460000000000001E-7</v>
      </c>
      <c r="CM24" s="26">
        <f t="shared" si="171"/>
        <v>1.00051</v>
      </c>
      <c r="CN24" s="26">
        <f t="shared" si="172"/>
        <v>0.5</v>
      </c>
      <c r="CO24" s="29">
        <f t="shared" si="173"/>
        <v>0.5</v>
      </c>
      <c r="CP24" s="29">
        <f t="shared" si="174"/>
        <v>-59.5</v>
      </c>
      <c r="CQ24" s="26" t="b">
        <f t="shared" si="175"/>
        <v>0</v>
      </c>
      <c r="CR24" s="26" t="b">
        <f t="shared" si="176"/>
        <v>0</v>
      </c>
      <c r="CS24" s="26" t="b">
        <f t="shared" si="177"/>
        <v>0</v>
      </c>
      <c r="CT24" s="26" t="b">
        <f t="shared" si="178"/>
        <v>0</v>
      </c>
      <c r="CU24" s="26" t="b">
        <f t="shared" si="179"/>
        <v>0</v>
      </c>
      <c r="CV24" s="26" t="b">
        <f t="shared" si="180"/>
        <v>0</v>
      </c>
      <c r="CW24" s="26">
        <f t="shared" si="181"/>
        <v>0</v>
      </c>
      <c r="CX24" s="26">
        <f t="shared" si="182"/>
        <v>1.4289999999999999E-7</v>
      </c>
      <c r="CY24" s="26">
        <f t="shared" si="183"/>
        <v>1.00051</v>
      </c>
      <c r="CZ24" s="26">
        <f t="shared" si="184"/>
        <v>0</v>
      </c>
      <c r="DA24" s="26">
        <f t="shared" si="185"/>
        <v>0</v>
      </c>
      <c r="DB24" s="26">
        <f t="shared" si="186"/>
        <v>1.00051</v>
      </c>
      <c r="DC24" s="26">
        <f t="shared" si="187"/>
        <v>1.0000000000065512E-5</v>
      </c>
      <c r="DD24" s="29">
        <f t="shared" si="188"/>
        <v>0</v>
      </c>
      <c r="DE24" s="26">
        <f t="shared" si="189"/>
        <v>0</v>
      </c>
      <c r="DF24" s="26">
        <f t="shared" si="190"/>
        <v>1.0005200000000001</v>
      </c>
      <c r="DG24" s="25"/>
      <c r="DH24" s="25"/>
      <c r="DI24" s="25"/>
      <c r="DJ24" s="25"/>
      <c r="DK24" s="25"/>
      <c r="DL24" s="25"/>
      <c r="DM24" s="25"/>
      <c r="DN24" s="25"/>
      <c r="DO24" s="25"/>
    </row>
    <row r="25" spans="1:119" ht="15.9" customHeight="1" thickBot="1">
      <c r="A25" s="72"/>
      <c r="B25" s="73"/>
      <c r="C25" s="73"/>
      <c r="D25" s="74"/>
      <c r="E25" s="75"/>
      <c r="F25" s="91">
        <f t="shared" si="93"/>
        <v>0</v>
      </c>
      <c r="G25" s="86">
        <f t="shared" si="0"/>
        <v>0</v>
      </c>
      <c r="H25" s="85">
        <f t="shared" si="1"/>
        <v>-1.1000000000000001E-3</v>
      </c>
      <c r="I25" s="86">
        <f t="shared" si="2"/>
        <v>0</v>
      </c>
      <c r="J25" s="87">
        <f t="shared" si="3"/>
        <v>0</v>
      </c>
      <c r="K25" s="24">
        <f t="shared" si="4"/>
        <v>0</v>
      </c>
      <c r="L25" s="24">
        <f t="shared" si="5"/>
        <v>-60</v>
      </c>
      <c r="M25" s="24">
        <f t="shared" si="6"/>
        <v>0</v>
      </c>
      <c r="N25" s="24">
        <f t="shared" si="7"/>
        <v>1074.982</v>
      </c>
      <c r="O25" s="24">
        <f t="shared" si="8"/>
        <v>2.9516999999999998E-4</v>
      </c>
      <c r="P25" s="24">
        <f t="shared" si="9"/>
        <v>1.0176000000000001</v>
      </c>
      <c r="Q25" s="25"/>
      <c r="R25" s="26">
        <f t="shared" si="10"/>
        <v>0</v>
      </c>
      <c r="S25" s="27">
        <f t="shared" si="11"/>
        <v>-15</v>
      </c>
      <c r="T25" s="27">
        <f t="shared" si="12"/>
        <v>0</v>
      </c>
      <c r="U25" s="27">
        <f t="shared" si="13"/>
        <v>0</v>
      </c>
      <c r="V25" s="27" t="e">
        <f t="shared" si="14"/>
        <v>#DIV/0!</v>
      </c>
      <c r="W25" s="27" t="e">
        <f t="shared" si="15"/>
        <v>#DIV/0!</v>
      </c>
      <c r="X25" s="28"/>
      <c r="Y25" s="27">
        <f t="shared" si="16"/>
        <v>0</v>
      </c>
      <c r="Z25" s="27">
        <f t="shared" si="17"/>
        <v>-60</v>
      </c>
      <c r="AA25" s="27">
        <f t="shared" si="18"/>
        <v>0</v>
      </c>
      <c r="AB25" s="27">
        <f t="shared" si="19"/>
        <v>1074.9824943000001</v>
      </c>
      <c r="AC25" s="27">
        <f t="shared" si="20"/>
        <v>3.4115000000000003E-4</v>
      </c>
      <c r="AD25" s="27">
        <f t="shared" si="21"/>
        <v>1.0203</v>
      </c>
      <c r="AE25" s="25"/>
      <c r="AF25" s="26">
        <f t="shared" si="22"/>
        <v>0</v>
      </c>
      <c r="AG25" s="27">
        <f t="shared" si="94"/>
        <v>-15</v>
      </c>
      <c r="AH25" s="27">
        <f t="shared" si="23"/>
        <v>0</v>
      </c>
      <c r="AI25" s="27">
        <f t="shared" si="24"/>
        <v>0</v>
      </c>
      <c r="AJ25" s="27" t="e">
        <f t="shared" si="95"/>
        <v>#DIV/0!</v>
      </c>
      <c r="AK25" s="27" t="e">
        <f t="shared" si="96"/>
        <v>#DIV/0!</v>
      </c>
      <c r="AL25" s="25"/>
      <c r="AM25" s="26">
        <f t="shared" si="25"/>
        <v>0</v>
      </c>
      <c r="AN25" s="27">
        <f t="shared" si="26"/>
        <v>-60</v>
      </c>
      <c r="AO25" s="27">
        <f t="shared" si="27"/>
        <v>0</v>
      </c>
      <c r="AP25" s="27">
        <f t="shared" si="28"/>
        <v>0</v>
      </c>
      <c r="AQ25" s="27">
        <f t="shared" si="29"/>
        <v>0</v>
      </c>
      <c r="AR25" s="27" t="e">
        <f t="shared" si="30"/>
        <v>#DIV/0!</v>
      </c>
      <c r="AS25" s="27" t="e">
        <f t="shared" si="31"/>
        <v>#DIV/0!</v>
      </c>
      <c r="AT25" s="25"/>
      <c r="AU25" s="26">
        <f t="shared" si="32"/>
        <v>0</v>
      </c>
      <c r="AV25" s="26">
        <f t="shared" si="33"/>
        <v>0</v>
      </c>
      <c r="AW25" s="26">
        <f t="shared" si="34"/>
        <v>0</v>
      </c>
      <c r="AX25" s="26">
        <f t="shared" si="35"/>
        <v>0</v>
      </c>
      <c r="AY25" s="27">
        <f t="shared" si="36"/>
        <v>-60</v>
      </c>
      <c r="AZ25" s="27" t="e">
        <f t="shared" si="37"/>
        <v>#DIV/0!</v>
      </c>
      <c r="BA25" s="27" t="e">
        <f t="shared" si="38"/>
        <v>#DIV/0!</v>
      </c>
      <c r="BB25" s="25"/>
      <c r="BC25" s="26">
        <f t="shared" si="39"/>
        <v>0</v>
      </c>
      <c r="BD25" s="29">
        <f t="shared" si="39"/>
        <v>0</v>
      </c>
      <c r="BE25" s="29">
        <f t="shared" si="40"/>
        <v>-60</v>
      </c>
      <c r="BF25" s="26" t="b">
        <f t="shared" si="41"/>
        <v>0</v>
      </c>
      <c r="BG25" s="26" t="b">
        <f t="shared" si="42"/>
        <v>0</v>
      </c>
      <c r="BH25" s="26" t="b">
        <f t="shared" si="43"/>
        <v>0</v>
      </c>
      <c r="BI25" s="26" t="b">
        <f t="shared" si="44"/>
        <v>0</v>
      </c>
      <c r="BJ25" s="26" t="b">
        <f t="shared" si="45"/>
        <v>0</v>
      </c>
      <c r="BK25" s="26" t="b">
        <f t="shared" si="46"/>
        <v>0</v>
      </c>
      <c r="BL25" s="26">
        <f t="shared" si="47"/>
        <v>0</v>
      </c>
      <c r="BM25" s="26">
        <f t="shared" si="48"/>
        <v>1.4460000000000001E-7</v>
      </c>
      <c r="BN25" s="26">
        <f t="shared" si="49"/>
        <v>1.0005200000000001</v>
      </c>
      <c r="BO25" s="26">
        <f t="shared" si="50"/>
        <v>0.5</v>
      </c>
      <c r="BP25" s="26" t="b">
        <f t="shared" si="51"/>
        <v>0</v>
      </c>
      <c r="BQ25" s="26" t="b">
        <f t="shared" si="52"/>
        <v>0</v>
      </c>
      <c r="BR25" s="26" t="b">
        <f t="shared" si="53"/>
        <v>0</v>
      </c>
      <c r="BS25" s="26" t="b">
        <f t="shared" si="54"/>
        <v>0</v>
      </c>
      <c r="BT25" s="26" t="b">
        <f t="shared" si="55"/>
        <v>0</v>
      </c>
      <c r="BU25" s="26" t="b">
        <f t="shared" si="56"/>
        <v>0</v>
      </c>
      <c r="BV25" s="26">
        <f t="shared" si="57"/>
        <v>0</v>
      </c>
      <c r="BW25" s="26">
        <f t="shared" si="58"/>
        <v>1.4289999999999999E-7</v>
      </c>
      <c r="BX25" s="26">
        <f t="shared" si="59"/>
        <v>1.00051</v>
      </c>
      <c r="BY25" s="26">
        <f t="shared" si="60"/>
        <v>1.0000000000065512E-5</v>
      </c>
      <c r="BZ25" s="26">
        <f t="shared" si="61"/>
        <v>0</v>
      </c>
      <c r="CA25" s="26">
        <f t="shared" si="62"/>
        <v>1.0005200000000001</v>
      </c>
      <c r="CB25" s="29">
        <f t="shared" si="63"/>
        <v>0.5</v>
      </c>
      <c r="CC25" s="26">
        <f t="shared" si="64"/>
        <v>0</v>
      </c>
      <c r="CD25" s="29">
        <f t="shared" si="65"/>
        <v>-59.5</v>
      </c>
      <c r="CE25" s="26" t="b">
        <f t="shared" si="66"/>
        <v>0</v>
      </c>
      <c r="CF25" s="26" t="b">
        <f t="shared" si="67"/>
        <v>0</v>
      </c>
      <c r="CG25" s="26" t="b">
        <f t="shared" si="68"/>
        <v>0</v>
      </c>
      <c r="CH25" s="26" t="b">
        <f t="shared" si="69"/>
        <v>0</v>
      </c>
      <c r="CI25" s="26" t="b">
        <f t="shared" si="70"/>
        <v>0</v>
      </c>
      <c r="CJ25" s="26" t="b">
        <f t="shared" si="71"/>
        <v>0</v>
      </c>
      <c r="CK25" s="26">
        <f t="shared" si="72"/>
        <v>0</v>
      </c>
      <c r="CL25" s="26">
        <f t="shared" si="73"/>
        <v>1.4460000000000001E-7</v>
      </c>
      <c r="CM25" s="26">
        <f t="shared" si="74"/>
        <v>1.00051</v>
      </c>
      <c r="CN25" s="26">
        <f t="shared" si="75"/>
        <v>0.5</v>
      </c>
      <c r="CO25" s="29">
        <f t="shared" si="75"/>
        <v>0.5</v>
      </c>
      <c r="CP25" s="29">
        <f t="shared" si="76"/>
        <v>-59.5</v>
      </c>
      <c r="CQ25" s="26" t="b">
        <f t="shared" si="77"/>
        <v>0</v>
      </c>
      <c r="CR25" s="26" t="b">
        <f t="shared" si="78"/>
        <v>0</v>
      </c>
      <c r="CS25" s="26" t="b">
        <f t="shared" si="79"/>
        <v>0</v>
      </c>
      <c r="CT25" s="26" t="b">
        <f t="shared" si="80"/>
        <v>0</v>
      </c>
      <c r="CU25" s="26" t="b">
        <f t="shared" si="81"/>
        <v>0</v>
      </c>
      <c r="CV25" s="26" t="b">
        <f t="shared" si="82"/>
        <v>0</v>
      </c>
      <c r="CW25" s="26">
        <f t="shared" si="83"/>
        <v>0</v>
      </c>
      <c r="CX25" s="26">
        <f t="shared" si="84"/>
        <v>1.4289999999999999E-7</v>
      </c>
      <c r="CY25" s="26">
        <f t="shared" si="85"/>
        <v>1.00051</v>
      </c>
      <c r="CZ25" s="26">
        <f t="shared" si="86"/>
        <v>0</v>
      </c>
      <c r="DA25" s="26">
        <f t="shared" si="87"/>
        <v>0</v>
      </c>
      <c r="DB25" s="26">
        <f t="shared" si="88"/>
        <v>1.00051</v>
      </c>
      <c r="DC25" s="26">
        <f t="shared" si="89"/>
        <v>1.0000000000065512E-5</v>
      </c>
      <c r="DD25" s="29">
        <f t="shared" si="90"/>
        <v>0</v>
      </c>
      <c r="DE25" s="26">
        <f t="shared" si="91"/>
        <v>0</v>
      </c>
      <c r="DF25" s="26">
        <f t="shared" si="92"/>
        <v>1.0005200000000001</v>
      </c>
      <c r="DG25" s="25"/>
      <c r="DH25" s="25"/>
      <c r="DI25" s="25"/>
      <c r="DJ25" s="25"/>
      <c r="DK25" s="25"/>
      <c r="DL25" s="25"/>
      <c r="DM25" s="25"/>
      <c r="DN25" s="25"/>
      <c r="DO25" s="25"/>
    </row>
    <row r="26" spans="1:119" ht="18" customHeight="1">
      <c r="A26" s="135" t="s">
        <v>43</v>
      </c>
      <c r="B26" s="136"/>
      <c r="C26" s="139">
        <f>IF(ISERROR(SUM(C11:C25)),0,SUM(C11:C25))</f>
        <v>1473.8499999999997</v>
      </c>
      <c r="D26" s="45"/>
      <c r="E26" s="46"/>
      <c r="F26" s="47"/>
      <c r="G26" s="151">
        <f>IF(ISERROR(SUM(G11:G25)),0,SUM(G11:G25))</f>
        <v>1444.6730000000002</v>
      </c>
      <c r="H26" s="47"/>
      <c r="I26" s="151">
        <f>IF(ISERROR(SUM(I11:I25)),0,SUM(I11:I25))</f>
        <v>1426.6480534999998</v>
      </c>
      <c r="J26" s="152">
        <f>IF(ISERROR(SUM(J11:J25)),0,SUM(J11:J25))</f>
        <v>1425.0589132000002</v>
      </c>
      <c r="K26" s="12"/>
      <c r="L26" s="12"/>
      <c r="M26" s="12"/>
      <c r="N26" s="12"/>
      <c r="O26" s="12"/>
      <c r="P26" s="12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</row>
    <row r="27" spans="1:119" ht="12" customHeight="1" thickBot="1">
      <c r="A27" s="137"/>
      <c r="B27" s="138"/>
      <c r="C27" s="140"/>
      <c r="D27" s="48"/>
      <c r="E27" s="49" t="str">
        <f>IF(ISERROR(EY27/C27),"",EY27/C27)</f>
        <v/>
      </c>
      <c r="F27" s="97"/>
      <c r="G27" s="142"/>
      <c r="H27" s="97"/>
      <c r="I27" s="142"/>
      <c r="J27" s="153"/>
      <c r="K27" s="12"/>
      <c r="L27" s="12"/>
      <c r="M27" s="12"/>
      <c r="N27" s="12"/>
      <c r="O27" s="12"/>
      <c r="P27" s="12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</row>
    <row r="28" spans="1:119" ht="20.100000000000001" customHeight="1" thickBot="1">
      <c r="A28" s="51"/>
      <c r="B28" s="144"/>
      <c r="C28" s="144"/>
      <c r="D28" s="144"/>
      <c r="E28" s="144"/>
      <c r="F28" s="144"/>
      <c r="G28" s="127" t="s">
        <v>44</v>
      </c>
      <c r="H28" s="127"/>
      <c r="I28" s="128"/>
      <c r="J28" s="76">
        <v>1431.8</v>
      </c>
      <c r="K28" s="12"/>
      <c r="L28" s="12"/>
      <c r="M28" s="12"/>
      <c r="N28" s="12"/>
      <c r="O28" s="12"/>
      <c r="P28" s="12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</row>
    <row r="29" spans="1:119" ht="20.100000000000001" customHeight="1" thickBot="1">
      <c r="A29" s="51"/>
      <c r="B29" s="51"/>
      <c r="C29" s="53"/>
      <c r="D29" s="53"/>
      <c r="E29" s="53"/>
      <c r="F29" s="52"/>
      <c r="G29" s="129" t="s">
        <v>45</v>
      </c>
      <c r="H29" s="129"/>
      <c r="I29" s="130"/>
      <c r="J29" s="98">
        <f>J26-J28</f>
        <v>-6.7410867999997208</v>
      </c>
      <c r="K29" s="12"/>
      <c r="L29" s="12"/>
      <c r="M29" s="12"/>
      <c r="N29" s="12"/>
      <c r="O29" s="12"/>
      <c r="P29" s="12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</row>
    <row r="30" spans="1:119" ht="17.100000000000001" customHeight="1" thickBot="1">
      <c r="A30" s="145" t="s">
        <v>46</v>
      </c>
      <c r="B30" s="146"/>
      <c r="C30" s="131"/>
      <c r="D30" s="132"/>
      <c r="E30" s="132"/>
      <c r="F30" s="132"/>
      <c r="G30" s="132"/>
      <c r="H30" s="132"/>
      <c r="I30" s="132"/>
      <c r="J30" s="132"/>
      <c r="K30" s="12"/>
      <c r="L30" s="12"/>
      <c r="M30" s="12"/>
      <c r="N30" s="12"/>
      <c r="O30" s="12"/>
      <c r="P30" s="12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</row>
    <row r="31" spans="1:119">
      <c r="A31" s="118" t="s">
        <v>6</v>
      </c>
      <c r="B31" s="9" t="s">
        <v>7</v>
      </c>
      <c r="C31" s="9" t="s">
        <v>8</v>
      </c>
      <c r="D31" s="9" t="str">
        <f>IF(OR(F33="6A",F33="6B",F33="24A",F33="24B"),"API","DENSITY")</f>
        <v>DENSITY</v>
      </c>
      <c r="E31" s="9" t="s">
        <v>9</v>
      </c>
      <c r="F31" s="9" t="s">
        <v>10</v>
      </c>
      <c r="G31" s="10" t="s">
        <v>11</v>
      </c>
      <c r="H31" s="8" t="s">
        <v>12</v>
      </c>
      <c r="I31" s="11" t="s">
        <v>13</v>
      </c>
      <c r="J31" s="10" t="s">
        <v>13</v>
      </c>
      <c r="K31" s="12"/>
      <c r="L31" s="12"/>
      <c r="M31" s="13">
        <f>5298.25*0.9779</f>
        <v>5181.1586749999997</v>
      </c>
      <c r="N31" s="12"/>
      <c r="O31" s="12"/>
      <c r="P31" s="12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</row>
    <row r="32" spans="1:119" ht="15.6">
      <c r="A32" s="119"/>
      <c r="B32" s="16" t="s">
        <v>47</v>
      </c>
      <c r="C32" s="17" t="s">
        <v>15</v>
      </c>
      <c r="D32" s="54" t="s">
        <v>48</v>
      </c>
      <c r="E32" s="16" t="str">
        <f>IF(OR(F33="6A",F33="6B",F33="24A",F33="24B"),"F","C")</f>
        <v>C</v>
      </c>
      <c r="F32" s="16" t="s">
        <v>17</v>
      </c>
      <c r="G32" s="19" t="str">
        <f>C32</f>
        <v>M3</v>
      </c>
      <c r="H32" s="15" t="s">
        <v>17</v>
      </c>
      <c r="I32" s="20" t="s">
        <v>18</v>
      </c>
      <c r="J32" s="19" t="s">
        <v>18</v>
      </c>
      <c r="K32" s="12"/>
      <c r="L32" s="12" t="s">
        <v>19</v>
      </c>
      <c r="M32" s="12"/>
      <c r="N32" s="12"/>
      <c r="O32" s="12"/>
      <c r="P32" s="12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7" t="s">
        <v>20</v>
      </c>
      <c r="BD32" s="147"/>
      <c r="BE32" s="147"/>
      <c r="BF32" s="147"/>
      <c r="BG32" s="147"/>
      <c r="BH32" s="147"/>
      <c r="BI32" s="14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  <c r="CT32" s="147"/>
      <c r="CU32" s="147"/>
      <c r="CV32" s="147"/>
      <c r="CW32" s="147"/>
      <c r="CX32" s="147"/>
      <c r="CY32" s="147"/>
      <c r="CZ32" s="147"/>
      <c r="DA32" s="147"/>
      <c r="DB32" s="147"/>
      <c r="DC32" s="147"/>
      <c r="DD32" s="147"/>
      <c r="DE32" s="147"/>
      <c r="DF32" s="147"/>
      <c r="DG32" s="14"/>
      <c r="DH32" s="14"/>
      <c r="DI32" s="14"/>
      <c r="DJ32" s="14"/>
      <c r="DK32" s="14"/>
      <c r="DL32" s="14"/>
      <c r="DM32" s="14"/>
      <c r="DN32" s="14"/>
      <c r="DO32" s="14"/>
    </row>
    <row r="33" spans="1:119" ht="15" thickBot="1">
      <c r="A33" s="120"/>
      <c r="B33" s="17" t="s">
        <v>21</v>
      </c>
      <c r="C33" s="16" t="s">
        <v>22</v>
      </c>
      <c r="D33" s="16"/>
      <c r="E33" s="16"/>
      <c r="F33" s="17" t="s">
        <v>23</v>
      </c>
      <c r="G33" s="19"/>
      <c r="H33" s="15">
        <v>11</v>
      </c>
      <c r="I33" s="20" t="s">
        <v>24</v>
      </c>
      <c r="J33" s="19" t="s">
        <v>25</v>
      </c>
      <c r="K33" s="12"/>
      <c r="L33" s="12" t="s">
        <v>15</v>
      </c>
      <c r="M33" s="12"/>
      <c r="N33" s="12"/>
      <c r="O33" s="12"/>
      <c r="P33" s="12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23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 t="s">
        <v>26</v>
      </c>
      <c r="BE33" s="14" t="s">
        <v>27</v>
      </c>
      <c r="BF33" s="14"/>
      <c r="BG33" s="14"/>
      <c r="BH33" s="14"/>
      <c r="BI33" s="14"/>
      <c r="BJ33" s="14"/>
      <c r="BK33" s="14"/>
      <c r="BL33" s="14"/>
      <c r="BM33" s="14"/>
      <c r="BN33" s="14" t="s">
        <v>28</v>
      </c>
      <c r="BO33" s="14"/>
      <c r="BP33" s="14"/>
      <c r="BQ33" s="14"/>
      <c r="BR33" s="14"/>
      <c r="BS33" s="14"/>
      <c r="BT33" s="14"/>
      <c r="BU33" s="14"/>
      <c r="BV33" s="14"/>
      <c r="BW33" s="14"/>
      <c r="BX33" s="14" t="s">
        <v>29</v>
      </c>
      <c r="BY33" s="14"/>
      <c r="BZ33" s="14"/>
      <c r="CA33" s="14" t="s">
        <v>30</v>
      </c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 t="s">
        <v>31</v>
      </c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 t="s">
        <v>32</v>
      </c>
      <c r="CZ33" s="14"/>
      <c r="DA33" s="14"/>
      <c r="DB33" s="14" t="s">
        <v>33</v>
      </c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</row>
    <row r="34" spans="1:119" ht="15.9" customHeight="1">
      <c r="A34" s="66" t="s">
        <v>49</v>
      </c>
      <c r="B34" s="68">
        <v>331</v>
      </c>
      <c r="C34" s="68">
        <v>101.53</v>
      </c>
      <c r="D34" s="69">
        <v>0.86870000000000003</v>
      </c>
      <c r="E34" s="84">
        <v>30</v>
      </c>
      <c r="F34" s="88">
        <f>IF($F$13="6A",IF(ISERROR(P34),0,P34),IF($F$13="54A",IF(ISERROR(W34),0,W34),IF($F$13="6B",IF(ISERROR(AD34),0,AD34),IF($F$13="54B",IF(ISERROR(AK34),0,AK34),IF($F$13="24A",AS34,IF($F$13="24B",BA34))))))</f>
        <v>0.98780000000000001</v>
      </c>
      <c r="G34" s="89">
        <f t="shared" ref="G34" si="191">IF($G$12="BBLS",ROUND((C34*F34),3),ROUND((C34*F34),3))</f>
        <v>100.291</v>
      </c>
      <c r="H34" s="88">
        <f t="shared" ref="H34" si="192">D34-0.0011</f>
        <v>0.86760000000000004</v>
      </c>
      <c r="I34" s="89">
        <f t="shared" ref="I34" si="193">G34*D34</f>
        <v>87.122791699999993</v>
      </c>
      <c r="J34" s="90">
        <f t="shared" ref="J34" si="194">G34*H34</f>
        <v>87.012471599999998</v>
      </c>
      <c r="K34" s="24">
        <f t="shared" ref="K34:K39" si="195">INT(E34*2+0.5)/2</f>
        <v>30</v>
      </c>
      <c r="L34" s="24">
        <f t="shared" ref="L34:L39" si="196">K34-60</f>
        <v>-30</v>
      </c>
      <c r="M34" s="24">
        <f t="shared" ref="M34:M39" si="197">INT(D34*2+0.5)/2</f>
        <v>1</v>
      </c>
      <c r="N34" s="24">
        <f t="shared" ref="N34:N39" si="198">ROUND((141360.198/(M34+131.5)),3)</f>
        <v>1066.8689999999999</v>
      </c>
      <c r="O34" s="24">
        <f t="shared" ref="O34:O39" si="199">ROUND((341.0957/N34^2)+(0/N34),8)</f>
        <v>2.9967999999999998E-4</v>
      </c>
      <c r="P34" s="24">
        <f t="shared" ref="P34:P39" si="200">ROUND(EXP(-O34*L34*(1+0.8*O34*L34)),4)</f>
        <v>1.0089999999999999</v>
      </c>
      <c r="Q34" s="25"/>
      <c r="R34" s="26">
        <f t="shared" ref="R34:R39" si="201">INT(E34*4+0.5)/4</f>
        <v>30</v>
      </c>
      <c r="S34" s="27">
        <f t="shared" ref="S34:S39" si="202">R34-15</f>
        <v>15</v>
      </c>
      <c r="T34" s="27">
        <f t="shared" ref="T34:T39" si="203">ROUND((D34/2*1000),1)</f>
        <v>434.4</v>
      </c>
      <c r="U34" s="27">
        <f t="shared" ref="U34:U39" si="204">T34*2</f>
        <v>868.8</v>
      </c>
      <c r="V34" s="27">
        <f t="shared" ref="V34:V39" si="205">ROUND(ROUND(ROUND(613.9723/U34,9)/U34,11)+ROUND(0/U34,11),8)</f>
        <v>8.1340999999999998E-4</v>
      </c>
      <c r="W34" s="27">
        <f t="shared" ref="W34:W39" si="206">ROUND(EXP(ROUND(-V34*S34*(1+0.8*V34*S34),9)),4)</f>
        <v>0.98780000000000001</v>
      </c>
      <c r="X34" s="28"/>
      <c r="Y34" s="27">
        <f t="shared" ref="Y34:Y39" si="207">INT(E34*2+0.5)/2</f>
        <v>30</v>
      </c>
      <c r="Z34" s="27">
        <f t="shared" ref="Z34:Z39" si="208">Y34-60</f>
        <v>-30</v>
      </c>
      <c r="AA34" s="27">
        <f t="shared" ref="AA34:AA39" si="209">INT(D34*2+0.5)/2</f>
        <v>1</v>
      </c>
      <c r="AB34" s="27">
        <f t="shared" ref="AB34:AB39" si="210">ROUND((141360.198/(D34+131.5)),8)</f>
        <v>1067.9276747399999</v>
      </c>
      <c r="AC34" s="27">
        <f t="shared" ref="AC34:AC39" si="211">IF(AB34&lt;=771,ROUND(((192.4571/AB34^2)+(0.2438/AB34)),8),IF(AB34&lt;=788.5,(1489.067/AB34^2)+(-0.0018684),IF(AB34&lt;=840,ROUND(((330.301/AB34^2)+(0/AB34)),8),IF(AB34&lt;=1076,ROUND(((103.872/AB34^2)+(0.2701/AB34)),8)))))</f>
        <v>3.4400000000000001E-4</v>
      </c>
      <c r="AD34" s="27">
        <f t="shared" ref="AD34:AD39" si="212">ROUND(EXP(-AC34*Z34*(1+0.8*AC34*Z34)),4)</f>
        <v>1.0103</v>
      </c>
      <c r="AE34" s="25"/>
      <c r="AF34" s="26">
        <f t="shared" ref="AF34:AF39" si="213">INT(E34*4+0.5)/4</f>
        <v>30</v>
      </c>
      <c r="AG34" s="27">
        <f t="shared" ref="AG34:AG39" si="214">AF34-15</f>
        <v>15</v>
      </c>
      <c r="AH34" s="27">
        <f t="shared" ref="AH34:AH39" si="215">ROUND(((D34/2)*1000),1)</f>
        <v>434.4</v>
      </c>
      <c r="AI34" s="27">
        <f t="shared" ref="AI34:AI39" si="216">AH34*2</f>
        <v>868.8</v>
      </c>
      <c r="AJ34" s="27">
        <f t="shared" ref="AJ34:AJ39" si="217">IF(AI34&lt;=771,ROUND(((346.4228/(AI34^2))+(0.4388/AI34)),8),IF(AI34&lt;=787,(2680.3206/(AI34^2))+(-0.00336312),IF(AI34&lt;=838.5,ROUND(((594.5418/(AI34^2))+(0/AI34)),8),IF(AI34&lt;=1075,ROUND(((186.9696/(AI34^2))+(0.4862/AI34)),8)))))</f>
        <v>8.0732999999999998E-4</v>
      </c>
      <c r="AK34" s="27">
        <f t="shared" ref="AK34:AK39" si="218">ROUND(EXP(-AJ34*AG34*(1+0.8*AJ34*AG34)),4)</f>
        <v>0.98780000000000001</v>
      </c>
      <c r="AL34" s="25"/>
      <c r="AM34" s="26">
        <f t="shared" ref="AM34:AM39" si="219">INT(E34*2+0.5)/2</f>
        <v>30</v>
      </c>
      <c r="AN34" s="27">
        <f t="shared" ref="AN34:AN39" si="220">AM34-60</f>
        <v>-30</v>
      </c>
      <c r="AO34" s="27">
        <f t="shared" ref="AO34:AO39" si="221">ROUND(((D34/2)*1000),1)</f>
        <v>434.4</v>
      </c>
      <c r="AP34" s="27">
        <f t="shared" ref="AP34:AP39" si="222">AO34*2</f>
        <v>868.8</v>
      </c>
      <c r="AQ34" s="27">
        <f t="shared" ref="AQ34:AQ39" si="223">ROUND((AP34*0.999012),3)</f>
        <v>867.94200000000001</v>
      </c>
      <c r="AR34" s="27">
        <f t="shared" ref="AR34:AR39" si="224">ROUND((341.0957/AQ34^2),8)</f>
        <v>4.5279000000000001E-4</v>
      </c>
      <c r="AS34" s="27">
        <f t="shared" ref="AS34:AS39" si="225">ROUND(EXP(-AR34*AN34*(1+0.8*AR34*AN34)),4)</f>
        <v>1.0135000000000001</v>
      </c>
      <c r="AT34" s="25"/>
      <c r="AU34" s="26">
        <f t="shared" ref="AU34:AU39" si="226">INT(((D34/2)*1000)/1+0.5)*1</f>
        <v>434</v>
      </c>
      <c r="AV34" s="26">
        <f t="shared" ref="AV34:AV39" si="227">AU34*2</f>
        <v>868</v>
      </c>
      <c r="AW34" s="26">
        <f t="shared" ref="AW34:AW39" si="228">ROUND((AV34*0.999012),3)</f>
        <v>867.14200000000005</v>
      </c>
      <c r="AX34" s="26">
        <f t="shared" ref="AX34:AX39" si="229">INT(E34*2+0.5)/2</f>
        <v>30</v>
      </c>
      <c r="AY34" s="27">
        <f t="shared" ref="AY34:AY39" si="230">AX34-60</f>
        <v>-30</v>
      </c>
      <c r="AZ34" s="27">
        <f t="shared" ref="AZ34:AZ39" si="231">IF(AW34&lt;=771,ROUND(((192.4571/(AW34^2))+(0.2438/AW34)),8),IF(AW34&lt;=788.5,(1489.067/AW34^2)+(-0.0018684),IF(AW34&lt;=840,ROUND(((330.301/(AW34^2))+(0/AW34)),8),IF(AW34&lt;=1076,ROUND(((103.872/(AW34^2))+(0.2701/AW34)),8)))))</f>
        <v>4.4962000000000002E-4</v>
      </c>
      <c r="BA34" s="27">
        <f t="shared" ref="BA34:BA39" si="232">ROUND(EXP(-AZ34*AY34*(1+0.8*AZ34*AY34)),4)</f>
        <v>1.0134000000000001</v>
      </c>
      <c r="BB34" s="25"/>
      <c r="BC34" s="26">
        <f t="shared" ref="BC34:BD39" si="233">INT(D34)</f>
        <v>0</v>
      </c>
      <c r="BD34" s="29">
        <f t="shared" si="233"/>
        <v>30</v>
      </c>
      <c r="BE34" s="29">
        <f t="shared" ref="BE34:BE39" si="234">BD34-60</f>
        <v>-30</v>
      </c>
      <c r="BF34" s="26" t="b">
        <f t="shared" ref="BF34:BF39" si="235">IF(AND(BC34&gt;82.9,BC34&lt;=89.6),-0.001077,IF(AND(BC34&gt;76.6,BC34&lt;=82.9),-0.001011,IF(AND(BC34&gt;70.6,BC34&lt;=76.6),-0.000977,IF(AND(BC34&gt;57.2,BC34&lt;=70.6),-0.001005,IF(AND(BC34&gt;52.3,BC34&lt;57.2),-0.001238,IF(AND(BC34&gt;47.6,BC34&lt;=52.3),-0.001084,IF(AND(BC34&gt;43.2,BC34&lt;=47.6),-0.000965)))))))</f>
        <v>0</v>
      </c>
      <c r="BG34" s="26" t="b">
        <f t="shared" ref="BG34:BG39" si="236">IF(AND(BC34&gt;39,BC34&lt;=43.2),-0.000843,IF(AND(BC34&gt;35,BC34&lt;=39),-0.000719,IF(AND(BC34&gt;30.2,BC34&lt;=35),-0.000617,IF(AND(BC34&gt;25.7,BC34&lt;=30.2),-0.000512,IF(AND(BC34&gt;10,BC34&lt;25.7),-0.0003948)))))</f>
        <v>0</v>
      </c>
      <c r="BH34" s="26" t="b">
        <f t="shared" ref="BH34:BH39" si="237">IF(BF34=FALSE,BG34,BF34)</f>
        <v>0</v>
      </c>
      <c r="BI34" s="26" t="b">
        <f t="shared" ref="BI34:BI39" si="238">IF(AND(BC34&gt;82.9,BC34&lt;=89.6),0.00085,IF(AND(BC34&gt;76.6,BC34&lt;=82.9),0.00075,IF(AND(BC34&gt;70.6,BC34&lt;=76.6),0.0007,IF(AND(BC34&gt;57.2,BC34&lt;=70.6),0.00074,IF(AND(BC34&gt;52.3,BC34&lt;57.2),0.00105,IF(AND(BC34&gt;47.6,BC34&lt;=52.3),0.00085,IF(AND(BC34&gt;43.2,BC34&lt;=47.6),0.0007)))))))</f>
        <v>0</v>
      </c>
      <c r="BJ34" s="26" t="b">
        <f t="shared" ref="BJ34:BJ39" si="239">IF(AND(BC34&gt;39,BC34&lt;=43.2),0.00055,IF(AND(BC34&gt;35,BC34&lt;=39),0.0004,IF(AND(BC34&gt;30.2,BC34&lt;=35),0.00028,IF(AND(BC34&gt;25.7,BC34&lt;=30.2),0.00016,IF(AND(BC34&gt;10,BC34&lt;25.7),0.00003)))))</f>
        <v>0</v>
      </c>
      <c r="BK34" s="26" t="b">
        <f t="shared" ref="BK34:BK39" si="240">IF(BI34=FALSE,BJ34,BI34)</f>
        <v>0</v>
      </c>
      <c r="BL34" s="26">
        <f t="shared" ref="BL34:BL39" si="241">ROUND((0.9293286219*BH34+BK34+BH34/141.5*BC34),8)</f>
        <v>0</v>
      </c>
      <c r="BM34" s="26">
        <f t="shared" ref="BM34:BM39" si="242">ROUND((0.9293286*(-0.00000049)+0.0000006+(-0.00000049)/141.5*BC34),10)</f>
        <v>1.4460000000000001E-7</v>
      </c>
      <c r="BN34" s="26">
        <f t="shared" ref="BN34:BN39" si="243">ROUND((1+(BL34*BE34)+(BM34*BE34^2)),5)</f>
        <v>1.00013</v>
      </c>
      <c r="BO34" s="26">
        <f t="shared" ref="BO34:BO39" si="244">ROUND((D34+0.5),1)</f>
        <v>1.4</v>
      </c>
      <c r="BP34" s="26" t="b">
        <f t="shared" ref="BP34:BP39" si="245">IF(AND(BO34&gt;82.9,BO34&lt;=89.6),-0.001077,IF(AND(BO34&gt;76.6,BO34&lt;=82.9),-0.001011,IF(AND(BO34&gt;70.6,BO34&lt;=76.6),-0.000977,IF(AND(BO34&gt;57.2,BO34&lt;=70.6),-0.001005,IF(AND(BO34&gt;52.3,BO34&lt;57.2),-0.001238,IF(AND(BO34&gt;47.6,BO34&lt;=52.3),-0.001084,IF(AND(BO34&gt;43.2,BO34&lt;=47.6),-0.000965)))))))</f>
        <v>0</v>
      </c>
      <c r="BQ34" s="26" t="b">
        <f t="shared" ref="BQ34:BQ39" si="246">IF(AND(BO34&gt;39,BO34&lt;=43.2),-0.000843,IF(AND(BO34&gt;35,BO34&lt;=39),-0.000719,IF(AND(BO34&gt;30.2,BO34&lt;=35),-0.000617,IF(AND(BO34&gt;25.7,BO34&lt;=30.2),-0.000512,IF(AND(BO34&gt;10,BO34&lt;25.7),-0.0003948)))))</f>
        <v>0</v>
      </c>
      <c r="BR34" s="26" t="b">
        <f t="shared" ref="BR34:BR39" si="247">IF(BP34=FALSE,BQ34,BP34)</f>
        <v>0</v>
      </c>
      <c r="BS34" s="26" t="b">
        <f t="shared" ref="BS34:BS39" si="248">IF(AND(BO34&gt;82.9,BO34&lt;=89.6),0.00085,IF(AND(BO34&gt;76.6,BO34&lt;=82.9),0.00075,IF(AND(BO34&gt;70.6,BO34&lt;=76.6),0.0007,IF(AND(BO34&gt;57.2,BO34&lt;=70.6),0.00074,IF(AND(BO34&gt;52.3,BO34&lt;57.2),0.00105,IF(AND(BO34&gt;47.6,BO34&lt;=52.3),0.00085,IF(AND(BO34&gt;43.2,BO34&lt;=47.6),0.0007)))))))</f>
        <v>0</v>
      </c>
      <c r="BT34" s="26" t="b">
        <f t="shared" ref="BT34:BT39" si="249">IF(AND(BO34&gt;39,BO34&lt;=43.2),0.00055,IF(AND(BO34&gt;35,BO34&lt;=39),0.0004,IF(AND(BO34&gt;30.2,BO34&lt;=35),0.00028,IF(AND(BO34&gt;25.7,BO34&lt;=30.2),0.00016,IF(AND(BO34&gt;10,BO34&lt;25.7),0.00003)))))</f>
        <v>0</v>
      </c>
      <c r="BU34" s="26" t="b">
        <f t="shared" ref="BU34:BU39" si="250">IF(BS34=FALSE,BT34,BS34)</f>
        <v>0</v>
      </c>
      <c r="BV34" s="26">
        <f t="shared" ref="BV34:BV39" si="251">ROUND((0.9293286219*BR34+BU34+BR34/141.5*BO34),8)</f>
        <v>0</v>
      </c>
      <c r="BW34" s="26">
        <f t="shared" ref="BW34:BW39" si="252">ROUND((0.9293286*(-0.00000049)+0.0000006+(-0.00000049)/141.5*BO34),10)</f>
        <v>1.3979999999999999E-7</v>
      </c>
      <c r="BX34" s="26">
        <f t="shared" ref="BX34:BX39" si="253">ROUND((1+(BV34*BE34)+(BW34*BE34^2)),5)</f>
        <v>1.00013</v>
      </c>
      <c r="BY34" s="26">
        <f t="shared" ref="BY34:BY39" si="254">BN34-BX34</f>
        <v>0</v>
      </c>
      <c r="BZ34" s="26">
        <f t="shared" ref="BZ34:BZ39" si="255">(D34-(INT(D34)))*BY34</f>
        <v>0</v>
      </c>
      <c r="CA34" s="26">
        <f t="shared" ref="CA34:CA39" si="256">BN34-BZ34</f>
        <v>1.00013</v>
      </c>
      <c r="CB34" s="29">
        <f t="shared" ref="CB34:CB39" si="257">ROUND((E34+0.5),1)</f>
        <v>30.5</v>
      </c>
      <c r="CC34" s="26">
        <f t="shared" ref="CC34:CC39" si="258">INT(D34)</f>
        <v>0</v>
      </c>
      <c r="CD34" s="29">
        <f t="shared" ref="CD34:CD39" si="259">CB34-60</f>
        <v>-29.5</v>
      </c>
      <c r="CE34" s="26" t="b">
        <f t="shared" ref="CE34:CE39" si="260">IF(AND(CC34&gt;82.9,CC34&lt;=89.6),-0.001077,IF(AND(CC34&gt;76.6,CC34&lt;=82.9),-0.001011,IF(AND(CC34&gt;70.6,CC34&lt;=76.6),-0.000977,IF(AND(CC34&gt;57.2,CC34&lt;=70.6),-0.001005,IF(AND(CC34&gt;52.3,CC34&lt;57.2),-0.001238,IF(AND(CC34&gt;47.6,CC34&lt;=52.3),-0.001084,IF(AND(CC34&gt;43.2,CC34&lt;=47.6),-0.000965)))))))</f>
        <v>0</v>
      </c>
      <c r="CF34" s="26" t="b">
        <f t="shared" ref="CF34:CF39" si="261">IF(AND(CC34&gt;39,CC34&lt;=43.2),-0.000843,IF(AND(CC34&gt;35,CC34&lt;=39),-0.000719,IF(AND(CC34&gt;30.2,CC34&lt;=35),-0.000617,IF(AND(CC34&gt;25.7,CC34&lt;=30.2),-0.000512,IF(AND(CC34&gt;10,CC34&lt;25.7),-0.0003948)))))</f>
        <v>0</v>
      </c>
      <c r="CG34" s="26" t="b">
        <f t="shared" ref="CG34:CG39" si="262">IF(CE34=FALSE,CF34,CE34)</f>
        <v>0</v>
      </c>
      <c r="CH34" s="26" t="b">
        <f t="shared" ref="CH34:CH39" si="263">IF(AND(CC34&gt;82.9,CC34&lt;=89.6),0.00085,IF(AND(CC34&gt;76.6,CC34&lt;=82.9),0.00075,IF(AND(CC34&gt;70.6,CC34&lt;=76.6),0.0007,IF(AND(CC34&gt;57.2,CC34&lt;=70.6),0.00074,IF(AND(CC34&gt;52.3,CC34&lt;57.2),0.00105,IF(AND(CC34&gt;47.6,CC34&lt;=52.3),0.00085,IF(AND(CC34&gt;43.2,CC34&lt;=47.6),0.0007)))))))</f>
        <v>0</v>
      </c>
      <c r="CI34" s="26" t="b">
        <f t="shared" ref="CI34:CI39" si="264">IF(AND(CC34&gt;39,CC34&lt;=43.2),0.00055,IF(AND(CC34&gt;35,CC34&lt;=39),0.0004,IF(AND(CC34&gt;30.2,CC34&lt;=35),0.00028,IF(AND(CC34&gt;25.7,CC34&lt;=30.2),0.00016,IF(AND(CC34&gt;10,CC34&lt;25.7),0.00003)))))</f>
        <v>0</v>
      </c>
      <c r="CJ34" s="26" t="b">
        <f t="shared" ref="CJ34:CJ39" si="265">IF(CH34=FALSE,CI34,CH34)</f>
        <v>0</v>
      </c>
      <c r="CK34" s="26">
        <f t="shared" ref="CK34:CK39" si="266">ROUND((0.9293286219*CG34+CJ34+CG34/141.5*CC34),8)</f>
        <v>0</v>
      </c>
      <c r="CL34" s="26">
        <f t="shared" ref="CL34:CL39" si="267">ROUND((0.9293286*(-0.00000049)+0.0000006+(-0.00000049)/141.5*CC34),10)</f>
        <v>1.4460000000000001E-7</v>
      </c>
      <c r="CM34" s="26">
        <f t="shared" ref="CM34:CM39" si="268">ROUND((1+(CK34*CD34)+(CL34*CD34^2)),5)</f>
        <v>1.00013</v>
      </c>
      <c r="CN34" s="26">
        <f t="shared" ref="CN34:CO39" si="269">ROUND((D34+0.5),1)</f>
        <v>1.4</v>
      </c>
      <c r="CO34" s="29">
        <f t="shared" si="269"/>
        <v>30.5</v>
      </c>
      <c r="CP34" s="29">
        <f t="shared" ref="CP34:CP39" si="270">CO34-60</f>
        <v>-29.5</v>
      </c>
      <c r="CQ34" s="26" t="b">
        <f t="shared" ref="CQ34:CQ39" si="271">IF(AND(CN34&gt;82.9,CN34&lt;=89.6),-0.001077,IF(AND(CN34&gt;76.6,CN34&lt;=82.9),-0.001011,IF(AND(CN34&gt;70.6,CN34&lt;=76.6),-0.000977,IF(AND(CN34&gt;57.2,CN34&lt;=70.6),-0.001005,IF(AND(CN34&gt;52.3,CN34&lt;57.2),-0.001238,IF(AND(CN34&gt;47.6,CN34&lt;=52.3),-0.001084,IF(AND(CN34&gt;43.2,CN34&lt;=47.6),-0.000965)))))))</f>
        <v>0</v>
      </c>
      <c r="CR34" s="26" t="b">
        <f t="shared" ref="CR34:CR39" si="272">IF(AND(CN34&gt;39,CN34&lt;=43.2),-0.000843,IF(AND(CN34&gt;35,CN34&lt;=39),-0.000719,IF(AND(CN34&gt;30.2,CN34&lt;=35),-0.000617,IF(AND(CN34&gt;25.7,CN34&lt;=30.2),-0.000512,IF(AND(CN34&gt;10,CN34&lt;25.7),-0.0003948)))))</f>
        <v>0</v>
      </c>
      <c r="CS34" s="26" t="b">
        <f t="shared" ref="CS34:CS39" si="273">IF(CQ34=FALSE,CR34,CQ34)</f>
        <v>0</v>
      </c>
      <c r="CT34" s="26" t="b">
        <f t="shared" ref="CT34:CT39" si="274">IF(AND(CN34&gt;82.9,CN34&lt;=89.6),0.00085,IF(AND(CN34&gt;76.6,CN34&lt;=82.9),0.00075,IF(AND(CN34&gt;70.6,CN34&lt;=76.6),0.0007,IF(AND(CN34&gt;57.2,CN34&lt;=70.6),0.00074,IF(AND(CN34&gt;52.3,CN34&lt;57.2),0.00105,IF(AND(CN34&gt;47.6,CN34&lt;=52.3),0.00085,IF(AND(CN34&gt;43.2,CN34&lt;=47.6),0.0007)))))))</f>
        <v>0</v>
      </c>
      <c r="CU34" s="26" t="b">
        <f t="shared" ref="CU34:CU39" si="275">IF(AND(CN34&gt;39,CN34&lt;=43.2),0.00055,IF(AND(CN34&gt;35,CN34&lt;=39),0.0004,IF(AND(CN34&gt;30.2,CN34&lt;=35),0.00028,IF(AND(CN34&gt;25.7,CN34&lt;=30.2),0.00016,IF(AND(CN34&gt;10,CN34&lt;25.7),0.00003)))))</f>
        <v>0</v>
      </c>
      <c r="CV34" s="26" t="b">
        <f t="shared" ref="CV34:CV39" si="276">IF(CT34=FALSE,CU34,CT34)</f>
        <v>0</v>
      </c>
      <c r="CW34" s="26">
        <f t="shared" ref="CW34:CW39" si="277">ROUND((0.9293286219*CS34+CV34+CS34/141.5*CN34),8)</f>
        <v>0</v>
      </c>
      <c r="CX34" s="26">
        <f t="shared" ref="CX34:CX39" si="278">ROUND((0.9293286*(-0.00000049)+0.0000006+(-0.00000049)/141.5*CN34),10)</f>
        <v>1.3979999999999999E-7</v>
      </c>
      <c r="CY34" s="26">
        <f t="shared" ref="CY34:CY39" si="279">ROUND((1+(CW34*CP34)+(CX34*CP34^2)),5)</f>
        <v>1.0001199999999999</v>
      </c>
      <c r="CZ34" s="26">
        <f t="shared" ref="CZ34:CZ39" si="280">CM34-CY34</f>
        <v>1.0000000000065512E-5</v>
      </c>
      <c r="DA34" s="26">
        <f t="shared" ref="DA34:DA39" si="281">(D34-INT(D34))*CZ34</f>
        <v>8.6870000000569105E-6</v>
      </c>
      <c r="DB34" s="26">
        <f t="shared" ref="DB34:DB39" si="282">CM34-DA34</f>
        <v>1.000121313</v>
      </c>
      <c r="DC34" s="26">
        <f t="shared" ref="DC34:DC39" si="283">CA34-DB34</f>
        <v>8.6870000000072167E-6</v>
      </c>
      <c r="DD34" s="29">
        <f t="shared" ref="DD34:DD39" si="284">E34-(INT(E34))</f>
        <v>0</v>
      </c>
      <c r="DE34" s="26">
        <f t="shared" ref="DE34:DE39" si="285">DC34*DD34</f>
        <v>0</v>
      </c>
      <c r="DF34" s="26">
        <f t="shared" ref="DF34:DF39" si="286">ROUND((CA34-DE34),5)</f>
        <v>1.00013</v>
      </c>
      <c r="DG34" s="25"/>
      <c r="DH34" s="25"/>
      <c r="DI34" s="25"/>
      <c r="DJ34" s="25"/>
      <c r="DK34" s="25"/>
      <c r="DL34" s="25"/>
      <c r="DM34" s="25"/>
      <c r="DN34" s="25"/>
      <c r="DO34" s="25"/>
    </row>
    <row r="35" spans="1:119" ht="15.9" customHeight="1">
      <c r="A35" s="30" t="s">
        <v>50</v>
      </c>
      <c r="B35" s="32">
        <v>558</v>
      </c>
      <c r="C35" s="32">
        <v>60.23</v>
      </c>
      <c r="D35" s="44">
        <v>0.86870000000000003</v>
      </c>
      <c r="E35" s="92">
        <v>30</v>
      </c>
      <c r="F35" s="85">
        <f t="shared" ref="F35:F39" si="287">IF($F$13="6A",IF(ISERROR(P35),0,P35),IF($F$13="54A",IF(ISERROR(W35),0,W35),IF($F$13="6B",IF(ISERROR(AD35),0,AD35),IF($F$13="54B",IF(ISERROR(AK35),0,AK35),IF($F$13="24A",AS35,IF($F$13="24B",BA35))))))</f>
        <v>0.98780000000000001</v>
      </c>
      <c r="G35" s="86">
        <f t="shared" ref="G35:G39" si="288">IF($G$12="BBLS",ROUND((C35*F35),3),ROUND((C35*F35),3))</f>
        <v>59.494999999999997</v>
      </c>
      <c r="H35" s="85">
        <f t="shared" ref="H35:H39" si="289">D35-0.0011</f>
        <v>0.86760000000000004</v>
      </c>
      <c r="I35" s="86">
        <f t="shared" ref="I35:I39" si="290">G35*D35</f>
        <v>51.6833065</v>
      </c>
      <c r="J35" s="87">
        <f t="shared" ref="J35:J39" si="291">G35*H35</f>
        <v>51.617862000000002</v>
      </c>
      <c r="K35" s="24">
        <f t="shared" si="195"/>
        <v>30</v>
      </c>
      <c r="L35" s="24">
        <f t="shared" si="196"/>
        <v>-30</v>
      </c>
      <c r="M35" s="24">
        <f t="shared" si="197"/>
        <v>1</v>
      </c>
      <c r="N35" s="24">
        <f t="shared" si="198"/>
        <v>1066.8689999999999</v>
      </c>
      <c r="O35" s="24">
        <f t="shared" si="199"/>
        <v>2.9967999999999998E-4</v>
      </c>
      <c r="P35" s="24">
        <f t="shared" si="200"/>
        <v>1.0089999999999999</v>
      </c>
      <c r="Q35" s="25"/>
      <c r="R35" s="26">
        <f t="shared" si="201"/>
        <v>30</v>
      </c>
      <c r="S35" s="27">
        <f t="shared" si="202"/>
        <v>15</v>
      </c>
      <c r="T35" s="27">
        <f t="shared" si="203"/>
        <v>434.4</v>
      </c>
      <c r="U35" s="27">
        <f t="shared" si="204"/>
        <v>868.8</v>
      </c>
      <c r="V35" s="27">
        <f t="shared" si="205"/>
        <v>8.1340999999999998E-4</v>
      </c>
      <c r="W35" s="27">
        <f t="shared" si="206"/>
        <v>0.98780000000000001</v>
      </c>
      <c r="X35" s="28"/>
      <c r="Y35" s="27">
        <f t="shared" si="207"/>
        <v>30</v>
      </c>
      <c r="Z35" s="27">
        <f t="shared" si="208"/>
        <v>-30</v>
      </c>
      <c r="AA35" s="27">
        <f t="shared" si="209"/>
        <v>1</v>
      </c>
      <c r="AB35" s="27">
        <f t="shared" si="210"/>
        <v>1067.9276747399999</v>
      </c>
      <c r="AC35" s="27">
        <f t="shared" si="211"/>
        <v>3.4400000000000001E-4</v>
      </c>
      <c r="AD35" s="27">
        <f t="shared" si="212"/>
        <v>1.0103</v>
      </c>
      <c r="AE35" s="25"/>
      <c r="AF35" s="26">
        <f t="shared" si="213"/>
        <v>30</v>
      </c>
      <c r="AG35" s="27">
        <f t="shared" si="214"/>
        <v>15</v>
      </c>
      <c r="AH35" s="27">
        <f t="shared" si="215"/>
        <v>434.4</v>
      </c>
      <c r="AI35" s="27">
        <f t="shared" si="216"/>
        <v>868.8</v>
      </c>
      <c r="AJ35" s="27">
        <f t="shared" si="217"/>
        <v>8.0732999999999998E-4</v>
      </c>
      <c r="AK35" s="27">
        <f t="shared" si="218"/>
        <v>0.98780000000000001</v>
      </c>
      <c r="AL35" s="25"/>
      <c r="AM35" s="26">
        <f t="shared" si="219"/>
        <v>30</v>
      </c>
      <c r="AN35" s="27">
        <f t="shared" si="220"/>
        <v>-30</v>
      </c>
      <c r="AO35" s="27">
        <f t="shared" si="221"/>
        <v>434.4</v>
      </c>
      <c r="AP35" s="27">
        <f t="shared" si="222"/>
        <v>868.8</v>
      </c>
      <c r="AQ35" s="27">
        <f t="shared" si="223"/>
        <v>867.94200000000001</v>
      </c>
      <c r="AR35" s="27">
        <f t="shared" si="224"/>
        <v>4.5279000000000001E-4</v>
      </c>
      <c r="AS35" s="27">
        <f t="shared" si="225"/>
        <v>1.0135000000000001</v>
      </c>
      <c r="AT35" s="25"/>
      <c r="AU35" s="26">
        <f t="shared" si="226"/>
        <v>434</v>
      </c>
      <c r="AV35" s="26">
        <f t="shared" si="227"/>
        <v>868</v>
      </c>
      <c r="AW35" s="26">
        <f t="shared" si="228"/>
        <v>867.14200000000005</v>
      </c>
      <c r="AX35" s="26">
        <f t="shared" si="229"/>
        <v>30</v>
      </c>
      <c r="AY35" s="27">
        <f t="shared" si="230"/>
        <v>-30</v>
      </c>
      <c r="AZ35" s="27">
        <f t="shared" si="231"/>
        <v>4.4962000000000002E-4</v>
      </c>
      <c r="BA35" s="27">
        <f t="shared" si="232"/>
        <v>1.0134000000000001</v>
      </c>
      <c r="BB35" s="25"/>
      <c r="BC35" s="26">
        <f t="shared" si="233"/>
        <v>0</v>
      </c>
      <c r="BD35" s="29">
        <f t="shared" si="233"/>
        <v>30</v>
      </c>
      <c r="BE35" s="29">
        <f t="shared" si="234"/>
        <v>-30</v>
      </c>
      <c r="BF35" s="26" t="b">
        <f t="shared" si="235"/>
        <v>0</v>
      </c>
      <c r="BG35" s="26" t="b">
        <f t="shared" si="236"/>
        <v>0</v>
      </c>
      <c r="BH35" s="26" t="b">
        <f t="shared" si="237"/>
        <v>0</v>
      </c>
      <c r="BI35" s="26" t="b">
        <f t="shared" si="238"/>
        <v>0</v>
      </c>
      <c r="BJ35" s="26" t="b">
        <f t="shared" si="239"/>
        <v>0</v>
      </c>
      <c r="BK35" s="26" t="b">
        <f t="shared" si="240"/>
        <v>0</v>
      </c>
      <c r="BL35" s="26">
        <f t="shared" si="241"/>
        <v>0</v>
      </c>
      <c r="BM35" s="26">
        <f t="shared" si="242"/>
        <v>1.4460000000000001E-7</v>
      </c>
      <c r="BN35" s="26">
        <f t="shared" si="243"/>
        <v>1.00013</v>
      </c>
      <c r="BO35" s="26">
        <f t="shared" si="244"/>
        <v>1.4</v>
      </c>
      <c r="BP35" s="26" t="b">
        <f t="shared" si="245"/>
        <v>0</v>
      </c>
      <c r="BQ35" s="26" t="b">
        <f t="shared" si="246"/>
        <v>0</v>
      </c>
      <c r="BR35" s="26" t="b">
        <f t="shared" si="247"/>
        <v>0</v>
      </c>
      <c r="BS35" s="26" t="b">
        <f t="shared" si="248"/>
        <v>0</v>
      </c>
      <c r="BT35" s="26" t="b">
        <f t="shared" si="249"/>
        <v>0</v>
      </c>
      <c r="BU35" s="26" t="b">
        <f t="shared" si="250"/>
        <v>0</v>
      </c>
      <c r="BV35" s="26">
        <f t="shared" si="251"/>
        <v>0</v>
      </c>
      <c r="BW35" s="26">
        <f t="shared" si="252"/>
        <v>1.3979999999999999E-7</v>
      </c>
      <c r="BX35" s="26">
        <f t="shared" si="253"/>
        <v>1.00013</v>
      </c>
      <c r="BY35" s="26">
        <f t="shared" si="254"/>
        <v>0</v>
      </c>
      <c r="BZ35" s="26">
        <f t="shared" si="255"/>
        <v>0</v>
      </c>
      <c r="CA35" s="26">
        <f t="shared" si="256"/>
        <v>1.00013</v>
      </c>
      <c r="CB35" s="29">
        <f t="shared" si="257"/>
        <v>30.5</v>
      </c>
      <c r="CC35" s="26">
        <f t="shared" si="258"/>
        <v>0</v>
      </c>
      <c r="CD35" s="29">
        <f t="shared" si="259"/>
        <v>-29.5</v>
      </c>
      <c r="CE35" s="26" t="b">
        <f t="shared" si="260"/>
        <v>0</v>
      </c>
      <c r="CF35" s="26" t="b">
        <f t="shared" si="261"/>
        <v>0</v>
      </c>
      <c r="CG35" s="26" t="b">
        <f t="shared" si="262"/>
        <v>0</v>
      </c>
      <c r="CH35" s="26" t="b">
        <f t="shared" si="263"/>
        <v>0</v>
      </c>
      <c r="CI35" s="26" t="b">
        <f t="shared" si="264"/>
        <v>0</v>
      </c>
      <c r="CJ35" s="26" t="b">
        <f t="shared" si="265"/>
        <v>0</v>
      </c>
      <c r="CK35" s="26">
        <f t="shared" si="266"/>
        <v>0</v>
      </c>
      <c r="CL35" s="26">
        <f t="shared" si="267"/>
        <v>1.4460000000000001E-7</v>
      </c>
      <c r="CM35" s="26">
        <f t="shared" si="268"/>
        <v>1.00013</v>
      </c>
      <c r="CN35" s="26">
        <f t="shared" si="269"/>
        <v>1.4</v>
      </c>
      <c r="CO35" s="29">
        <f t="shared" si="269"/>
        <v>30.5</v>
      </c>
      <c r="CP35" s="29">
        <f t="shared" si="270"/>
        <v>-29.5</v>
      </c>
      <c r="CQ35" s="26" t="b">
        <f t="shared" si="271"/>
        <v>0</v>
      </c>
      <c r="CR35" s="26" t="b">
        <f t="shared" si="272"/>
        <v>0</v>
      </c>
      <c r="CS35" s="26" t="b">
        <f t="shared" si="273"/>
        <v>0</v>
      </c>
      <c r="CT35" s="26" t="b">
        <f t="shared" si="274"/>
        <v>0</v>
      </c>
      <c r="CU35" s="26" t="b">
        <f t="shared" si="275"/>
        <v>0</v>
      </c>
      <c r="CV35" s="26" t="b">
        <f t="shared" si="276"/>
        <v>0</v>
      </c>
      <c r="CW35" s="26">
        <f t="shared" si="277"/>
        <v>0</v>
      </c>
      <c r="CX35" s="26">
        <f t="shared" si="278"/>
        <v>1.3979999999999999E-7</v>
      </c>
      <c r="CY35" s="26">
        <f t="shared" si="279"/>
        <v>1.0001199999999999</v>
      </c>
      <c r="CZ35" s="26">
        <f t="shared" si="280"/>
        <v>1.0000000000065512E-5</v>
      </c>
      <c r="DA35" s="26">
        <f t="shared" si="281"/>
        <v>8.6870000000569105E-6</v>
      </c>
      <c r="DB35" s="26">
        <f t="shared" si="282"/>
        <v>1.000121313</v>
      </c>
      <c r="DC35" s="26">
        <f t="shared" si="283"/>
        <v>8.6870000000072167E-6</v>
      </c>
      <c r="DD35" s="29">
        <f t="shared" si="284"/>
        <v>0</v>
      </c>
      <c r="DE35" s="26">
        <f t="shared" si="285"/>
        <v>0</v>
      </c>
      <c r="DF35" s="26">
        <f t="shared" si="286"/>
        <v>1.00013</v>
      </c>
      <c r="DG35" s="25"/>
      <c r="DH35" s="25"/>
      <c r="DI35" s="25"/>
      <c r="DJ35" s="25"/>
      <c r="DK35" s="25"/>
      <c r="DL35" s="25"/>
      <c r="DM35" s="25"/>
      <c r="DN35" s="25"/>
      <c r="DO35" s="25"/>
    </row>
    <row r="36" spans="1:119" ht="15.9" customHeight="1">
      <c r="A36" s="30" t="s">
        <v>51</v>
      </c>
      <c r="B36" s="32">
        <v>36</v>
      </c>
      <c r="C36" s="32">
        <v>3.13</v>
      </c>
      <c r="D36" s="44">
        <v>0.86870000000000003</v>
      </c>
      <c r="E36" s="92">
        <v>30</v>
      </c>
      <c r="F36" s="85">
        <f t="shared" si="287"/>
        <v>0.98780000000000001</v>
      </c>
      <c r="G36" s="86">
        <f t="shared" si="288"/>
        <v>3.0920000000000001</v>
      </c>
      <c r="H36" s="85">
        <f t="shared" si="289"/>
        <v>0.86760000000000004</v>
      </c>
      <c r="I36" s="86">
        <f t="shared" si="290"/>
        <v>2.6860204000000003</v>
      </c>
      <c r="J36" s="87">
        <f t="shared" si="291"/>
        <v>2.6826192</v>
      </c>
      <c r="K36" s="24">
        <f t="shared" si="195"/>
        <v>30</v>
      </c>
      <c r="L36" s="24">
        <f t="shared" si="196"/>
        <v>-30</v>
      </c>
      <c r="M36" s="24">
        <f t="shared" si="197"/>
        <v>1</v>
      </c>
      <c r="N36" s="24">
        <f t="shared" si="198"/>
        <v>1066.8689999999999</v>
      </c>
      <c r="O36" s="24">
        <f t="shared" si="199"/>
        <v>2.9967999999999998E-4</v>
      </c>
      <c r="P36" s="24">
        <f t="shared" si="200"/>
        <v>1.0089999999999999</v>
      </c>
      <c r="Q36" s="25"/>
      <c r="R36" s="26">
        <f t="shared" si="201"/>
        <v>30</v>
      </c>
      <c r="S36" s="27">
        <f t="shared" si="202"/>
        <v>15</v>
      </c>
      <c r="T36" s="27">
        <f t="shared" si="203"/>
        <v>434.4</v>
      </c>
      <c r="U36" s="27">
        <f t="shared" si="204"/>
        <v>868.8</v>
      </c>
      <c r="V36" s="27">
        <f t="shared" si="205"/>
        <v>8.1340999999999998E-4</v>
      </c>
      <c r="W36" s="27">
        <f t="shared" si="206"/>
        <v>0.98780000000000001</v>
      </c>
      <c r="X36" s="28"/>
      <c r="Y36" s="27">
        <f t="shared" si="207"/>
        <v>30</v>
      </c>
      <c r="Z36" s="27">
        <f t="shared" si="208"/>
        <v>-30</v>
      </c>
      <c r="AA36" s="27">
        <f t="shared" si="209"/>
        <v>1</v>
      </c>
      <c r="AB36" s="27">
        <f t="shared" si="210"/>
        <v>1067.9276747399999</v>
      </c>
      <c r="AC36" s="27">
        <f t="shared" si="211"/>
        <v>3.4400000000000001E-4</v>
      </c>
      <c r="AD36" s="27">
        <f t="shared" si="212"/>
        <v>1.0103</v>
      </c>
      <c r="AE36" s="25"/>
      <c r="AF36" s="26">
        <f t="shared" si="213"/>
        <v>30</v>
      </c>
      <c r="AG36" s="27">
        <f t="shared" si="214"/>
        <v>15</v>
      </c>
      <c r="AH36" s="27">
        <f t="shared" si="215"/>
        <v>434.4</v>
      </c>
      <c r="AI36" s="27">
        <f t="shared" si="216"/>
        <v>868.8</v>
      </c>
      <c r="AJ36" s="27">
        <f t="shared" si="217"/>
        <v>8.0732999999999998E-4</v>
      </c>
      <c r="AK36" s="27">
        <f t="shared" si="218"/>
        <v>0.98780000000000001</v>
      </c>
      <c r="AL36" s="25"/>
      <c r="AM36" s="26">
        <f t="shared" si="219"/>
        <v>30</v>
      </c>
      <c r="AN36" s="27">
        <f t="shared" si="220"/>
        <v>-30</v>
      </c>
      <c r="AO36" s="27">
        <f t="shared" si="221"/>
        <v>434.4</v>
      </c>
      <c r="AP36" s="27">
        <f t="shared" si="222"/>
        <v>868.8</v>
      </c>
      <c r="AQ36" s="27">
        <f t="shared" si="223"/>
        <v>867.94200000000001</v>
      </c>
      <c r="AR36" s="27">
        <f t="shared" si="224"/>
        <v>4.5279000000000001E-4</v>
      </c>
      <c r="AS36" s="27">
        <f t="shared" si="225"/>
        <v>1.0135000000000001</v>
      </c>
      <c r="AT36" s="25"/>
      <c r="AU36" s="26">
        <f t="shared" si="226"/>
        <v>434</v>
      </c>
      <c r="AV36" s="26">
        <f t="shared" si="227"/>
        <v>868</v>
      </c>
      <c r="AW36" s="26">
        <f t="shared" si="228"/>
        <v>867.14200000000005</v>
      </c>
      <c r="AX36" s="26">
        <f t="shared" si="229"/>
        <v>30</v>
      </c>
      <c r="AY36" s="27">
        <f t="shared" si="230"/>
        <v>-30</v>
      </c>
      <c r="AZ36" s="27">
        <f t="shared" si="231"/>
        <v>4.4962000000000002E-4</v>
      </c>
      <c r="BA36" s="27">
        <f t="shared" si="232"/>
        <v>1.0134000000000001</v>
      </c>
      <c r="BB36" s="25"/>
      <c r="BC36" s="26">
        <f t="shared" si="233"/>
        <v>0</v>
      </c>
      <c r="BD36" s="29">
        <f t="shared" si="233"/>
        <v>30</v>
      </c>
      <c r="BE36" s="29">
        <f t="shared" si="234"/>
        <v>-30</v>
      </c>
      <c r="BF36" s="26" t="b">
        <f t="shared" si="235"/>
        <v>0</v>
      </c>
      <c r="BG36" s="26" t="b">
        <f t="shared" si="236"/>
        <v>0</v>
      </c>
      <c r="BH36" s="26" t="b">
        <f t="shared" si="237"/>
        <v>0</v>
      </c>
      <c r="BI36" s="26" t="b">
        <f t="shared" si="238"/>
        <v>0</v>
      </c>
      <c r="BJ36" s="26" t="b">
        <f t="shared" si="239"/>
        <v>0</v>
      </c>
      <c r="BK36" s="26" t="b">
        <f t="shared" si="240"/>
        <v>0</v>
      </c>
      <c r="BL36" s="26">
        <f t="shared" si="241"/>
        <v>0</v>
      </c>
      <c r="BM36" s="26">
        <f t="shared" si="242"/>
        <v>1.4460000000000001E-7</v>
      </c>
      <c r="BN36" s="26">
        <f t="shared" si="243"/>
        <v>1.00013</v>
      </c>
      <c r="BO36" s="26">
        <f t="shared" si="244"/>
        <v>1.4</v>
      </c>
      <c r="BP36" s="26" t="b">
        <f t="shared" si="245"/>
        <v>0</v>
      </c>
      <c r="BQ36" s="26" t="b">
        <f t="shared" si="246"/>
        <v>0</v>
      </c>
      <c r="BR36" s="26" t="b">
        <f t="shared" si="247"/>
        <v>0</v>
      </c>
      <c r="BS36" s="26" t="b">
        <f t="shared" si="248"/>
        <v>0</v>
      </c>
      <c r="BT36" s="26" t="b">
        <f t="shared" si="249"/>
        <v>0</v>
      </c>
      <c r="BU36" s="26" t="b">
        <f t="shared" si="250"/>
        <v>0</v>
      </c>
      <c r="BV36" s="26">
        <f t="shared" si="251"/>
        <v>0</v>
      </c>
      <c r="BW36" s="26">
        <f t="shared" si="252"/>
        <v>1.3979999999999999E-7</v>
      </c>
      <c r="BX36" s="26">
        <f t="shared" si="253"/>
        <v>1.00013</v>
      </c>
      <c r="BY36" s="26">
        <f t="shared" si="254"/>
        <v>0</v>
      </c>
      <c r="BZ36" s="26">
        <f t="shared" si="255"/>
        <v>0</v>
      </c>
      <c r="CA36" s="26">
        <f t="shared" si="256"/>
        <v>1.00013</v>
      </c>
      <c r="CB36" s="29">
        <f t="shared" si="257"/>
        <v>30.5</v>
      </c>
      <c r="CC36" s="26">
        <f t="shared" si="258"/>
        <v>0</v>
      </c>
      <c r="CD36" s="29">
        <f t="shared" si="259"/>
        <v>-29.5</v>
      </c>
      <c r="CE36" s="26" t="b">
        <f t="shared" si="260"/>
        <v>0</v>
      </c>
      <c r="CF36" s="26" t="b">
        <f t="shared" si="261"/>
        <v>0</v>
      </c>
      <c r="CG36" s="26" t="b">
        <f t="shared" si="262"/>
        <v>0</v>
      </c>
      <c r="CH36" s="26" t="b">
        <f t="shared" si="263"/>
        <v>0</v>
      </c>
      <c r="CI36" s="26" t="b">
        <f t="shared" si="264"/>
        <v>0</v>
      </c>
      <c r="CJ36" s="26" t="b">
        <f t="shared" si="265"/>
        <v>0</v>
      </c>
      <c r="CK36" s="26">
        <f t="shared" si="266"/>
        <v>0</v>
      </c>
      <c r="CL36" s="26">
        <f t="shared" si="267"/>
        <v>1.4460000000000001E-7</v>
      </c>
      <c r="CM36" s="26">
        <f t="shared" si="268"/>
        <v>1.00013</v>
      </c>
      <c r="CN36" s="26">
        <f t="shared" si="269"/>
        <v>1.4</v>
      </c>
      <c r="CO36" s="29">
        <f t="shared" si="269"/>
        <v>30.5</v>
      </c>
      <c r="CP36" s="29">
        <f t="shared" si="270"/>
        <v>-29.5</v>
      </c>
      <c r="CQ36" s="26" t="b">
        <f t="shared" si="271"/>
        <v>0</v>
      </c>
      <c r="CR36" s="26" t="b">
        <f t="shared" si="272"/>
        <v>0</v>
      </c>
      <c r="CS36" s="26" t="b">
        <f t="shared" si="273"/>
        <v>0</v>
      </c>
      <c r="CT36" s="26" t="b">
        <f t="shared" si="274"/>
        <v>0</v>
      </c>
      <c r="CU36" s="26" t="b">
        <f t="shared" si="275"/>
        <v>0</v>
      </c>
      <c r="CV36" s="26" t="b">
        <f t="shared" si="276"/>
        <v>0</v>
      </c>
      <c r="CW36" s="26">
        <f t="shared" si="277"/>
        <v>0</v>
      </c>
      <c r="CX36" s="26">
        <f t="shared" si="278"/>
        <v>1.3979999999999999E-7</v>
      </c>
      <c r="CY36" s="26">
        <f t="shared" si="279"/>
        <v>1.0001199999999999</v>
      </c>
      <c r="CZ36" s="26">
        <f t="shared" si="280"/>
        <v>1.0000000000065512E-5</v>
      </c>
      <c r="DA36" s="26">
        <f t="shared" si="281"/>
        <v>8.6870000000569105E-6</v>
      </c>
      <c r="DB36" s="26">
        <f t="shared" si="282"/>
        <v>1.000121313</v>
      </c>
      <c r="DC36" s="26">
        <f t="shared" si="283"/>
        <v>8.6870000000072167E-6</v>
      </c>
      <c r="DD36" s="29">
        <f t="shared" si="284"/>
        <v>0</v>
      </c>
      <c r="DE36" s="26">
        <f t="shared" si="285"/>
        <v>0</v>
      </c>
      <c r="DF36" s="26">
        <f t="shared" si="286"/>
        <v>1.00013</v>
      </c>
      <c r="DG36" s="25"/>
      <c r="DH36" s="25"/>
      <c r="DI36" s="25"/>
      <c r="DJ36" s="25"/>
      <c r="DK36" s="25"/>
      <c r="DL36" s="35" t="e">
        <f>#REF!</f>
        <v>#REF!</v>
      </c>
      <c r="DM36" s="25"/>
      <c r="DN36" s="36" t="e">
        <f>#REF!</f>
        <v>#REF!</v>
      </c>
      <c r="DO36" s="25"/>
    </row>
    <row r="37" spans="1:119" ht="15.9" customHeight="1">
      <c r="A37" s="78" t="s">
        <v>52</v>
      </c>
      <c r="B37" s="32">
        <v>0</v>
      </c>
      <c r="C37" s="32">
        <v>0</v>
      </c>
      <c r="D37" s="44">
        <v>0</v>
      </c>
      <c r="E37" s="92">
        <v>0</v>
      </c>
      <c r="F37" s="85">
        <f t="shared" si="287"/>
        <v>0</v>
      </c>
      <c r="G37" s="86">
        <f t="shared" si="288"/>
        <v>0</v>
      </c>
      <c r="H37" s="85">
        <f t="shared" si="289"/>
        <v>-1.1000000000000001E-3</v>
      </c>
      <c r="I37" s="86">
        <f t="shared" si="290"/>
        <v>0</v>
      </c>
      <c r="J37" s="87">
        <f t="shared" si="291"/>
        <v>0</v>
      </c>
      <c r="K37" s="24">
        <f t="shared" ref="K37:K38" si="292">INT(E37*2+0.5)/2</f>
        <v>0</v>
      </c>
      <c r="L37" s="24">
        <f t="shared" ref="L37:L38" si="293">K37-60</f>
        <v>-60</v>
      </c>
      <c r="M37" s="24">
        <f t="shared" ref="M37:M38" si="294">INT(D37*2+0.5)/2</f>
        <v>0</v>
      </c>
      <c r="N37" s="24">
        <f t="shared" ref="N37:N38" si="295">ROUND((141360.198/(M37+131.5)),3)</f>
        <v>1074.982</v>
      </c>
      <c r="O37" s="24">
        <f t="shared" ref="O37:O38" si="296">ROUND((341.0957/N37^2)+(0/N37),8)</f>
        <v>2.9516999999999998E-4</v>
      </c>
      <c r="P37" s="24">
        <f t="shared" ref="P37:P38" si="297">ROUND(EXP(-O37*L37*(1+0.8*O37*L37)),4)</f>
        <v>1.0176000000000001</v>
      </c>
      <c r="Q37" s="25"/>
      <c r="R37" s="26">
        <f t="shared" ref="R37:R38" si="298">INT(E37*4+0.5)/4</f>
        <v>0</v>
      </c>
      <c r="S37" s="27">
        <f t="shared" ref="S37:S38" si="299">R37-15</f>
        <v>-15</v>
      </c>
      <c r="T37" s="27">
        <f t="shared" ref="T37:T38" si="300">ROUND((D37/2*1000),1)</f>
        <v>0</v>
      </c>
      <c r="U37" s="27">
        <f t="shared" ref="U37:U38" si="301">T37*2</f>
        <v>0</v>
      </c>
      <c r="V37" s="27" t="e">
        <f t="shared" ref="V37:V38" si="302">ROUND(ROUND(ROUND(613.9723/U37,9)/U37,11)+ROUND(0/U37,11),8)</f>
        <v>#DIV/0!</v>
      </c>
      <c r="W37" s="27" t="e">
        <f t="shared" ref="W37:W38" si="303">ROUND(EXP(ROUND(-V37*S37*(1+0.8*V37*S37),9)),4)</f>
        <v>#DIV/0!</v>
      </c>
      <c r="X37" s="28"/>
      <c r="Y37" s="27">
        <f t="shared" ref="Y37:Y38" si="304">INT(E37*2+0.5)/2</f>
        <v>0</v>
      </c>
      <c r="Z37" s="27">
        <f t="shared" ref="Z37:Z38" si="305">Y37-60</f>
        <v>-60</v>
      </c>
      <c r="AA37" s="27">
        <f t="shared" ref="AA37:AA38" si="306">INT(D37*2+0.5)/2</f>
        <v>0</v>
      </c>
      <c r="AB37" s="27">
        <f t="shared" ref="AB37:AB38" si="307">ROUND((141360.198/(D37+131.5)),8)</f>
        <v>1074.9824943000001</v>
      </c>
      <c r="AC37" s="27">
        <f t="shared" ref="AC37:AC38" si="308">IF(AB37&lt;=771,ROUND(((192.4571/AB37^2)+(0.2438/AB37)),8),IF(AB37&lt;=788.5,(1489.067/AB37^2)+(-0.0018684),IF(AB37&lt;=840,ROUND(((330.301/AB37^2)+(0/AB37)),8),IF(AB37&lt;=1076,ROUND(((103.872/AB37^2)+(0.2701/AB37)),8)))))</f>
        <v>3.4115000000000003E-4</v>
      </c>
      <c r="AD37" s="27">
        <f t="shared" ref="AD37:AD38" si="309">ROUND(EXP(-AC37*Z37*(1+0.8*AC37*Z37)),4)</f>
        <v>1.0203</v>
      </c>
      <c r="AE37" s="25"/>
      <c r="AF37" s="26">
        <f t="shared" ref="AF37:AF38" si="310">INT(E37*4+0.5)/4</f>
        <v>0</v>
      </c>
      <c r="AG37" s="27">
        <f t="shared" ref="AG37:AG38" si="311">AF37-15</f>
        <v>-15</v>
      </c>
      <c r="AH37" s="27">
        <f t="shared" ref="AH37:AH38" si="312">ROUND(((D37/2)*1000),1)</f>
        <v>0</v>
      </c>
      <c r="AI37" s="27">
        <f t="shared" ref="AI37:AI38" si="313">AH37*2</f>
        <v>0</v>
      </c>
      <c r="AJ37" s="27" t="e">
        <f t="shared" ref="AJ37:AJ38" si="314">IF(AI37&lt;=771,ROUND(((346.4228/(AI37^2))+(0.4388/AI37)),8),IF(AI37&lt;=787,(2680.3206/(AI37^2))+(-0.00336312),IF(AI37&lt;=838.5,ROUND(((594.5418/(AI37^2))+(0/AI37)),8),IF(AI37&lt;=1075,ROUND(((186.9696/(AI37^2))+(0.4862/AI37)),8)))))</f>
        <v>#DIV/0!</v>
      </c>
      <c r="AK37" s="27" t="e">
        <f t="shared" ref="AK37:AK38" si="315">ROUND(EXP(-AJ37*AG37*(1+0.8*AJ37*AG37)),4)</f>
        <v>#DIV/0!</v>
      </c>
      <c r="AL37" s="25"/>
      <c r="AM37" s="26">
        <f t="shared" ref="AM37:AM38" si="316">INT(E37*2+0.5)/2</f>
        <v>0</v>
      </c>
      <c r="AN37" s="27">
        <f t="shared" ref="AN37:AN38" si="317">AM37-60</f>
        <v>-60</v>
      </c>
      <c r="AO37" s="27">
        <f t="shared" ref="AO37:AO38" si="318">ROUND(((D37/2)*1000),1)</f>
        <v>0</v>
      </c>
      <c r="AP37" s="27">
        <f t="shared" ref="AP37:AP38" si="319">AO37*2</f>
        <v>0</v>
      </c>
      <c r="AQ37" s="27">
        <f t="shared" ref="AQ37:AQ38" si="320">ROUND((AP37*0.999012),3)</f>
        <v>0</v>
      </c>
      <c r="AR37" s="27" t="e">
        <f t="shared" ref="AR37:AR38" si="321">ROUND((341.0957/AQ37^2),8)</f>
        <v>#DIV/0!</v>
      </c>
      <c r="AS37" s="27" t="e">
        <f t="shared" ref="AS37:AS38" si="322">ROUND(EXP(-AR37*AN37*(1+0.8*AR37*AN37)),4)</f>
        <v>#DIV/0!</v>
      </c>
      <c r="AT37" s="25"/>
      <c r="AU37" s="26">
        <f t="shared" ref="AU37:AU38" si="323">INT(((D37/2)*1000)/1+0.5)*1</f>
        <v>0</v>
      </c>
      <c r="AV37" s="26">
        <f t="shared" ref="AV37:AV38" si="324">AU37*2</f>
        <v>0</v>
      </c>
      <c r="AW37" s="26">
        <f t="shared" ref="AW37:AW38" si="325">ROUND((AV37*0.999012),3)</f>
        <v>0</v>
      </c>
      <c r="AX37" s="26">
        <f t="shared" ref="AX37:AX38" si="326">INT(E37*2+0.5)/2</f>
        <v>0</v>
      </c>
      <c r="AY37" s="27">
        <f t="shared" ref="AY37:AY38" si="327">AX37-60</f>
        <v>-60</v>
      </c>
      <c r="AZ37" s="27" t="e">
        <f t="shared" ref="AZ37:AZ38" si="328">IF(AW37&lt;=771,ROUND(((192.4571/(AW37^2))+(0.2438/AW37)),8),IF(AW37&lt;=788.5,(1489.067/AW37^2)+(-0.0018684),IF(AW37&lt;=840,ROUND(((330.301/(AW37^2))+(0/AW37)),8),IF(AW37&lt;=1076,ROUND(((103.872/(AW37^2))+(0.2701/AW37)),8)))))</f>
        <v>#DIV/0!</v>
      </c>
      <c r="BA37" s="27" t="e">
        <f t="shared" ref="BA37:BA38" si="329">ROUND(EXP(-AZ37*AY37*(1+0.8*AZ37*AY37)),4)</f>
        <v>#DIV/0!</v>
      </c>
      <c r="BB37" s="25"/>
      <c r="BC37" s="26">
        <f t="shared" ref="BC37:BC38" si="330">INT(D37)</f>
        <v>0</v>
      </c>
      <c r="BD37" s="29">
        <f t="shared" ref="BD37:BD38" si="331">INT(E37)</f>
        <v>0</v>
      </c>
      <c r="BE37" s="29">
        <f t="shared" ref="BE37:BE38" si="332">BD37-60</f>
        <v>-60</v>
      </c>
      <c r="BF37" s="26" t="b">
        <f t="shared" ref="BF37:BF38" si="333">IF(AND(BC37&gt;82.9,BC37&lt;=89.6),-0.001077,IF(AND(BC37&gt;76.6,BC37&lt;=82.9),-0.001011,IF(AND(BC37&gt;70.6,BC37&lt;=76.6),-0.000977,IF(AND(BC37&gt;57.2,BC37&lt;=70.6),-0.001005,IF(AND(BC37&gt;52.3,BC37&lt;57.2),-0.001238,IF(AND(BC37&gt;47.6,BC37&lt;=52.3),-0.001084,IF(AND(BC37&gt;43.2,BC37&lt;=47.6),-0.000965)))))))</f>
        <v>0</v>
      </c>
      <c r="BG37" s="26" t="b">
        <f t="shared" ref="BG37:BG38" si="334">IF(AND(BC37&gt;39,BC37&lt;=43.2),-0.000843,IF(AND(BC37&gt;35,BC37&lt;=39),-0.000719,IF(AND(BC37&gt;30.2,BC37&lt;=35),-0.000617,IF(AND(BC37&gt;25.7,BC37&lt;=30.2),-0.000512,IF(AND(BC37&gt;10,BC37&lt;25.7),-0.0003948)))))</f>
        <v>0</v>
      </c>
      <c r="BH37" s="26" t="b">
        <f t="shared" ref="BH37:BH38" si="335">IF(BF37=FALSE,BG37,BF37)</f>
        <v>0</v>
      </c>
      <c r="BI37" s="26" t="b">
        <f t="shared" ref="BI37:BI38" si="336">IF(AND(BC37&gt;82.9,BC37&lt;=89.6),0.00085,IF(AND(BC37&gt;76.6,BC37&lt;=82.9),0.00075,IF(AND(BC37&gt;70.6,BC37&lt;=76.6),0.0007,IF(AND(BC37&gt;57.2,BC37&lt;=70.6),0.00074,IF(AND(BC37&gt;52.3,BC37&lt;57.2),0.00105,IF(AND(BC37&gt;47.6,BC37&lt;=52.3),0.00085,IF(AND(BC37&gt;43.2,BC37&lt;=47.6),0.0007)))))))</f>
        <v>0</v>
      </c>
      <c r="BJ37" s="26" t="b">
        <f t="shared" ref="BJ37:BJ38" si="337">IF(AND(BC37&gt;39,BC37&lt;=43.2),0.00055,IF(AND(BC37&gt;35,BC37&lt;=39),0.0004,IF(AND(BC37&gt;30.2,BC37&lt;=35),0.00028,IF(AND(BC37&gt;25.7,BC37&lt;=30.2),0.00016,IF(AND(BC37&gt;10,BC37&lt;25.7),0.00003)))))</f>
        <v>0</v>
      </c>
      <c r="BK37" s="26" t="b">
        <f t="shared" ref="BK37:BK38" si="338">IF(BI37=FALSE,BJ37,BI37)</f>
        <v>0</v>
      </c>
      <c r="BL37" s="26">
        <f t="shared" ref="BL37:BL38" si="339">ROUND((0.9293286219*BH37+BK37+BH37/141.5*BC37),8)</f>
        <v>0</v>
      </c>
      <c r="BM37" s="26">
        <f t="shared" ref="BM37:BM38" si="340">ROUND((0.9293286*(-0.00000049)+0.0000006+(-0.00000049)/141.5*BC37),10)</f>
        <v>1.4460000000000001E-7</v>
      </c>
      <c r="BN37" s="26">
        <f t="shared" ref="BN37:BN38" si="341">ROUND((1+(BL37*BE37)+(BM37*BE37^2)),5)</f>
        <v>1.0005200000000001</v>
      </c>
      <c r="BO37" s="26">
        <f t="shared" ref="BO37:BO38" si="342">ROUND((D37+0.5),1)</f>
        <v>0.5</v>
      </c>
      <c r="BP37" s="26" t="b">
        <f t="shared" ref="BP37:BP38" si="343">IF(AND(BO37&gt;82.9,BO37&lt;=89.6),-0.001077,IF(AND(BO37&gt;76.6,BO37&lt;=82.9),-0.001011,IF(AND(BO37&gt;70.6,BO37&lt;=76.6),-0.000977,IF(AND(BO37&gt;57.2,BO37&lt;=70.6),-0.001005,IF(AND(BO37&gt;52.3,BO37&lt;57.2),-0.001238,IF(AND(BO37&gt;47.6,BO37&lt;=52.3),-0.001084,IF(AND(BO37&gt;43.2,BO37&lt;=47.6),-0.000965)))))))</f>
        <v>0</v>
      </c>
      <c r="BQ37" s="26" t="b">
        <f t="shared" ref="BQ37:BQ38" si="344">IF(AND(BO37&gt;39,BO37&lt;=43.2),-0.000843,IF(AND(BO37&gt;35,BO37&lt;=39),-0.000719,IF(AND(BO37&gt;30.2,BO37&lt;=35),-0.000617,IF(AND(BO37&gt;25.7,BO37&lt;=30.2),-0.000512,IF(AND(BO37&gt;10,BO37&lt;25.7),-0.0003948)))))</f>
        <v>0</v>
      </c>
      <c r="BR37" s="26" t="b">
        <f t="shared" ref="BR37:BR38" si="345">IF(BP37=FALSE,BQ37,BP37)</f>
        <v>0</v>
      </c>
      <c r="BS37" s="26" t="b">
        <f t="shared" ref="BS37:BS38" si="346">IF(AND(BO37&gt;82.9,BO37&lt;=89.6),0.00085,IF(AND(BO37&gt;76.6,BO37&lt;=82.9),0.00075,IF(AND(BO37&gt;70.6,BO37&lt;=76.6),0.0007,IF(AND(BO37&gt;57.2,BO37&lt;=70.6),0.00074,IF(AND(BO37&gt;52.3,BO37&lt;57.2),0.00105,IF(AND(BO37&gt;47.6,BO37&lt;=52.3),0.00085,IF(AND(BO37&gt;43.2,BO37&lt;=47.6),0.0007)))))))</f>
        <v>0</v>
      </c>
      <c r="BT37" s="26" t="b">
        <f t="shared" ref="BT37:BT38" si="347">IF(AND(BO37&gt;39,BO37&lt;=43.2),0.00055,IF(AND(BO37&gt;35,BO37&lt;=39),0.0004,IF(AND(BO37&gt;30.2,BO37&lt;=35),0.00028,IF(AND(BO37&gt;25.7,BO37&lt;=30.2),0.00016,IF(AND(BO37&gt;10,BO37&lt;25.7),0.00003)))))</f>
        <v>0</v>
      </c>
      <c r="BU37" s="26" t="b">
        <f t="shared" ref="BU37:BU38" si="348">IF(BS37=FALSE,BT37,BS37)</f>
        <v>0</v>
      </c>
      <c r="BV37" s="26">
        <f t="shared" ref="BV37:BV38" si="349">ROUND((0.9293286219*BR37+BU37+BR37/141.5*BO37),8)</f>
        <v>0</v>
      </c>
      <c r="BW37" s="26">
        <f t="shared" ref="BW37:BW38" si="350">ROUND((0.9293286*(-0.00000049)+0.0000006+(-0.00000049)/141.5*BO37),10)</f>
        <v>1.4289999999999999E-7</v>
      </c>
      <c r="BX37" s="26">
        <f t="shared" ref="BX37:BX38" si="351">ROUND((1+(BV37*BE37)+(BW37*BE37^2)),5)</f>
        <v>1.00051</v>
      </c>
      <c r="BY37" s="26">
        <f t="shared" ref="BY37:BY38" si="352">BN37-BX37</f>
        <v>1.0000000000065512E-5</v>
      </c>
      <c r="BZ37" s="26">
        <f t="shared" ref="BZ37:BZ38" si="353">(D37-(INT(D37)))*BY37</f>
        <v>0</v>
      </c>
      <c r="CA37" s="26">
        <f t="shared" ref="CA37:CA38" si="354">BN37-BZ37</f>
        <v>1.0005200000000001</v>
      </c>
      <c r="CB37" s="29">
        <f t="shared" ref="CB37:CB38" si="355">ROUND((E37+0.5),1)</f>
        <v>0.5</v>
      </c>
      <c r="CC37" s="26">
        <f t="shared" ref="CC37:CC38" si="356">INT(D37)</f>
        <v>0</v>
      </c>
      <c r="CD37" s="29">
        <f t="shared" ref="CD37:CD38" si="357">CB37-60</f>
        <v>-59.5</v>
      </c>
      <c r="CE37" s="26" t="b">
        <f t="shared" ref="CE37:CE38" si="358">IF(AND(CC37&gt;82.9,CC37&lt;=89.6),-0.001077,IF(AND(CC37&gt;76.6,CC37&lt;=82.9),-0.001011,IF(AND(CC37&gt;70.6,CC37&lt;=76.6),-0.000977,IF(AND(CC37&gt;57.2,CC37&lt;=70.6),-0.001005,IF(AND(CC37&gt;52.3,CC37&lt;57.2),-0.001238,IF(AND(CC37&gt;47.6,CC37&lt;=52.3),-0.001084,IF(AND(CC37&gt;43.2,CC37&lt;=47.6),-0.000965)))))))</f>
        <v>0</v>
      </c>
      <c r="CF37" s="26" t="b">
        <f t="shared" ref="CF37:CF38" si="359">IF(AND(CC37&gt;39,CC37&lt;=43.2),-0.000843,IF(AND(CC37&gt;35,CC37&lt;=39),-0.000719,IF(AND(CC37&gt;30.2,CC37&lt;=35),-0.000617,IF(AND(CC37&gt;25.7,CC37&lt;=30.2),-0.000512,IF(AND(CC37&gt;10,CC37&lt;25.7),-0.0003948)))))</f>
        <v>0</v>
      </c>
      <c r="CG37" s="26" t="b">
        <f t="shared" ref="CG37:CG38" si="360">IF(CE37=FALSE,CF37,CE37)</f>
        <v>0</v>
      </c>
      <c r="CH37" s="26" t="b">
        <f t="shared" ref="CH37:CH38" si="361">IF(AND(CC37&gt;82.9,CC37&lt;=89.6),0.00085,IF(AND(CC37&gt;76.6,CC37&lt;=82.9),0.00075,IF(AND(CC37&gt;70.6,CC37&lt;=76.6),0.0007,IF(AND(CC37&gt;57.2,CC37&lt;=70.6),0.00074,IF(AND(CC37&gt;52.3,CC37&lt;57.2),0.00105,IF(AND(CC37&gt;47.6,CC37&lt;=52.3),0.00085,IF(AND(CC37&gt;43.2,CC37&lt;=47.6),0.0007)))))))</f>
        <v>0</v>
      </c>
      <c r="CI37" s="26" t="b">
        <f t="shared" ref="CI37:CI38" si="362">IF(AND(CC37&gt;39,CC37&lt;=43.2),0.00055,IF(AND(CC37&gt;35,CC37&lt;=39),0.0004,IF(AND(CC37&gt;30.2,CC37&lt;=35),0.00028,IF(AND(CC37&gt;25.7,CC37&lt;=30.2),0.00016,IF(AND(CC37&gt;10,CC37&lt;25.7),0.00003)))))</f>
        <v>0</v>
      </c>
      <c r="CJ37" s="26" t="b">
        <f t="shared" ref="CJ37:CJ38" si="363">IF(CH37=FALSE,CI37,CH37)</f>
        <v>0</v>
      </c>
      <c r="CK37" s="26">
        <f t="shared" ref="CK37:CK38" si="364">ROUND((0.9293286219*CG37+CJ37+CG37/141.5*CC37),8)</f>
        <v>0</v>
      </c>
      <c r="CL37" s="26">
        <f t="shared" ref="CL37:CL38" si="365">ROUND((0.9293286*(-0.00000049)+0.0000006+(-0.00000049)/141.5*CC37),10)</f>
        <v>1.4460000000000001E-7</v>
      </c>
      <c r="CM37" s="26">
        <f t="shared" ref="CM37:CM38" si="366">ROUND((1+(CK37*CD37)+(CL37*CD37^2)),5)</f>
        <v>1.00051</v>
      </c>
      <c r="CN37" s="26">
        <f t="shared" ref="CN37:CN38" si="367">ROUND((D37+0.5),1)</f>
        <v>0.5</v>
      </c>
      <c r="CO37" s="29">
        <f t="shared" ref="CO37:CO38" si="368">ROUND((E37+0.5),1)</f>
        <v>0.5</v>
      </c>
      <c r="CP37" s="29">
        <f t="shared" ref="CP37:CP38" si="369">CO37-60</f>
        <v>-59.5</v>
      </c>
      <c r="CQ37" s="26" t="b">
        <f t="shared" ref="CQ37:CQ38" si="370">IF(AND(CN37&gt;82.9,CN37&lt;=89.6),-0.001077,IF(AND(CN37&gt;76.6,CN37&lt;=82.9),-0.001011,IF(AND(CN37&gt;70.6,CN37&lt;=76.6),-0.000977,IF(AND(CN37&gt;57.2,CN37&lt;=70.6),-0.001005,IF(AND(CN37&gt;52.3,CN37&lt;57.2),-0.001238,IF(AND(CN37&gt;47.6,CN37&lt;=52.3),-0.001084,IF(AND(CN37&gt;43.2,CN37&lt;=47.6),-0.000965)))))))</f>
        <v>0</v>
      </c>
      <c r="CR37" s="26" t="b">
        <f t="shared" ref="CR37:CR38" si="371">IF(AND(CN37&gt;39,CN37&lt;=43.2),-0.000843,IF(AND(CN37&gt;35,CN37&lt;=39),-0.000719,IF(AND(CN37&gt;30.2,CN37&lt;=35),-0.000617,IF(AND(CN37&gt;25.7,CN37&lt;=30.2),-0.000512,IF(AND(CN37&gt;10,CN37&lt;25.7),-0.0003948)))))</f>
        <v>0</v>
      </c>
      <c r="CS37" s="26" t="b">
        <f t="shared" ref="CS37:CS38" si="372">IF(CQ37=FALSE,CR37,CQ37)</f>
        <v>0</v>
      </c>
      <c r="CT37" s="26" t="b">
        <f t="shared" ref="CT37:CT38" si="373">IF(AND(CN37&gt;82.9,CN37&lt;=89.6),0.00085,IF(AND(CN37&gt;76.6,CN37&lt;=82.9),0.00075,IF(AND(CN37&gt;70.6,CN37&lt;=76.6),0.0007,IF(AND(CN37&gt;57.2,CN37&lt;=70.6),0.00074,IF(AND(CN37&gt;52.3,CN37&lt;57.2),0.00105,IF(AND(CN37&gt;47.6,CN37&lt;=52.3),0.00085,IF(AND(CN37&gt;43.2,CN37&lt;=47.6),0.0007)))))))</f>
        <v>0</v>
      </c>
      <c r="CU37" s="26" t="b">
        <f t="shared" ref="CU37:CU38" si="374">IF(AND(CN37&gt;39,CN37&lt;=43.2),0.00055,IF(AND(CN37&gt;35,CN37&lt;=39),0.0004,IF(AND(CN37&gt;30.2,CN37&lt;=35),0.00028,IF(AND(CN37&gt;25.7,CN37&lt;=30.2),0.00016,IF(AND(CN37&gt;10,CN37&lt;25.7),0.00003)))))</f>
        <v>0</v>
      </c>
      <c r="CV37" s="26" t="b">
        <f t="shared" ref="CV37:CV38" si="375">IF(CT37=FALSE,CU37,CT37)</f>
        <v>0</v>
      </c>
      <c r="CW37" s="26">
        <f t="shared" ref="CW37:CW38" si="376">ROUND((0.9293286219*CS37+CV37+CS37/141.5*CN37),8)</f>
        <v>0</v>
      </c>
      <c r="CX37" s="26">
        <f t="shared" ref="CX37:CX38" si="377">ROUND((0.9293286*(-0.00000049)+0.0000006+(-0.00000049)/141.5*CN37),10)</f>
        <v>1.4289999999999999E-7</v>
      </c>
      <c r="CY37" s="26">
        <f t="shared" ref="CY37:CY38" si="378">ROUND((1+(CW37*CP37)+(CX37*CP37^2)),5)</f>
        <v>1.00051</v>
      </c>
      <c r="CZ37" s="26">
        <f t="shared" ref="CZ37:CZ38" si="379">CM37-CY37</f>
        <v>0</v>
      </c>
      <c r="DA37" s="26">
        <f t="shared" ref="DA37:DA38" si="380">(D37-INT(D37))*CZ37</f>
        <v>0</v>
      </c>
      <c r="DB37" s="26">
        <f t="shared" ref="DB37:DB38" si="381">CM37-DA37</f>
        <v>1.00051</v>
      </c>
      <c r="DC37" s="26">
        <f t="shared" ref="DC37:DC38" si="382">CA37-DB37</f>
        <v>1.0000000000065512E-5</v>
      </c>
      <c r="DD37" s="29">
        <f t="shared" ref="DD37:DD38" si="383">E37-(INT(E37))</f>
        <v>0</v>
      </c>
      <c r="DE37" s="26">
        <f t="shared" ref="DE37:DE38" si="384">DC37*DD37</f>
        <v>0</v>
      </c>
      <c r="DF37" s="26">
        <f t="shared" ref="DF37:DF38" si="385">ROUND((CA37-DE37),5)</f>
        <v>1.0005200000000001</v>
      </c>
      <c r="DG37" s="25"/>
      <c r="DH37" s="25"/>
      <c r="DI37" s="25"/>
      <c r="DJ37" s="25"/>
      <c r="DK37" s="25"/>
      <c r="DL37" s="35"/>
      <c r="DM37" s="25"/>
      <c r="DN37" s="36"/>
      <c r="DO37" s="25"/>
    </row>
    <row r="38" spans="1:119" ht="15.9" customHeight="1">
      <c r="A38" s="78"/>
      <c r="B38" s="80"/>
      <c r="C38" s="80"/>
      <c r="D38" s="81"/>
      <c r="E38" s="93"/>
      <c r="F38" s="85">
        <f t="shared" si="287"/>
        <v>0</v>
      </c>
      <c r="G38" s="86">
        <f t="shared" si="288"/>
        <v>0</v>
      </c>
      <c r="H38" s="85">
        <f t="shared" si="289"/>
        <v>-1.1000000000000001E-3</v>
      </c>
      <c r="I38" s="86">
        <f t="shared" si="290"/>
        <v>0</v>
      </c>
      <c r="J38" s="87">
        <f t="shared" si="291"/>
        <v>0</v>
      </c>
      <c r="K38" s="24">
        <f t="shared" si="292"/>
        <v>0</v>
      </c>
      <c r="L38" s="24">
        <f t="shared" si="293"/>
        <v>-60</v>
      </c>
      <c r="M38" s="24">
        <f t="shared" si="294"/>
        <v>0</v>
      </c>
      <c r="N38" s="24">
        <f t="shared" si="295"/>
        <v>1074.982</v>
      </c>
      <c r="O38" s="24">
        <f t="shared" si="296"/>
        <v>2.9516999999999998E-4</v>
      </c>
      <c r="P38" s="24">
        <f t="shared" si="297"/>
        <v>1.0176000000000001</v>
      </c>
      <c r="Q38" s="25"/>
      <c r="R38" s="26">
        <f t="shared" si="298"/>
        <v>0</v>
      </c>
      <c r="S38" s="27">
        <f t="shared" si="299"/>
        <v>-15</v>
      </c>
      <c r="T38" s="27">
        <f t="shared" si="300"/>
        <v>0</v>
      </c>
      <c r="U38" s="27">
        <f t="shared" si="301"/>
        <v>0</v>
      </c>
      <c r="V38" s="27" t="e">
        <f t="shared" si="302"/>
        <v>#DIV/0!</v>
      </c>
      <c r="W38" s="27" t="e">
        <f t="shared" si="303"/>
        <v>#DIV/0!</v>
      </c>
      <c r="X38" s="28"/>
      <c r="Y38" s="27">
        <f t="shared" si="304"/>
        <v>0</v>
      </c>
      <c r="Z38" s="27">
        <f t="shared" si="305"/>
        <v>-60</v>
      </c>
      <c r="AA38" s="27">
        <f t="shared" si="306"/>
        <v>0</v>
      </c>
      <c r="AB38" s="27">
        <f t="shared" si="307"/>
        <v>1074.9824943000001</v>
      </c>
      <c r="AC38" s="27">
        <f t="shared" si="308"/>
        <v>3.4115000000000003E-4</v>
      </c>
      <c r="AD38" s="27">
        <f t="shared" si="309"/>
        <v>1.0203</v>
      </c>
      <c r="AE38" s="25"/>
      <c r="AF38" s="26">
        <f t="shared" si="310"/>
        <v>0</v>
      </c>
      <c r="AG38" s="27">
        <f t="shared" si="311"/>
        <v>-15</v>
      </c>
      <c r="AH38" s="27">
        <f t="shared" si="312"/>
        <v>0</v>
      </c>
      <c r="AI38" s="27">
        <f t="shared" si="313"/>
        <v>0</v>
      </c>
      <c r="AJ38" s="27" t="e">
        <f t="shared" si="314"/>
        <v>#DIV/0!</v>
      </c>
      <c r="AK38" s="27" t="e">
        <f t="shared" si="315"/>
        <v>#DIV/0!</v>
      </c>
      <c r="AL38" s="25"/>
      <c r="AM38" s="26">
        <f t="shared" si="316"/>
        <v>0</v>
      </c>
      <c r="AN38" s="27">
        <f t="shared" si="317"/>
        <v>-60</v>
      </c>
      <c r="AO38" s="27">
        <f t="shared" si="318"/>
        <v>0</v>
      </c>
      <c r="AP38" s="27">
        <f t="shared" si="319"/>
        <v>0</v>
      </c>
      <c r="AQ38" s="27">
        <f t="shared" si="320"/>
        <v>0</v>
      </c>
      <c r="AR38" s="27" t="e">
        <f t="shared" si="321"/>
        <v>#DIV/0!</v>
      </c>
      <c r="AS38" s="27" t="e">
        <f t="shared" si="322"/>
        <v>#DIV/0!</v>
      </c>
      <c r="AT38" s="25"/>
      <c r="AU38" s="26">
        <f t="shared" si="323"/>
        <v>0</v>
      </c>
      <c r="AV38" s="26">
        <f t="shared" si="324"/>
        <v>0</v>
      </c>
      <c r="AW38" s="26">
        <f t="shared" si="325"/>
        <v>0</v>
      </c>
      <c r="AX38" s="26">
        <f t="shared" si="326"/>
        <v>0</v>
      </c>
      <c r="AY38" s="27">
        <f t="shared" si="327"/>
        <v>-60</v>
      </c>
      <c r="AZ38" s="27" t="e">
        <f t="shared" si="328"/>
        <v>#DIV/0!</v>
      </c>
      <c r="BA38" s="27" t="e">
        <f t="shared" si="329"/>
        <v>#DIV/0!</v>
      </c>
      <c r="BB38" s="25"/>
      <c r="BC38" s="26">
        <f t="shared" si="330"/>
        <v>0</v>
      </c>
      <c r="BD38" s="29">
        <f t="shared" si="331"/>
        <v>0</v>
      </c>
      <c r="BE38" s="29">
        <f t="shared" si="332"/>
        <v>-60</v>
      </c>
      <c r="BF38" s="26" t="b">
        <f t="shared" si="333"/>
        <v>0</v>
      </c>
      <c r="BG38" s="26" t="b">
        <f t="shared" si="334"/>
        <v>0</v>
      </c>
      <c r="BH38" s="26" t="b">
        <f t="shared" si="335"/>
        <v>0</v>
      </c>
      <c r="BI38" s="26" t="b">
        <f t="shared" si="336"/>
        <v>0</v>
      </c>
      <c r="BJ38" s="26" t="b">
        <f t="shared" si="337"/>
        <v>0</v>
      </c>
      <c r="BK38" s="26" t="b">
        <f t="shared" si="338"/>
        <v>0</v>
      </c>
      <c r="BL38" s="26">
        <f t="shared" si="339"/>
        <v>0</v>
      </c>
      <c r="BM38" s="26">
        <f t="shared" si="340"/>
        <v>1.4460000000000001E-7</v>
      </c>
      <c r="BN38" s="26">
        <f t="shared" si="341"/>
        <v>1.0005200000000001</v>
      </c>
      <c r="BO38" s="26">
        <f t="shared" si="342"/>
        <v>0.5</v>
      </c>
      <c r="BP38" s="26" t="b">
        <f t="shared" si="343"/>
        <v>0</v>
      </c>
      <c r="BQ38" s="26" t="b">
        <f t="shared" si="344"/>
        <v>0</v>
      </c>
      <c r="BR38" s="26" t="b">
        <f t="shared" si="345"/>
        <v>0</v>
      </c>
      <c r="BS38" s="26" t="b">
        <f t="shared" si="346"/>
        <v>0</v>
      </c>
      <c r="BT38" s="26" t="b">
        <f t="shared" si="347"/>
        <v>0</v>
      </c>
      <c r="BU38" s="26" t="b">
        <f t="shared" si="348"/>
        <v>0</v>
      </c>
      <c r="BV38" s="26">
        <f t="shared" si="349"/>
        <v>0</v>
      </c>
      <c r="BW38" s="26">
        <f t="shared" si="350"/>
        <v>1.4289999999999999E-7</v>
      </c>
      <c r="BX38" s="26">
        <f t="shared" si="351"/>
        <v>1.00051</v>
      </c>
      <c r="BY38" s="26">
        <f t="shared" si="352"/>
        <v>1.0000000000065512E-5</v>
      </c>
      <c r="BZ38" s="26">
        <f t="shared" si="353"/>
        <v>0</v>
      </c>
      <c r="CA38" s="26">
        <f t="shared" si="354"/>
        <v>1.0005200000000001</v>
      </c>
      <c r="CB38" s="29">
        <f t="shared" si="355"/>
        <v>0.5</v>
      </c>
      <c r="CC38" s="26">
        <f t="shared" si="356"/>
        <v>0</v>
      </c>
      <c r="CD38" s="29">
        <f t="shared" si="357"/>
        <v>-59.5</v>
      </c>
      <c r="CE38" s="26" t="b">
        <f t="shared" si="358"/>
        <v>0</v>
      </c>
      <c r="CF38" s="26" t="b">
        <f t="shared" si="359"/>
        <v>0</v>
      </c>
      <c r="CG38" s="26" t="b">
        <f t="shared" si="360"/>
        <v>0</v>
      </c>
      <c r="CH38" s="26" t="b">
        <f t="shared" si="361"/>
        <v>0</v>
      </c>
      <c r="CI38" s="26" t="b">
        <f t="shared" si="362"/>
        <v>0</v>
      </c>
      <c r="CJ38" s="26" t="b">
        <f t="shared" si="363"/>
        <v>0</v>
      </c>
      <c r="CK38" s="26">
        <f t="shared" si="364"/>
        <v>0</v>
      </c>
      <c r="CL38" s="26">
        <f t="shared" si="365"/>
        <v>1.4460000000000001E-7</v>
      </c>
      <c r="CM38" s="26">
        <f t="shared" si="366"/>
        <v>1.00051</v>
      </c>
      <c r="CN38" s="26">
        <f t="shared" si="367"/>
        <v>0.5</v>
      </c>
      <c r="CO38" s="29">
        <f t="shared" si="368"/>
        <v>0.5</v>
      </c>
      <c r="CP38" s="29">
        <f t="shared" si="369"/>
        <v>-59.5</v>
      </c>
      <c r="CQ38" s="26" t="b">
        <f t="shared" si="370"/>
        <v>0</v>
      </c>
      <c r="CR38" s="26" t="b">
        <f t="shared" si="371"/>
        <v>0</v>
      </c>
      <c r="CS38" s="26" t="b">
        <f t="shared" si="372"/>
        <v>0</v>
      </c>
      <c r="CT38" s="26" t="b">
        <f t="shared" si="373"/>
        <v>0</v>
      </c>
      <c r="CU38" s="26" t="b">
        <f t="shared" si="374"/>
        <v>0</v>
      </c>
      <c r="CV38" s="26" t="b">
        <f t="shared" si="375"/>
        <v>0</v>
      </c>
      <c r="CW38" s="26">
        <f t="shared" si="376"/>
        <v>0</v>
      </c>
      <c r="CX38" s="26">
        <f t="shared" si="377"/>
        <v>1.4289999999999999E-7</v>
      </c>
      <c r="CY38" s="26">
        <f t="shared" si="378"/>
        <v>1.00051</v>
      </c>
      <c r="CZ38" s="26">
        <f t="shared" si="379"/>
        <v>0</v>
      </c>
      <c r="DA38" s="26">
        <f t="shared" si="380"/>
        <v>0</v>
      </c>
      <c r="DB38" s="26">
        <f t="shared" si="381"/>
        <v>1.00051</v>
      </c>
      <c r="DC38" s="26">
        <f t="shared" si="382"/>
        <v>1.0000000000065512E-5</v>
      </c>
      <c r="DD38" s="29">
        <f t="shared" si="383"/>
        <v>0</v>
      </c>
      <c r="DE38" s="26">
        <f t="shared" si="384"/>
        <v>0</v>
      </c>
      <c r="DF38" s="26">
        <f t="shared" si="385"/>
        <v>1.0005200000000001</v>
      </c>
      <c r="DG38" s="25"/>
      <c r="DH38" s="25"/>
      <c r="DI38" s="25"/>
      <c r="DJ38" s="25"/>
      <c r="DK38" s="25"/>
      <c r="DL38" s="35"/>
      <c r="DM38" s="25"/>
      <c r="DN38" s="36"/>
      <c r="DO38" s="25"/>
    </row>
    <row r="39" spans="1:119" ht="15.9" customHeight="1" thickBot="1">
      <c r="A39" s="72"/>
      <c r="B39" s="73"/>
      <c r="C39" s="79"/>
      <c r="D39" s="79"/>
      <c r="E39" s="94"/>
      <c r="F39" s="91">
        <f t="shared" si="287"/>
        <v>0</v>
      </c>
      <c r="G39" s="95">
        <f t="shared" si="288"/>
        <v>0</v>
      </c>
      <c r="H39" s="91">
        <f t="shared" si="289"/>
        <v>-1.1000000000000001E-3</v>
      </c>
      <c r="I39" s="95">
        <f t="shared" si="290"/>
        <v>0</v>
      </c>
      <c r="J39" s="96">
        <f t="shared" si="291"/>
        <v>0</v>
      </c>
      <c r="K39" s="24">
        <f t="shared" si="195"/>
        <v>0</v>
      </c>
      <c r="L39" s="24">
        <f t="shared" si="196"/>
        <v>-60</v>
      </c>
      <c r="M39" s="24">
        <f t="shared" si="197"/>
        <v>0</v>
      </c>
      <c r="N39" s="24">
        <f t="shared" si="198"/>
        <v>1074.982</v>
      </c>
      <c r="O39" s="24">
        <f t="shared" si="199"/>
        <v>2.9516999999999998E-4</v>
      </c>
      <c r="P39" s="24">
        <f t="shared" si="200"/>
        <v>1.0176000000000001</v>
      </c>
      <c r="Q39" s="25"/>
      <c r="R39" s="26">
        <f t="shared" si="201"/>
        <v>0</v>
      </c>
      <c r="S39" s="27">
        <f t="shared" si="202"/>
        <v>-15</v>
      </c>
      <c r="T39" s="27">
        <f t="shared" si="203"/>
        <v>0</v>
      </c>
      <c r="U39" s="27">
        <f t="shared" si="204"/>
        <v>0</v>
      </c>
      <c r="V39" s="27" t="e">
        <f t="shared" si="205"/>
        <v>#DIV/0!</v>
      </c>
      <c r="W39" s="27" t="e">
        <f t="shared" si="206"/>
        <v>#DIV/0!</v>
      </c>
      <c r="X39" s="28"/>
      <c r="Y39" s="27">
        <f t="shared" si="207"/>
        <v>0</v>
      </c>
      <c r="Z39" s="27">
        <f t="shared" si="208"/>
        <v>-60</v>
      </c>
      <c r="AA39" s="27">
        <f t="shared" si="209"/>
        <v>0</v>
      </c>
      <c r="AB39" s="27">
        <f t="shared" si="210"/>
        <v>1074.9824943000001</v>
      </c>
      <c r="AC39" s="27">
        <f t="shared" si="211"/>
        <v>3.4115000000000003E-4</v>
      </c>
      <c r="AD39" s="27">
        <f t="shared" si="212"/>
        <v>1.0203</v>
      </c>
      <c r="AE39" s="25"/>
      <c r="AF39" s="26">
        <f t="shared" si="213"/>
        <v>0</v>
      </c>
      <c r="AG39" s="27">
        <f t="shared" si="214"/>
        <v>-15</v>
      </c>
      <c r="AH39" s="27">
        <f t="shared" si="215"/>
        <v>0</v>
      </c>
      <c r="AI39" s="27">
        <f t="shared" si="216"/>
        <v>0</v>
      </c>
      <c r="AJ39" s="27" t="e">
        <f t="shared" si="217"/>
        <v>#DIV/0!</v>
      </c>
      <c r="AK39" s="27" t="e">
        <f t="shared" si="218"/>
        <v>#DIV/0!</v>
      </c>
      <c r="AL39" s="25"/>
      <c r="AM39" s="26">
        <f t="shared" si="219"/>
        <v>0</v>
      </c>
      <c r="AN39" s="27">
        <f t="shared" si="220"/>
        <v>-60</v>
      </c>
      <c r="AO39" s="27">
        <f t="shared" si="221"/>
        <v>0</v>
      </c>
      <c r="AP39" s="27">
        <f t="shared" si="222"/>
        <v>0</v>
      </c>
      <c r="AQ39" s="27">
        <f t="shared" si="223"/>
        <v>0</v>
      </c>
      <c r="AR39" s="27" t="e">
        <f t="shared" si="224"/>
        <v>#DIV/0!</v>
      </c>
      <c r="AS39" s="27" t="e">
        <f t="shared" si="225"/>
        <v>#DIV/0!</v>
      </c>
      <c r="AT39" s="25"/>
      <c r="AU39" s="26">
        <f t="shared" si="226"/>
        <v>0</v>
      </c>
      <c r="AV39" s="26">
        <f t="shared" si="227"/>
        <v>0</v>
      </c>
      <c r="AW39" s="26">
        <f t="shared" si="228"/>
        <v>0</v>
      </c>
      <c r="AX39" s="26">
        <f t="shared" si="229"/>
        <v>0</v>
      </c>
      <c r="AY39" s="27">
        <f t="shared" si="230"/>
        <v>-60</v>
      </c>
      <c r="AZ39" s="27" t="e">
        <f t="shared" si="231"/>
        <v>#DIV/0!</v>
      </c>
      <c r="BA39" s="27" t="e">
        <f t="shared" si="232"/>
        <v>#DIV/0!</v>
      </c>
      <c r="BB39" s="25"/>
      <c r="BC39" s="26">
        <f t="shared" si="233"/>
        <v>0</v>
      </c>
      <c r="BD39" s="29">
        <f t="shared" si="233"/>
        <v>0</v>
      </c>
      <c r="BE39" s="29">
        <f t="shared" si="234"/>
        <v>-60</v>
      </c>
      <c r="BF39" s="26" t="b">
        <f t="shared" si="235"/>
        <v>0</v>
      </c>
      <c r="BG39" s="26" t="b">
        <f t="shared" si="236"/>
        <v>0</v>
      </c>
      <c r="BH39" s="26" t="b">
        <f t="shared" si="237"/>
        <v>0</v>
      </c>
      <c r="BI39" s="26" t="b">
        <f t="shared" si="238"/>
        <v>0</v>
      </c>
      <c r="BJ39" s="26" t="b">
        <f t="shared" si="239"/>
        <v>0</v>
      </c>
      <c r="BK39" s="26" t="b">
        <f t="shared" si="240"/>
        <v>0</v>
      </c>
      <c r="BL39" s="26">
        <f t="shared" si="241"/>
        <v>0</v>
      </c>
      <c r="BM39" s="26">
        <f t="shared" si="242"/>
        <v>1.4460000000000001E-7</v>
      </c>
      <c r="BN39" s="26">
        <f t="shared" si="243"/>
        <v>1.0005200000000001</v>
      </c>
      <c r="BO39" s="26">
        <f t="shared" si="244"/>
        <v>0.5</v>
      </c>
      <c r="BP39" s="26" t="b">
        <f t="shared" si="245"/>
        <v>0</v>
      </c>
      <c r="BQ39" s="26" t="b">
        <f t="shared" si="246"/>
        <v>0</v>
      </c>
      <c r="BR39" s="26" t="b">
        <f t="shared" si="247"/>
        <v>0</v>
      </c>
      <c r="BS39" s="26" t="b">
        <f t="shared" si="248"/>
        <v>0</v>
      </c>
      <c r="BT39" s="26" t="b">
        <f t="shared" si="249"/>
        <v>0</v>
      </c>
      <c r="BU39" s="26" t="b">
        <f t="shared" si="250"/>
        <v>0</v>
      </c>
      <c r="BV39" s="26">
        <f t="shared" si="251"/>
        <v>0</v>
      </c>
      <c r="BW39" s="26">
        <f t="shared" si="252"/>
        <v>1.4289999999999999E-7</v>
      </c>
      <c r="BX39" s="26">
        <f t="shared" si="253"/>
        <v>1.00051</v>
      </c>
      <c r="BY39" s="26">
        <f t="shared" si="254"/>
        <v>1.0000000000065512E-5</v>
      </c>
      <c r="BZ39" s="26">
        <f t="shared" si="255"/>
        <v>0</v>
      </c>
      <c r="CA39" s="26">
        <f t="shared" si="256"/>
        <v>1.0005200000000001</v>
      </c>
      <c r="CB39" s="29">
        <f t="shared" si="257"/>
        <v>0.5</v>
      </c>
      <c r="CC39" s="26">
        <f t="shared" si="258"/>
        <v>0</v>
      </c>
      <c r="CD39" s="29">
        <f t="shared" si="259"/>
        <v>-59.5</v>
      </c>
      <c r="CE39" s="26" t="b">
        <f t="shared" si="260"/>
        <v>0</v>
      </c>
      <c r="CF39" s="26" t="b">
        <f t="shared" si="261"/>
        <v>0</v>
      </c>
      <c r="CG39" s="26" t="b">
        <f t="shared" si="262"/>
        <v>0</v>
      </c>
      <c r="CH39" s="26" t="b">
        <f t="shared" si="263"/>
        <v>0</v>
      </c>
      <c r="CI39" s="26" t="b">
        <f t="shared" si="264"/>
        <v>0</v>
      </c>
      <c r="CJ39" s="26" t="b">
        <f t="shared" si="265"/>
        <v>0</v>
      </c>
      <c r="CK39" s="26">
        <f t="shared" si="266"/>
        <v>0</v>
      </c>
      <c r="CL39" s="26">
        <f t="shared" si="267"/>
        <v>1.4460000000000001E-7</v>
      </c>
      <c r="CM39" s="26">
        <f t="shared" si="268"/>
        <v>1.00051</v>
      </c>
      <c r="CN39" s="26">
        <f t="shared" si="269"/>
        <v>0.5</v>
      </c>
      <c r="CO39" s="29">
        <f t="shared" si="269"/>
        <v>0.5</v>
      </c>
      <c r="CP39" s="29">
        <f t="shared" si="270"/>
        <v>-59.5</v>
      </c>
      <c r="CQ39" s="26" t="b">
        <f t="shared" si="271"/>
        <v>0</v>
      </c>
      <c r="CR39" s="26" t="b">
        <f t="shared" si="272"/>
        <v>0</v>
      </c>
      <c r="CS39" s="26" t="b">
        <f t="shared" si="273"/>
        <v>0</v>
      </c>
      <c r="CT39" s="26" t="b">
        <f t="shared" si="274"/>
        <v>0</v>
      </c>
      <c r="CU39" s="26" t="b">
        <f t="shared" si="275"/>
        <v>0</v>
      </c>
      <c r="CV39" s="26" t="b">
        <f t="shared" si="276"/>
        <v>0</v>
      </c>
      <c r="CW39" s="26">
        <f t="shared" si="277"/>
        <v>0</v>
      </c>
      <c r="CX39" s="26">
        <f t="shared" si="278"/>
        <v>1.4289999999999999E-7</v>
      </c>
      <c r="CY39" s="26">
        <f t="shared" si="279"/>
        <v>1.00051</v>
      </c>
      <c r="CZ39" s="26">
        <f t="shared" si="280"/>
        <v>0</v>
      </c>
      <c r="DA39" s="26">
        <f t="shared" si="281"/>
        <v>0</v>
      </c>
      <c r="DB39" s="26">
        <f t="shared" si="282"/>
        <v>1.00051</v>
      </c>
      <c r="DC39" s="26">
        <f t="shared" si="283"/>
        <v>1.0000000000065512E-5</v>
      </c>
      <c r="DD39" s="29">
        <f t="shared" si="284"/>
        <v>0</v>
      </c>
      <c r="DE39" s="26">
        <f t="shared" si="285"/>
        <v>0</v>
      </c>
      <c r="DF39" s="26">
        <f t="shared" si="286"/>
        <v>1.0005200000000001</v>
      </c>
      <c r="DG39" s="25"/>
      <c r="DH39" s="25"/>
      <c r="DI39" s="25"/>
      <c r="DJ39" s="25"/>
      <c r="DK39" s="25"/>
      <c r="DL39" s="25"/>
      <c r="DM39" s="25"/>
      <c r="DN39" s="25"/>
      <c r="DO39" s="25"/>
    </row>
    <row r="40" spans="1:119">
      <c r="A40" s="135" t="s">
        <v>43</v>
      </c>
      <c r="B40" s="136"/>
      <c r="C40" s="139">
        <f>SUM(C34:C39)</f>
        <v>164.89</v>
      </c>
      <c r="D40" s="45"/>
      <c r="E40" s="46"/>
      <c r="F40" s="83"/>
      <c r="G40" s="141">
        <f>SUM(G34:G39)</f>
        <v>162.87800000000001</v>
      </c>
      <c r="H40" s="83"/>
      <c r="I40" s="141">
        <f>SUM(I34:I39)</f>
        <v>141.4921186</v>
      </c>
      <c r="J40" s="143">
        <f>SUM(J34:J39)</f>
        <v>141.31295280000001</v>
      </c>
      <c r="K40" s="12"/>
      <c r="L40" s="12"/>
      <c r="M40" s="12"/>
      <c r="N40" s="12"/>
      <c r="O40" s="12"/>
      <c r="P40" s="12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</row>
    <row r="41" spans="1:119" ht="3.75" customHeight="1" thickBot="1">
      <c r="A41" s="137"/>
      <c r="B41" s="138"/>
      <c r="C41" s="140"/>
      <c r="D41" s="48"/>
      <c r="E41" s="49" t="str">
        <f>IF(ISERROR(EY41/C41),"",EY41/C41)</f>
        <v/>
      </c>
      <c r="F41" s="50"/>
      <c r="G41" s="142"/>
      <c r="H41" s="50"/>
      <c r="I41" s="142"/>
      <c r="J41" s="143"/>
      <c r="K41" s="12"/>
      <c r="L41" s="12"/>
      <c r="M41" s="12"/>
      <c r="N41" s="12"/>
      <c r="O41" s="12"/>
      <c r="P41" s="12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</row>
    <row r="42" spans="1:119" ht="20.100000000000001" customHeight="1" thickBot="1">
      <c r="A42" s="55"/>
      <c r="B42" s="144"/>
      <c r="C42" s="144"/>
      <c r="D42" s="144"/>
      <c r="E42" s="144"/>
      <c r="F42" s="144"/>
      <c r="G42" s="125" t="s">
        <v>53</v>
      </c>
      <c r="H42" s="125"/>
      <c r="I42" s="126"/>
      <c r="J42" s="77">
        <v>141</v>
      </c>
      <c r="K42" s="12"/>
      <c r="L42" s="12"/>
      <c r="M42" s="12"/>
      <c r="N42" s="12"/>
      <c r="O42" s="12"/>
      <c r="P42" s="12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</row>
    <row r="43" spans="1:119" ht="20.100000000000001" customHeight="1" thickBot="1">
      <c r="A43" s="62"/>
      <c r="B43" s="62"/>
      <c r="C43" s="62"/>
      <c r="D43" s="62"/>
      <c r="E43" s="63"/>
      <c r="F43" s="62"/>
      <c r="G43" s="123" t="s">
        <v>45</v>
      </c>
      <c r="H43" s="123"/>
      <c r="I43" s="124"/>
      <c r="J43" s="99">
        <f>J40-J42</f>
        <v>0.31295280000000503</v>
      </c>
      <c r="K43" s="6"/>
      <c r="L43" s="6"/>
      <c r="M43" s="6"/>
      <c r="N43" s="6"/>
      <c r="O43" s="6"/>
      <c r="P43" s="6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</row>
    <row r="44" spans="1:119">
      <c r="A44" s="64"/>
      <c r="B44" s="62"/>
      <c r="C44" s="62"/>
      <c r="D44" s="62"/>
      <c r="E44" s="63"/>
      <c r="F44" s="62"/>
      <c r="G44" s="63"/>
      <c r="H44" s="62"/>
      <c r="I44" s="64"/>
      <c r="J44" s="64"/>
      <c r="K44" s="6"/>
      <c r="L44" s="6"/>
      <c r="M44" s="6"/>
      <c r="N44" s="6"/>
      <c r="O44" s="6"/>
      <c r="P44" s="6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</row>
    <row r="45" spans="1:119">
      <c r="A45" s="65" t="s">
        <v>54</v>
      </c>
      <c r="B45" s="121"/>
      <c r="C45" s="121"/>
      <c r="D45" s="121"/>
      <c r="E45" s="121"/>
      <c r="F45" s="121"/>
      <c r="G45" s="121"/>
      <c r="H45" s="121"/>
      <c r="I45" s="121"/>
      <c r="J45" s="121"/>
      <c r="K45" s="6"/>
      <c r="L45" s="6"/>
      <c r="M45" s="6"/>
      <c r="N45" s="6"/>
      <c r="O45" s="6"/>
      <c r="P45" s="6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</row>
    <row r="46" spans="1:119">
      <c r="A46" s="56"/>
      <c r="B46" s="121"/>
      <c r="C46" s="121"/>
      <c r="D46" s="121"/>
      <c r="E46" s="121"/>
      <c r="F46" s="121"/>
      <c r="G46" s="121"/>
      <c r="H46" s="121"/>
      <c r="I46" s="121"/>
      <c r="J46" s="121"/>
      <c r="K46" s="6"/>
      <c r="L46" s="6"/>
      <c r="M46" s="6"/>
      <c r="N46" s="6"/>
      <c r="O46" s="6"/>
      <c r="P46" s="6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</row>
    <row r="47" spans="1:119">
      <c r="A47" s="56"/>
      <c r="B47" s="121"/>
      <c r="C47" s="121"/>
      <c r="D47" s="121"/>
      <c r="E47" s="121"/>
      <c r="F47" s="121"/>
      <c r="G47" s="121"/>
      <c r="H47" s="121"/>
      <c r="I47" s="121"/>
      <c r="J47" s="121"/>
    </row>
    <row r="48" spans="1:119">
      <c r="A48" s="121" t="s">
        <v>65</v>
      </c>
      <c r="B48" s="121"/>
      <c r="C48" s="121"/>
      <c r="D48" s="121"/>
      <c r="E48" s="56"/>
      <c r="F48" s="56"/>
      <c r="G48" s="104" t="s">
        <v>57</v>
      </c>
      <c r="H48" s="104"/>
      <c r="I48" s="104"/>
      <c r="J48" s="104"/>
    </row>
    <row r="49" spans="1:10">
      <c r="A49" s="121"/>
      <c r="B49" s="121"/>
      <c r="C49" s="121"/>
      <c r="D49" s="121"/>
      <c r="E49" s="56"/>
      <c r="F49" s="56"/>
      <c r="G49" s="102" t="s">
        <v>66</v>
      </c>
      <c r="H49" s="102"/>
      <c r="I49" s="102"/>
      <c r="J49" s="102"/>
    </row>
    <row r="50" spans="1:10">
      <c r="A50" s="121"/>
      <c r="B50" s="121"/>
      <c r="C50" s="121"/>
      <c r="D50" s="121"/>
      <c r="E50" s="56"/>
      <c r="F50" s="56"/>
      <c r="G50" s="102"/>
      <c r="H50" s="102"/>
      <c r="I50" s="102"/>
      <c r="J50" s="102"/>
    </row>
    <row r="51" spans="1:10">
      <c r="A51" s="121"/>
      <c r="B51" s="121"/>
      <c r="C51" s="121"/>
      <c r="D51" s="121"/>
      <c r="E51" s="56"/>
      <c r="F51" s="56"/>
      <c r="G51" s="102"/>
      <c r="H51" s="102"/>
      <c r="I51" s="102"/>
      <c r="J51" s="102"/>
    </row>
    <row r="52" spans="1:10">
      <c r="A52" s="121"/>
      <c r="B52" s="121"/>
      <c r="C52" s="121"/>
      <c r="D52" s="121"/>
      <c r="E52" s="56"/>
      <c r="F52" s="56"/>
      <c r="G52" s="103"/>
      <c r="H52" s="103"/>
      <c r="I52" s="103"/>
      <c r="J52" s="103"/>
    </row>
    <row r="53" spans="1:10">
      <c r="A53" s="100" t="s">
        <v>59</v>
      </c>
      <c r="B53" s="100"/>
      <c r="C53" s="100"/>
      <c r="D53" s="100"/>
      <c r="E53" s="56"/>
      <c r="F53" s="56"/>
      <c r="G53" s="105" t="s">
        <v>60</v>
      </c>
      <c r="H53" s="106"/>
      <c r="I53" s="106"/>
      <c r="J53" s="106"/>
    </row>
    <row r="54" spans="1:10">
      <c r="A54" s="101"/>
      <c r="B54" s="101"/>
      <c r="C54" s="101"/>
      <c r="D54" s="101"/>
      <c r="E54" s="56"/>
      <c r="F54" s="56"/>
      <c r="G54" s="107"/>
      <c r="H54" s="107"/>
      <c r="I54" s="107"/>
      <c r="J54" s="107"/>
    </row>
  </sheetData>
  <sheetProtection sheet="1" objects="1" scenarios="1"/>
  <mergeCells count="45">
    <mergeCell ref="A6:B6"/>
    <mergeCell ref="C6:E6"/>
    <mergeCell ref="F6:G6"/>
    <mergeCell ref="H6:J6"/>
    <mergeCell ref="A8:B8"/>
    <mergeCell ref="H8:J8"/>
    <mergeCell ref="BC32:DF32"/>
    <mergeCell ref="E9:F9"/>
    <mergeCell ref="G9:H9"/>
    <mergeCell ref="A10:B10"/>
    <mergeCell ref="BC12:DF12"/>
    <mergeCell ref="A26:B27"/>
    <mergeCell ref="C26:C27"/>
    <mergeCell ref="G26:G27"/>
    <mergeCell ref="I26:I27"/>
    <mergeCell ref="J26:J27"/>
    <mergeCell ref="A1:J2"/>
    <mergeCell ref="G43:I43"/>
    <mergeCell ref="G42:I42"/>
    <mergeCell ref="G28:I28"/>
    <mergeCell ref="G29:I29"/>
    <mergeCell ref="C10:J10"/>
    <mergeCell ref="C30:J30"/>
    <mergeCell ref="A3:J4"/>
    <mergeCell ref="A40:B41"/>
    <mergeCell ref="C40:C41"/>
    <mergeCell ref="G40:G41"/>
    <mergeCell ref="I40:I41"/>
    <mergeCell ref="J40:J41"/>
    <mergeCell ref="B42:F42"/>
    <mergeCell ref="B28:F28"/>
    <mergeCell ref="A30:B30"/>
    <mergeCell ref="A53:D54"/>
    <mergeCell ref="G49:J52"/>
    <mergeCell ref="G48:J48"/>
    <mergeCell ref="G53:J54"/>
    <mergeCell ref="C7:E7"/>
    <mergeCell ref="F7:G7"/>
    <mergeCell ref="A7:B7"/>
    <mergeCell ref="H7:J7"/>
    <mergeCell ref="F8:G8"/>
    <mergeCell ref="A31:A33"/>
    <mergeCell ref="A11:A13"/>
    <mergeCell ref="A48:D52"/>
    <mergeCell ref="B45:J47"/>
  </mergeCells>
  <dataValidations count="4">
    <dataValidation allowBlank="1" showInputMessage="1" sqref="F14:F25 F34:F39"/>
    <dataValidation type="list" allowBlank="1" showInputMessage="1" showErrorMessage="1" sqref="F33 F13">
      <formula1>#REF!</formula1>
    </dataValidation>
    <dataValidation type="list" allowBlank="1" showInputMessage="1" showErrorMessage="1" sqref="C32 C12">
      <formula1>$L$12:$L$13</formula1>
    </dataValidation>
    <dataValidation type="list" allowBlank="1" showInputMessage="1" showErrorMessage="1" sqref="B33 B13">
      <formula1>#REF!</formula1>
    </dataValidation>
  </dataValidations>
  <printOptions horizontalCentered="1" verticalCentered="1"/>
  <pageMargins left="0.7" right="0.44" top="0.42" bottom="0.44" header="0.3" footer="0.46"/>
  <pageSetup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Περιοχές με ονόματα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Ouranis</dc:creator>
  <cp:lastModifiedBy>hp</cp:lastModifiedBy>
  <cp:lastPrinted>2018-05-21T08:40:39Z</cp:lastPrinted>
  <dcterms:created xsi:type="dcterms:W3CDTF">2018-05-18T08:14:46Z</dcterms:created>
  <dcterms:modified xsi:type="dcterms:W3CDTF">2018-08-31T05:18:37Z</dcterms:modified>
</cp:coreProperties>
</file>