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ylanbayola/Desktop/"/>
    </mc:Choice>
  </mc:AlternateContent>
  <xr:revisionPtr revIDLastSave="0" documentId="13_ncr:1_{AB6AF5FF-A423-C04F-B962-CD4E2A018A0B}" xr6:coauthVersionLast="47" xr6:coauthVersionMax="47" xr10:uidLastSave="{00000000-0000-0000-0000-000000000000}"/>
  <bookViews>
    <workbookView xWindow="20580" yWindow="660" windowWidth="20240" windowHeight="20720" xr2:uid="{DE317927-0F4F-704D-8B83-8A8EA2DCEAB5}"/>
  </bookViews>
  <sheets>
    <sheet name="C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" l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C69" i="1"/>
  <c r="D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31" i="1" l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T91" i="1"/>
  <c r="W91" i="1"/>
  <c r="Y91" i="1"/>
  <c r="T90" i="1"/>
  <c r="W90" i="1"/>
  <c r="Y90" i="1"/>
  <c r="T89" i="1"/>
  <c r="W89" i="1"/>
  <c r="Y89" i="1"/>
  <c r="T88" i="1"/>
  <c r="Y88" i="1"/>
  <c r="W88" i="1"/>
  <c r="AF88" i="1"/>
  <c r="T87" i="1"/>
  <c r="W87" i="1"/>
  <c r="Y87" i="1"/>
  <c r="AF87" i="1"/>
  <c r="T86" i="1"/>
  <c r="W86" i="1"/>
  <c r="Y86" i="1"/>
  <c r="AF86" i="1"/>
  <c r="Y85" i="1"/>
  <c r="T85" i="1"/>
  <c r="W85" i="1"/>
  <c r="AF85" i="1"/>
  <c r="Y84" i="1"/>
  <c r="T84" i="1"/>
  <c r="W84" i="1"/>
  <c r="AF84" i="1"/>
  <c r="AF83" i="1"/>
  <c r="T83" i="1"/>
  <c r="W83" i="1"/>
  <c r="Y83" i="1"/>
  <c r="L83" i="1"/>
  <c r="AF82" i="1"/>
  <c r="T82" i="1"/>
  <c r="W82" i="1"/>
  <c r="Y82" i="1"/>
  <c r="W81" i="1"/>
  <c r="T81" i="1"/>
  <c r="W80" i="1"/>
  <c r="T80" i="1"/>
  <c r="T79" i="1"/>
  <c r="W79" i="1"/>
  <c r="T78" i="1"/>
  <c r="W78" i="1"/>
  <c r="W77" i="1"/>
  <c r="T77" i="1"/>
  <c r="AF76" i="1"/>
  <c r="T76" i="1"/>
  <c r="W76" i="1"/>
  <c r="AF75" i="1"/>
  <c r="W75" i="1"/>
  <c r="T75" i="1"/>
  <c r="AF74" i="1"/>
  <c r="L74" i="1"/>
  <c r="L75" i="1"/>
  <c r="T74" i="1"/>
  <c r="W74" i="1"/>
  <c r="T73" i="1"/>
  <c r="W73" i="1"/>
  <c r="AF73" i="1"/>
  <c r="W72" i="1"/>
  <c r="T72" i="1"/>
  <c r="AF72" i="1"/>
  <c r="T71" i="1"/>
  <c r="W71" i="1"/>
  <c r="AF71" i="1"/>
  <c r="T70" i="1"/>
  <c r="W70" i="1"/>
  <c r="AF70" i="1"/>
  <c r="AF69" i="1"/>
  <c r="T69" i="1"/>
  <c r="W69" i="1"/>
  <c r="AF68" i="1"/>
  <c r="T68" i="1"/>
  <c r="W68" i="1"/>
  <c r="T67" i="1"/>
  <c r="Y67" i="1"/>
  <c r="W67" i="1"/>
  <c r="AF67" i="1"/>
  <c r="AF66" i="1"/>
  <c r="Y66" i="1"/>
  <c r="W66" i="1"/>
  <c r="T66" i="1"/>
  <c r="W65" i="1"/>
  <c r="T65" i="1"/>
  <c r="Y65" i="1"/>
  <c r="AF65" i="1"/>
  <c r="T64" i="1"/>
  <c r="W64" i="1"/>
  <c r="Y64" i="1"/>
  <c r="AF64" i="1"/>
  <c r="AF63" i="1"/>
  <c r="Y63" i="1"/>
  <c r="W63" i="1"/>
  <c r="AF62" i="1"/>
  <c r="Y62" i="1"/>
  <c r="T62" i="1"/>
  <c r="W62" i="1"/>
  <c r="L62" i="1"/>
  <c r="L63" i="1"/>
  <c r="L64" i="1"/>
  <c r="L65" i="1"/>
  <c r="L66" i="1"/>
  <c r="L67" i="1"/>
  <c r="L68" i="1"/>
  <c r="L69" i="1"/>
  <c r="L70" i="1"/>
  <c r="L71" i="1"/>
  <c r="L72" i="1"/>
  <c r="L73" i="1"/>
  <c r="L76" i="1"/>
  <c r="L77" i="1"/>
  <c r="L78" i="1"/>
  <c r="L79" i="1"/>
  <c r="L80" i="1"/>
  <c r="L81" i="1"/>
  <c r="L82" i="1"/>
  <c r="L84" i="1"/>
  <c r="L85" i="1"/>
  <c r="L86" i="1"/>
  <c r="L87" i="1"/>
  <c r="L88" i="1"/>
  <c r="L89" i="1"/>
  <c r="L90" i="1"/>
  <c r="AF61" i="1"/>
  <c r="Y61" i="1"/>
  <c r="Y60" i="1"/>
  <c r="AF60" i="1"/>
  <c r="Y59" i="1"/>
  <c r="AF59" i="1"/>
  <c r="AF58" i="1"/>
  <c r="Y58" i="1"/>
  <c r="AN90" i="1"/>
  <c r="AN89" i="1"/>
  <c r="AN88" i="1"/>
  <c r="AM90" i="1"/>
  <c r="AM89" i="1"/>
  <c r="AM88" i="1"/>
  <c r="AN80" i="1"/>
  <c r="AN79" i="1"/>
  <c r="AN78" i="1"/>
  <c r="AM80" i="1"/>
  <c r="AM79" i="1"/>
  <c r="AM78" i="1"/>
  <c r="AN70" i="1"/>
  <c r="AN69" i="1"/>
  <c r="AN68" i="1"/>
  <c r="AM70" i="1"/>
  <c r="AM69" i="1"/>
  <c r="AM68" i="1"/>
  <c r="AO60" i="1"/>
  <c r="AO59" i="1"/>
  <c r="AO58" i="1"/>
  <c r="AN60" i="1"/>
  <c r="AN59" i="1"/>
  <c r="AN58" i="1"/>
  <c r="AM60" i="1"/>
  <c r="AM59" i="1"/>
  <c r="AM58" i="1"/>
  <c r="AF57" i="1"/>
  <c r="Y57" i="1"/>
  <c r="AF55" i="1"/>
  <c r="AF56" i="1"/>
  <c r="Y56" i="1"/>
  <c r="Y55" i="1"/>
  <c r="Y54" i="1"/>
  <c r="AF54" i="1"/>
  <c r="AF53" i="1"/>
  <c r="AF48" i="1"/>
  <c r="AF49" i="1"/>
  <c r="AF50" i="1"/>
  <c r="AF51" i="1"/>
  <c r="AF46" i="1"/>
  <c r="AF47" i="1"/>
  <c r="AF52" i="1"/>
  <c r="AF77" i="1"/>
  <c r="AF78" i="1"/>
  <c r="AF79" i="1"/>
  <c r="AF80" i="1"/>
  <c r="AF81" i="1"/>
  <c r="AF89" i="1"/>
  <c r="L52" i="1"/>
  <c r="L53" i="1"/>
  <c r="L54" i="1"/>
  <c r="L55" i="1"/>
  <c r="L56" i="1"/>
  <c r="L57" i="1"/>
  <c r="L58" i="1"/>
  <c r="L59" i="1"/>
  <c r="L60" i="1"/>
  <c r="L61" i="1"/>
  <c r="T61" i="1"/>
  <c r="W61" i="1"/>
  <c r="W60" i="1"/>
  <c r="T60" i="1"/>
  <c r="W59" i="1"/>
  <c r="T59" i="1"/>
  <c r="W58" i="1"/>
  <c r="T58" i="1"/>
  <c r="W57" i="1"/>
  <c r="T57" i="1"/>
  <c r="W56" i="1"/>
  <c r="T56" i="1"/>
  <c r="W55" i="1"/>
  <c r="T55" i="1"/>
  <c r="T54" i="1"/>
  <c r="W54" i="1"/>
  <c r="T53" i="1"/>
  <c r="W53" i="1"/>
  <c r="T52" i="1"/>
  <c r="W52" i="1"/>
  <c r="J91" i="1" l="1"/>
  <c r="E91" i="1"/>
  <c r="L91" i="1" s="1"/>
  <c r="J90" i="1"/>
  <c r="J89" i="1"/>
  <c r="J88" i="1"/>
  <c r="J87" i="1"/>
  <c r="J86" i="1"/>
  <c r="J85" i="1"/>
  <c r="J84" i="1"/>
  <c r="J83" i="1"/>
  <c r="J82" i="1"/>
  <c r="J61" i="1"/>
  <c r="J60" i="1"/>
  <c r="J59" i="1"/>
  <c r="J58" i="1"/>
  <c r="J71" i="1"/>
  <c r="J70" i="1"/>
  <c r="J69" i="1"/>
  <c r="J68" i="1"/>
  <c r="J67" i="1"/>
  <c r="J66" i="1"/>
  <c r="J65" i="1"/>
  <c r="J64" i="1"/>
  <c r="J63" i="1"/>
  <c r="J62" i="1"/>
  <c r="J57" i="1"/>
  <c r="J56" i="1"/>
  <c r="J55" i="1"/>
  <c r="J54" i="1"/>
  <c r="J53" i="1"/>
  <c r="J52" i="1"/>
  <c r="Y51" i="1"/>
  <c r="Y50" i="1"/>
  <c r="Y49" i="1"/>
  <c r="Y48" i="1"/>
  <c r="Y47" i="1"/>
  <c r="Y46" i="1"/>
  <c r="Y45" i="1"/>
  <c r="Y44" i="1"/>
  <c r="Y43" i="1"/>
  <c r="Y42" i="1"/>
  <c r="Y41" i="1"/>
  <c r="Y40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11" i="1"/>
  <c r="T10" i="1"/>
  <c r="T9" i="1"/>
  <c r="T8" i="1"/>
  <c r="T7" i="1"/>
  <c r="T6" i="1"/>
  <c r="T5" i="1"/>
  <c r="T4" i="1"/>
  <c r="T3" i="1"/>
  <c r="T2" i="1"/>
  <c r="AN49" i="1"/>
  <c r="AM50" i="1"/>
  <c r="AM49" i="1"/>
  <c r="AM48" i="1"/>
  <c r="AM40" i="1"/>
  <c r="AM39" i="1"/>
  <c r="AM38" i="1"/>
  <c r="AN30" i="1"/>
  <c r="AM20" i="1"/>
  <c r="AM18" i="1"/>
  <c r="AO10" i="1"/>
  <c r="AM10" i="1"/>
  <c r="AO9" i="1"/>
  <c r="AN9" i="1"/>
  <c r="AM9" i="1"/>
  <c r="AO8" i="1"/>
  <c r="AN8" i="1"/>
  <c r="AM8" i="1"/>
  <c r="W51" i="1"/>
  <c r="W50" i="1"/>
  <c r="W49" i="1"/>
  <c r="W48" i="1"/>
  <c r="W47" i="1"/>
  <c r="W46" i="1"/>
  <c r="W45" i="1"/>
  <c r="W44" i="1"/>
  <c r="W43" i="1"/>
  <c r="W42" i="1"/>
  <c r="L50" i="1"/>
  <c r="L49" i="1"/>
  <c r="L48" i="1"/>
  <c r="L47" i="1"/>
  <c r="L46" i="1"/>
  <c r="L45" i="1"/>
  <c r="L44" i="1"/>
  <c r="L43" i="1"/>
  <c r="L42" i="1"/>
  <c r="AF21" i="1"/>
  <c r="AF20" i="1"/>
  <c r="AF19" i="1"/>
  <c r="AF18" i="1"/>
  <c r="AF17" i="1"/>
  <c r="AF16" i="1"/>
  <c r="AF15" i="1"/>
  <c r="AF14" i="1"/>
  <c r="AF13" i="1"/>
  <c r="AF12" i="1"/>
  <c r="AF41" i="1"/>
  <c r="AF38" i="1"/>
  <c r="AF37" i="1"/>
  <c r="AF36" i="1"/>
  <c r="AF35" i="1"/>
  <c r="AF34" i="1"/>
  <c r="AF33" i="1"/>
  <c r="AF32" i="1"/>
  <c r="W41" i="1"/>
  <c r="W40" i="1"/>
  <c r="W39" i="1"/>
  <c r="W38" i="1"/>
  <c r="W37" i="1"/>
  <c r="L41" i="1"/>
  <c r="L40" i="1"/>
  <c r="L39" i="1"/>
  <c r="L38" i="1"/>
  <c r="L37" i="1"/>
  <c r="W36" i="1"/>
  <c r="L36" i="1"/>
  <c r="W35" i="1"/>
  <c r="L35" i="1"/>
  <c r="W33" i="1"/>
  <c r="W34" i="1"/>
  <c r="L34" i="1"/>
  <c r="W32" i="1"/>
  <c r="L33" i="1"/>
  <c r="L32" i="1"/>
  <c r="AF31" i="1"/>
  <c r="AF30" i="1"/>
  <c r="AF29" i="1"/>
  <c r="AF28" i="1"/>
  <c r="AF27" i="1"/>
  <c r="AF26" i="1"/>
  <c r="AF25" i="1"/>
  <c r="AF24" i="1"/>
  <c r="AF23" i="1"/>
  <c r="AF22" i="1"/>
  <c r="L31" i="1"/>
  <c r="L30" i="1"/>
  <c r="L29" i="1"/>
  <c r="L28" i="1"/>
  <c r="L27" i="1"/>
  <c r="L26" i="1"/>
  <c r="L25" i="1"/>
  <c r="L24" i="1"/>
  <c r="L23" i="1"/>
  <c r="L22" i="1"/>
  <c r="W31" i="1"/>
  <c r="W30" i="1"/>
  <c r="W29" i="1"/>
  <c r="W28" i="1"/>
  <c r="W27" i="1"/>
  <c r="W26" i="1"/>
  <c r="W25" i="1"/>
  <c r="W24" i="1"/>
  <c r="W23" i="1"/>
  <c r="W22" i="1"/>
  <c r="AF11" i="1"/>
  <c r="AF10" i="1"/>
  <c r="AF9" i="1"/>
  <c r="AF8" i="1"/>
  <c r="AF7" i="1"/>
  <c r="AF6" i="1"/>
  <c r="AF5" i="1"/>
  <c r="AF40" i="1"/>
  <c r="AF2" i="1"/>
  <c r="AF3" i="1"/>
  <c r="AF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J11" i="1"/>
  <c r="W20" i="1"/>
  <c r="W19" i="1"/>
  <c r="W18" i="1"/>
  <c r="W17" i="1"/>
  <c r="W16" i="1"/>
  <c r="W15" i="1"/>
  <c r="W14" i="1"/>
  <c r="W13" i="1"/>
  <c r="W12" i="1"/>
  <c r="J16" i="1" l="1"/>
  <c r="J12" i="1"/>
  <c r="W11" i="1"/>
  <c r="W10" i="1"/>
  <c r="W9" i="1"/>
  <c r="W8" i="1"/>
  <c r="W7" i="1"/>
  <c r="W6" i="1"/>
  <c r="W5" i="1"/>
  <c r="W4" i="1"/>
  <c r="W3" i="1"/>
  <c r="W2" i="1"/>
  <c r="E51" i="1" l="1"/>
  <c r="L51" i="1" s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22" i="1"/>
  <c r="J23" i="1"/>
  <c r="J24" i="1"/>
  <c r="J25" i="1"/>
  <c r="J26" i="1"/>
  <c r="J27" i="1"/>
  <c r="J28" i="1"/>
  <c r="J29" i="1"/>
  <c r="J30" i="1"/>
  <c r="L21" i="1"/>
  <c r="W21" i="1"/>
  <c r="J21" i="1"/>
  <c r="L2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Dylan Bayola</author>
  </authors>
  <commentList>
    <comment ref="AF1" authorId="0" shapeId="0" xr:uid="{8975763A-4172-D94D-80A7-40504FAC0C8F}">
      <text>
        <r>
          <rPr>
            <b/>
            <sz val="10"/>
            <color rgb="FF000000"/>
            <rFont val="Tahoma"/>
            <family val="2"/>
          </rPr>
          <t>Dylan Bayola: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449.5 * (the percentile in SAT Math for 400-499)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349.5 * (percentile in SAT Math for 300-399)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249.5 * (percentile in SAT Math for 200-299)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Count together. The higher this number, the worse they are at math.</t>
        </r>
      </text>
    </comment>
  </commentList>
</comments>
</file>

<file path=xl/sharedStrings.xml><?xml version="1.0" encoding="utf-8"?>
<sst xmlns="http://schemas.openxmlformats.org/spreadsheetml/2006/main" count="132" uniqueCount="51">
  <si>
    <t>year</t>
  </si>
  <si>
    <t>totalEnroll</t>
  </si>
  <si>
    <t>undergrad</t>
  </si>
  <si>
    <t>grad</t>
  </si>
  <si>
    <t>latin</t>
  </si>
  <si>
    <t>white</t>
  </si>
  <si>
    <t>black</t>
  </si>
  <si>
    <t>gradRate</t>
  </si>
  <si>
    <t>school</t>
  </si>
  <si>
    <t>UNT</t>
  </si>
  <si>
    <t>STEM</t>
  </si>
  <si>
    <t>arts</t>
  </si>
  <si>
    <t>tuition</t>
  </si>
  <si>
    <t>StF</t>
  </si>
  <si>
    <t>faculty</t>
  </si>
  <si>
    <t>6year</t>
  </si>
  <si>
    <t>4year</t>
  </si>
  <si>
    <t>verbal25</t>
  </si>
  <si>
    <t>verbal75</t>
  </si>
  <si>
    <t>math25</t>
  </si>
  <si>
    <t>math75</t>
  </si>
  <si>
    <t>greek</t>
  </si>
  <si>
    <t>UTD</t>
  </si>
  <si>
    <t>TWU</t>
  </si>
  <si>
    <t>SMU</t>
  </si>
  <si>
    <t>TCU</t>
  </si>
  <si>
    <t>largeClass</t>
  </si>
  <si>
    <t>smallClass</t>
  </si>
  <si>
    <t>H2g</t>
  </si>
  <si>
    <t>bs</t>
  </si>
  <si>
    <t>ms</t>
  </si>
  <si>
    <t>phd</t>
  </si>
  <si>
    <t>transfers</t>
  </si>
  <si>
    <t>hsTop</t>
  </si>
  <si>
    <t>hsBot</t>
  </si>
  <si>
    <t>pell(e)</t>
  </si>
  <si>
    <t>pellFull(h)</t>
  </si>
  <si>
    <t>package (k)</t>
  </si>
  <si>
    <t>badMath</t>
  </si>
  <si>
    <t>vawa</t>
  </si>
  <si>
    <t>arrests</t>
  </si>
  <si>
    <t>unfounded</t>
  </si>
  <si>
    <t>crimes</t>
  </si>
  <si>
    <t>TTU</t>
  </si>
  <si>
    <t>Baylor</t>
  </si>
  <si>
    <t>Rice</t>
  </si>
  <si>
    <t>UT</t>
  </si>
  <si>
    <t>admit_rate</t>
  </si>
  <si>
    <t>enroll_rate</t>
  </si>
  <si>
    <t>nurse</t>
  </si>
  <si>
    <t>biz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</si>
</sst>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_);\(0.00\)"/>
  </numFmts>
  <fonts count="5">
    <font>
      <sz val="12"/>
      <color theme="1"/>
      <name val="IBM Plex Mono"/>
      <family val="2"/>
    </font>
    <font>
      <sz val="12"/>
      <color theme="1"/>
      <name val="IBM Plex Mono Regular"/>
    </font>
    <font>
      <sz val="12"/>
      <color theme="1"/>
      <name val="IBM Plex Mono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2" applyNumberFormat="1" applyFont="1" applyFill="1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4" fontId="1" fillId="0" borderId="0" xfId="0" applyNumberFormat="1" applyFont="1"/>
    <xf numFmtId="1" fontId="1" fillId="0" borderId="0" xfId="0" applyNumberFormat="1" applyFont="1"/>
    <xf numFmtId="4" fontId="0" fillId="0" borderId="0" xfId="0" applyNumberFormat="1"/>
    <xf numFmtId="0" fontId="1" fillId="0" borderId="0" xfId="0" quotePrefix="1" applyFont="1"/>
    <xf numFmtId="3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4" fontId="1" fillId="0" borderId="0" xfId="1" applyNumberFormat="1" applyFont="1" applyFill="1"/>
    <xf numFmtId="164" fontId="0" fillId="0" borderId="0" xfId="1" applyNumberFormat="1" applyFont="1" applyFill="1"/>
    <xf numFmtId="164" fontId="0" fillId="0" borderId="0" xfId="0" applyNumberFormat="1"/>
    <xf numFmtId="2" fontId="1" fillId="0" borderId="0" xfId="1" applyNumberFormat="1" applyFont="1" applyFill="1"/>
    <xf numFmtId="2" fontId="0" fillId="0" borderId="0" xfId="1" applyNumberFormat="1" applyFont="1" applyFill="1"/>
  </cellXfs>
  <cellStyles count="3">
    <cellStyle name="Currency" xfId="1" builtinId="4"/>
    <cellStyle name="Normal" xfId="0" builtinId="0" customBuiltin="1"/>
    <cellStyle name="Percent" xfId="2" builtinId="5"/>
  </cellStyles>
  <dxfs count="0"/>
  <tableStyles count="0" defaultTableStyle="TableStyleMedium2" defaultPivotStyle="PivotStyleLight16"/>
  <colors>
    <mruColors>
      <color rgb="FFBF5700"/>
      <color rgb="FF00205B"/>
      <color rgb="FF154734"/>
      <color rgb="FFCC0000"/>
      <color rgb="FF4D1979"/>
      <color rgb="FF0064B1"/>
      <color rgb="FF354CA1"/>
      <color rgb="FF85092A"/>
      <color rgb="FFE87500"/>
      <color rgb="FF007B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5777-4C85-FD4F-A682-A12958599C37}">
  <dimension ref="A1:AP91"/>
  <sheetViews>
    <sheetView tabSelected="1" topLeftCell="J1" zoomScale="110" zoomScaleNormal="110" workbookViewId="0">
      <pane ySplit="1" topLeftCell="A68" activePane="bottomLeft" state="frozen"/>
      <selection pane="bottomLeft" activeCell="S90" sqref="S90"/>
    </sheetView>
  </sheetViews>
  <sheetFormatPr baseColWidth="10" defaultRowHeight="24" customHeight="1"/>
  <cols>
    <col min="1" max="1" width="10.7109375" style="12"/>
    <col min="3" max="3" width="12.28515625" style="12" bestFit="1" customWidth="1"/>
    <col min="4" max="4" width="12.42578125" style="12" bestFit="1" customWidth="1"/>
    <col min="5" max="9" width="10.7109375" style="12"/>
    <col min="10" max="10" width="10.7109375" style="9"/>
    <col min="11" max="11" width="10.7109375" style="12"/>
    <col min="15" max="17" width="10.7109375" style="12"/>
    <col min="20" max="21" width="10.7109375" style="1"/>
    <col min="23" max="23" width="10.7109375" style="10"/>
    <col min="24" max="24" width="14" style="14" bestFit="1" customWidth="1"/>
    <col min="25" max="25" width="10.7109375" style="1"/>
    <col min="27" max="27" width="12" bestFit="1" customWidth="1"/>
    <col min="28" max="28" width="13.42578125" style="17" bestFit="1" customWidth="1"/>
    <col min="31" max="31" width="10.7109375" style="1"/>
    <col min="33" max="34" width="10.7109375" style="1"/>
    <col min="41" max="41" width="10.7109375" style="7"/>
  </cols>
  <sheetData>
    <row r="1" spans="1:42" ht="24" customHeight="1">
      <c r="A1" s="2" t="s">
        <v>0</v>
      </c>
      <c r="B1" s="2" t="s">
        <v>8</v>
      </c>
      <c r="C1" s="2" t="s">
        <v>47</v>
      </c>
      <c r="D1" s="2" t="s">
        <v>48</v>
      </c>
      <c r="E1" s="3" t="s">
        <v>1</v>
      </c>
      <c r="F1" s="3" t="s">
        <v>2</v>
      </c>
      <c r="G1" s="3" t="s">
        <v>3</v>
      </c>
      <c r="H1" s="11" t="s">
        <v>29</v>
      </c>
      <c r="I1" s="3" t="s">
        <v>30</v>
      </c>
      <c r="J1" s="3" t="s">
        <v>31</v>
      </c>
      <c r="K1" s="3" t="s">
        <v>14</v>
      </c>
      <c r="L1" s="2" t="s">
        <v>13</v>
      </c>
      <c r="M1" s="2" t="s">
        <v>35</v>
      </c>
      <c r="N1" s="2" t="s">
        <v>32</v>
      </c>
      <c r="O1" s="3" t="s">
        <v>4</v>
      </c>
      <c r="P1" s="3" t="s">
        <v>5</v>
      </c>
      <c r="Q1" s="3" t="s">
        <v>6</v>
      </c>
      <c r="R1" s="2" t="s">
        <v>49</v>
      </c>
      <c r="S1" s="2" t="s">
        <v>50</v>
      </c>
      <c r="T1" s="2" t="s">
        <v>10</v>
      </c>
      <c r="U1" s="2" t="s">
        <v>11</v>
      </c>
      <c r="V1" s="2" t="s">
        <v>26</v>
      </c>
      <c r="W1" s="2" t="s">
        <v>27</v>
      </c>
      <c r="X1" s="2" t="s">
        <v>12</v>
      </c>
      <c r="Y1" s="4" t="s">
        <v>21</v>
      </c>
      <c r="Z1" s="2" t="s">
        <v>28</v>
      </c>
      <c r="AA1" s="2" t="s">
        <v>36</v>
      </c>
      <c r="AB1" s="2" t="s">
        <v>37</v>
      </c>
      <c r="AC1" s="2" t="s">
        <v>15</v>
      </c>
      <c r="AD1" s="2" t="s">
        <v>16</v>
      </c>
      <c r="AE1" s="2" t="s">
        <v>7</v>
      </c>
      <c r="AF1" s="2" t="s">
        <v>38</v>
      </c>
      <c r="AG1" s="2" t="s">
        <v>33</v>
      </c>
      <c r="AH1" s="2" t="s">
        <v>34</v>
      </c>
      <c r="AI1" s="2" t="s">
        <v>17</v>
      </c>
      <c r="AJ1" s="2" t="s">
        <v>18</v>
      </c>
      <c r="AK1" s="2" t="s">
        <v>19</v>
      </c>
      <c r="AL1" s="2" t="s">
        <v>20</v>
      </c>
      <c r="AM1" s="2" t="s">
        <v>42</v>
      </c>
      <c r="AN1" s="2" t="s">
        <v>39</v>
      </c>
      <c r="AO1" s="5" t="s">
        <v>40</v>
      </c>
      <c r="AP1" s="2" t="s">
        <v>41</v>
      </c>
    </row>
    <row r="2" spans="1:42" ht="24" customHeight="1">
      <c r="A2" s="11">
        <v>2014</v>
      </c>
      <c r="B2" s="2" t="s">
        <v>9</v>
      </c>
      <c r="C2" s="11">
        <f>(4667+5805)/(7669+9182)</f>
        <v>0.62144679840958994</v>
      </c>
      <c r="D2" s="11">
        <f>(2015+77)/(7669+9182)</f>
        <v>0.12414693490000593</v>
      </c>
      <c r="E2" s="11">
        <v>36164</v>
      </c>
      <c r="F2" s="11">
        <v>29723</v>
      </c>
      <c r="G2" s="11">
        <v>6441</v>
      </c>
      <c r="H2" s="11">
        <v>6444</v>
      </c>
      <c r="I2" s="11">
        <v>1667</v>
      </c>
      <c r="J2" s="3">
        <v>277</v>
      </c>
      <c r="K2" s="11">
        <v>1438</v>
      </c>
      <c r="L2" s="2">
        <f t="shared" ref="L2:L27" si="0">E2/K2</f>
        <v>25.148817802503476</v>
      </c>
      <c r="M2" s="2">
        <v>9923</v>
      </c>
      <c r="N2" s="2">
        <v>3756</v>
      </c>
      <c r="O2" s="11">
        <v>6356</v>
      </c>
      <c r="P2" s="11">
        <v>15256</v>
      </c>
      <c r="Q2" s="11">
        <v>3999</v>
      </c>
      <c r="R2" s="2">
        <v>3.06</v>
      </c>
      <c r="S2" s="2">
        <v>20.28</v>
      </c>
      <c r="T2" s="1">
        <f>(0.0149+0.0219+0.0096)*100</f>
        <v>4.6399999999999997</v>
      </c>
      <c r="U2" s="1">
        <v>8.33</v>
      </c>
      <c r="V2" s="2">
        <v>312</v>
      </c>
      <c r="W2" s="6">
        <f>141+631</f>
        <v>772</v>
      </c>
      <c r="X2" s="13">
        <v>7204</v>
      </c>
      <c r="Y2" s="1">
        <v>4.5</v>
      </c>
      <c r="Z2" s="2">
        <v>3736</v>
      </c>
      <c r="AA2" s="2">
        <v>1876</v>
      </c>
      <c r="AB2" s="16">
        <v>7618</v>
      </c>
      <c r="AC2" s="2">
        <v>219</v>
      </c>
      <c r="AD2" s="2">
        <v>892</v>
      </c>
      <c r="AE2" s="1">
        <v>50</v>
      </c>
      <c r="AF2" s="8">
        <f>SUMPRODUCT({449.5,349.5,249.5}, {0.2005,0.0031,0.003})</f>
        <v>91.956700000000012</v>
      </c>
      <c r="AG2" s="1">
        <v>53</v>
      </c>
      <c r="AH2" s="1">
        <v>1</v>
      </c>
      <c r="AI2" s="2">
        <v>490</v>
      </c>
      <c r="AJ2" s="2">
        <v>600</v>
      </c>
      <c r="AK2" s="2">
        <v>500</v>
      </c>
      <c r="AL2" s="2">
        <v>610</v>
      </c>
      <c r="AM2" s="2"/>
      <c r="AN2" s="2"/>
      <c r="AO2" s="5"/>
      <c r="AP2" s="2"/>
    </row>
    <row r="3" spans="1:42" ht="24" customHeight="1">
      <c r="A3" s="11">
        <v>2015</v>
      </c>
      <c r="B3" s="2" t="s">
        <v>9</v>
      </c>
      <c r="C3" s="11">
        <f>(4984+6407)/(7296+8957)</f>
        <v>0.70085522672737344</v>
      </c>
      <c r="D3" s="11">
        <f>(2467+39)/(7296+8957)</f>
        <v>0.15418691933796838</v>
      </c>
      <c r="E3" s="11">
        <v>37175</v>
      </c>
      <c r="F3" s="11">
        <v>30503</v>
      </c>
      <c r="G3" s="11">
        <v>6672</v>
      </c>
      <c r="H3" s="11">
        <v>6519</v>
      </c>
      <c r="I3" s="11">
        <v>1615</v>
      </c>
      <c r="J3" s="3">
        <v>297</v>
      </c>
      <c r="K3" s="11">
        <v>1489</v>
      </c>
      <c r="L3" s="2">
        <f t="shared" si="0"/>
        <v>24.966420416386836</v>
      </c>
      <c r="M3" s="2">
        <v>10234</v>
      </c>
      <c r="N3" s="2">
        <v>4037</v>
      </c>
      <c r="O3" s="11">
        <v>6997</v>
      </c>
      <c r="P3" s="11">
        <v>15073</v>
      </c>
      <c r="Q3" s="11">
        <v>4038</v>
      </c>
      <c r="R3" s="2">
        <v>3.04</v>
      </c>
      <c r="S3" s="2">
        <v>20.28</v>
      </c>
      <c r="T3" s="1">
        <f>(0.0141+0.023+0.0103)*100</f>
        <v>4.74</v>
      </c>
      <c r="U3" s="1">
        <v>8.9599999999999991</v>
      </c>
      <c r="V3" s="2">
        <v>319</v>
      </c>
      <c r="W3" s="6">
        <f>154+534</f>
        <v>688</v>
      </c>
      <c r="X3" s="13">
        <v>7589</v>
      </c>
      <c r="Y3" s="1">
        <v>5.5</v>
      </c>
      <c r="Z3" s="2">
        <v>3752</v>
      </c>
      <c r="AA3" s="2">
        <v>1791</v>
      </c>
      <c r="AB3" s="16">
        <v>7996</v>
      </c>
      <c r="AC3" s="2">
        <v>186</v>
      </c>
      <c r="AD3" s="2">
        <v>933</v>
      </c>
      <c r="AE3" s="1">
        <v>52</v>
      </c>
      <c r="AF3" s="8">
        <f>SUMPRODUCT({449.5,349.5,249.5}, {0.2356,0.0053,0})</f>
        <v>107.75455000000001</v>
      </c>
      <c r="AG3" s="1">
        <v>55.000000000000007</v>
      </c>
      <c r="AH3" s="1">
        <v>1</v>
      </c>
      <c r="AI3" s="2">
        <v>490</v>
      </c>
      <c r="AJ3" s="2">
        <v>600</v>
      </c>
      <c r="AK3" s="2">
        <v>500</v>
      </c>
      <c r="AL3" s="2">
        <v>600</v>
      </c>
      <c r="AM3" s="2"/>
      <c r="AN3" s="2"/>
      <c r="AO3" s="5"/>
      <c r="AP3" s="2"/>
    </row>
    <row r="4" spans="1:42" ht="24" customHeight="1">
      <c r="A4" s="11">
        <v>2016</v>
      </c>
      <c r="B4" s="2" t="s">
        <v>9</v>
      </c>
      <c r="C4" s="11">
        <f>(5168+6878)/(7338+9488)</f>
        <v>0.71591584452632828</v>
      </c>
      <c r="D4" s="11">
        <f>(2596+42+2083+53)/(7338+9488)</f>
        <v>0.28372756448353736</v>
      </c>
      <c r="E4" s="11">
        <v>37979</v>
      </c>
      <c r="F4" s="11">
        <v>31209</v>
      </c>
      <c r="G4" s="11">
        <v>6770</v>
      </c>
      <c r="H4" s="11">
        <v>6539</v>
      </c>
      <c r="I4" s="11">
        <v>1698</v>
      </c>
      <c r="J4" s="3">
        <v>313</v>
      </c>
      <c r="K4" s="11">
        <v>1554</v>
      </c>
      <c r="L4" s="2">
        <f t="shared" si="0"/>
        <v>24.439510939510939</v>
      </c>
      <c r="M4" s="2">
        <v>10550</v>
      </c>
      <c r="N4" s="2">
        <v>4029</v>
      </c>
      <c r="O4" s="11">
        <v>7538</v>
      </c>
      <c r="P4" s="11">
        <v>14867</v>
      </c>
      <c r="Q4" s="11">
        <v>4245</v>
      </c>
      <c r="R4" s="2">
        <v>2.6</v>
      </c>
      <c r="S4" s="2">
        <v>20.2</v>
      </c>
      <c r="T4" s="1">
        <f>(0.016+0.028+0.008)*100</f>
        <v>5.2</v>
      </c>
      <c r="U4" s="1">
        <v>8.5</v>
      </c>
      <c r="V4" s="2">
        <v>315</v>
      </c>
      <c r="W4" s="6">
        <f>180+568</f>
        <v>748</v>
      </c>
      <c r="X4" s="13">
        <v>7988</v>
      </c>
      <c r="Y4" s="1">
        <v>5.5</v>
      </c>
      <c r="Z4" s="2">
        <v>3938</v>
      </c>
      <c r="AA4" s="2">
        <v>1523</v>
      </c>
      <c r="AB4" s="16">
        <v>7815</v>
      </c>
      <c r="AC4" s="2">
        <v>229</v>
      </c>
      <c r="AD4" s="2">
        <v>1012</v>
      </c>
      <c r="AE4" s="1">
        <v>53</v>
      </c>
      <c r="AF4" s="8">
        <f>SUMPRODUCT({449.5,349.5,249.5},{0.2697,0.0117,0})</f>
        <v>125.3193</v>
      </c>
      <c r="AG4" s="1">
        <v>54</v>
      </c>
      <c r="AH4" s="1">
        <v>1</v>
      </c>
      <c r="AI4" s="2">
        <v>490</v>
      </c>
      <c r="AJ4" s="2">
        <v>600</v>
      </c>
      <c r="AK4" s="2">
        <v>490</v>
      </c>
      <c r="AL4" s="2">
        <v>600</v>
      </c>
      <c r="AM4" s="2"/>
      <c r="AN4" s="2"/>
      <c r="AO4" s="5"/>
      <c r="AP4" s="2"/>
    </row>
    <row r="5" spans="1:42" ht="24" customHeight="1">
      <c r="A5" s="11">
        <v>2017</v>
      </c>
      <c r="B5" s="2" t="s">
        <v>9</v>
      </c>
      <c r="C5" s="11">
        <f>(5764+7621)/(8130+10378)</f>
        <v>0.72320077804192784</v>
      </c>
      <c r="D5" s="11">
        <f>(2128+47+2672+53)/(8130+10378)</f>
        <v>0.264750378214826</v>
      </c>
      <c r="E5" s="11">
        <v>38101</v>
      </c>
      <c r="F5" s="11">
        <v>31405</v>
      </c>
      <c r="G5" s="11">
        <v>6696</v>
      </c>
      <c r="H5" s="11">
        <v>7048</v>
      </c>
      <c r="I5" s="11">
        <v>1700</v>
      </c>
      <c r="J5" s="3">
        <v>279</v>
      </c>
      <c r="K5" s="11">
        <v>1683</v>
      </c>
      <c r="L5" s="2">
        <f t="shared" si="0"/>
        <v>22.638740344622697</v>
      </c>
      <c r="M5" s="2">
        <v>10739</v>
      </c>
      <c r="N5" s="2">
        <v>3940</v>
      </c>
      <c r="O5" s="11">
        <v>7893</v>
      </c>
      <c r="P5" s="11">
        <v>14453</v>
      </c>
      <c r="Q5" s="11">
        <v>4284</v>
      </c>
      <c r="R5" s="2">
        <v>2.77</v>
      </c>
      <c r="S5" s="2">
        <v>20.16</v>
      </c>
      <c r="T5" s="1">
        <f>(0.0211+0.0426+0.0085)*100</f>
        <v>7.2200000000000015</v>
      </c>
      <c r="U5" s="1">
        <v>7.55</v>
      </c>
      <c r="V5" s="2">
        <v>328</v>
      </c>
      <c r="W5" s="6">
        <f>182+560</f>
        <v>742</v>
      </c>
      <c r="X5" s="13">
        <v>8403</v>
      </c>
      <c r="Y5" s="1">
        <v>1.5</v>
      </c>
      <c r="Z5" s="2">
        <v>4281</v>
      </c>
      <c r="AA5" s="2">
        <v>1305</v>
      </c>
      <c r="AB5" s="16">
        <v>8311</v>
      </c>
      <c r="AC5" s="2">
        <v>224</v>
      </c>
      <c r="AD5" s="2">
        <v>1139</v>
      </c>
      <c r="AE5" s="1">
        <v>52.325999999999993</v>
      </c>
      <c r="AF5" s="8">
        <f>SUMPRODUCT({449.5,349.5,249.5}, {0.1036,0.0025,0})</f>
        <v>47.441949999999999</v>
      </c>
      <c r="AG5" s="1">
        <v>53</v>
      </c>
      <c r="AH5" s="1">
        <v>2</v>
      </c>
      <c r="AI5" s="2">
        <v>540</v>
      </c>
      <c r="AJ5" s="2">
        <v>640</v>
      </c>
      <c r="AK5" s="2">
        <v>520</v>
      </c>
      <c r="AL5" s="2">
        <v>620</v>
      </c>
      <c r="AM5" s="2"/>
      <c r="AN5" s="2"/>
      <c r="AO5" s="5"/>
      <c r="AP5" s="2"/>
    </row>
    <row r="6" spans="1:42" ht="24" customHeight="1">
      <c r="A6" s="11">
        <v>2018</v>
      </c>
      <c r="B6" s="2" t="s">
        <v>9</v>
      </c>
      <c r="C6" s="11">
        <f>(6057+8026)/(8693+11068)</f>
        <v>0.71266636303830777</v>
      </c>
      <c r="D6" s="11">
        <f>(2075+57+2616+41)/(8693+11068)</f>
        <v>0.24234603511968017</v>
      </c>
      <c r="E6" s="11">
        <v>38087</v>
      </c>
      <c r="F6" s="11">
        <v>31347</v>
      </c>
      <c r="G6" s="11">
        <v>6740</v>
      </c>
      <c r="H6" s="11">
        <v>7201</v>
      </c>
      <c r="I6" s="11">
        <v>1893</v>
      </c>
      <c r="J6" s="3">
        <v>253</v>
      </c>
      <c r="K6" s="11">
        <v>1715</v>
      </c>
      <c r="L6" s="2">
        <f t="shared" si="0"/>
        <v>22.208163265306123</v>
      </c>
      <c r="M6" s="2">
        <v>10750</v>
      </c>
      <c r="N6" s="2">
        <v>3892</v>
      </c>
      <c r="O6" s="11">
        <v>8304</v>
      </c>
      <c r="P6" s="11">
        <v>13850</v>
      </c>
      <c r="Q6" s="11">
        <v>4263</v>
      </c>
      <c r="R6" s="2">
        <v>2.87</v>
      </c>
      <c r="S6" s="2">
        <v>19.07</v>
      </c>
      <c r="T6" s="1">
        <f>(0.026+0.0421+0.0089)*100</f>
        <v>7.7</v>
      </c>
      <c r="U6" s="1">
        <v>7.68</v>
      </c>
      <c r="V6" s="2">
        <v>306</v>
      </c>
      <c r="W6" s="6">
        <f>179+585</f>
        <v>764</v>
      </c>
      <c r="X6" s="13"/>
      <c r="Y6" s="1">
        <v>1.5</v>
      </c>
      <c r="Z6" s="2">
        <v>4381</v>
      </c>
      <c r="AA6" s="2">
        <v>1273</v>
      </c>
      <c r="AB6" s="16">
        <v>8425</v>
      </c>
      <c r="AC6" s="2">
        <v>221</v>
      </c>
      <c r="AD6" s="2">
        <v>1137</v>
      </c>
      <c r="AE6" s="1">
        <v>54.97</v>
      </c>
      <c r="AF6" s="8">
        <f>SUMPRODUCT({449.5,349.5,249.5}, {0.0992,0.0034,0})</f>
        <v>45.778699999999994</v>
      </c>
      <c r="AG6" s="1">
        <v>50</v>
      </c>
      <c r="AH6" s="1">
        <v>2</v>
      </c>
      <c r="AI6" s="2">
        <v>540</v>
      </c>
      <c r="AJ6" s="2">
        <v>640</v>
      </c>
      <c r="AK6" s="2">
        <v>520</v>
      </c>
      <c r="AL6" s="2">
        <v>620</v>
      </c>
      <c r="AM6" s="2"/>
      <c r="AN6" s="2"/>
      <c r="AO6" s="5"/>
      <c r="AP6" s="2"/>
    </row>
    <row r="7" spans="1:42" ht="24" customHeight="1">
      <c r="A7" s="11">
        <v>2019</v>
      </c>
      <c r="B7" s="2" t="s">
        <v>9</v>
      </c>
      <c r="C7" s="11">
        <f>(6752+9129)/(9402+12138)</f>
        <v>0.73727948003714017</v>
      </c>
      <c r="D7" s="11">
        <f>(2353+62+3030+64)/(9402+12138)</f>
        <v>0.25575673166202412</v>
      </c>
      <c r="E7" s="11">
        <v>39192</v>
      </c>
      <c r="F7" s="11">
        <v>32126</v>
      </c>
      <c r="G7" s="11">
        <v>7066</v>
      </c>
      <c r="H7" s="11">
        <v>7639</v>
      </c>
      <c r="I7" s="11">
        <v>1792</v>
      </c>
      <c r="J7" s="3">
        <v>312</v>
      </c>
      <c r="K7" s="11">
        <v>1746</v>
      </c>
      <c r="L7" s="2">
        <f t="shared" si="0"/>
        <v>22.446735395189002</v>
      </c>
      <c r="M7" s="2">
        <v>10877</v>
      </c>
      <c r="N7" s="2">
        <v>4152</v>
      </c>
      <c r="O7" s="11">
        <v>8740</v>
      </c>
      <c r="P7" s="11">
        <v>13653</v>
      </c>
      <c r="Q7" s="11">
        <v>4440</v>
      </c>
      <c r="R7" s="2">
        <v>2.2599999999999998</v>
      </c>
      <c r="S7" s="2">
        <v>19.41</v>
      </c>
      <c r="T7" s="1">
        <f>(0.0254+0.0399+0.0086)*100</f>
        <v>7.39</v>
      </c>
      <c r="U7" s="1">
        <v>7.79</v>
      </c>
      <c r="V7" s="2">
        <v>228</v>
      </c>
      <c r="W7" s="6">
        <f>125+571</f>
        <v>696</v>
      </c>
      <c r="X7" s="13"/>
      <c r="Y7" s="1">
        <v>1.5</v>
      </c>
      <c r="Z7" s="2">
        <v>5014</v>
      </c>
      <c r="AA7" s="2">
        <v>1479</v>
      </c>
      <c r="AB7" s="16">
        <v>8553</v>
      </c>
      <c r="AC7" s="2">
        <v>205</v>
      </c>
      <c r="AD7" s="2">
        <v>1502</v>
      </c>
      <c r="AE7" s="1">
        <v>57.37</v>
      </c>
      <c r="AF7" s="8">
        <f>SUMPRODUCT({449.5,349.5,249.5}, {0.1138,0.0024,0})</f>
        <v>51.991900000000001</v>
      </c>
      <c r="AG7" s="1">
        <v>53</v>
      </c>
      <c r="AH7" s="1">
        <v>1</v>
      </c>
      <c r="AI7" s="2">
        <v>540</v>
      </c>
      <c r="AJ7" s="2">
        <v>630</v>
      </c>
      <c r="AK7" s="2">
        <v>520</v>
      </c>
      <c r="AL7" s="2">
        <v>620</v>
      </c>
      <c r="AM7" s="2"/>
      <c r="AN7" s="2"/>
      <c r="AO7" s="5"/>
      <c r="AP7" s="2"/>
    </row>
    <row r="8" spans="1:42" ht="24" customHeight="1">
      <c r="A8" s="11">
        <v>2020</v>
      </c>
      <c r="B8" s="2" t="s">
        <v>9</v>
      </c>
      <c r="C8" s="11">
        <f>(7640+10334)/(9310+11998)</f>
        <v>0.84353294537263002</v>
      </c>
      <c r="D8" s="11">
        <f>(2250+91+2795+99)/(9310+11998)</f>
        <v>0.24568237281772104</v>
      </c>
      <c r="E8" s="11">
        <v>40653</v>
      </c>
      <c r="F8" s="11">
        <v>32694</v>
      </c>
      <c r="G8" s="11">
        <v>7959</v>
      </c>
      <c r="H8" s="11">
        <v>7824</v>
      </c>
      <c r="I8" s="11">
        <v>1958</v>
      </c>
      <c r="J8" s="3">
        <v>325</v>
      </c>
      <c r="K8" s="11">
        <v>1571</v>
      </c>
      <c r="L8" s="2">
        <f t="shared" si="0"/>
        <v>25.87714831317632</v>
      </c>
      <c r="M8" s="2">
        <v>10834</v>
      </c>
      <c r="N8" s="2">
        <v>3793</v>
      </c>
      <c r="O8" s="11">
        <v>9125</v>
      </c>
      <c r="P8" s="11">
        <v>13529</v>
      </c>
      <c r="Q8" s="11">
        <v>4664</v>
      </c>
      <c r="R8" s="2">
        <v>2.38</v>
      </c>
      <c r="S8" s="2">
        <v>18.98</v>
      </c>
      <c r="T8" s="1">
        <f>(0.0299+0.0409+0.0082)*100</f>
        <v>7.9</v>
      </c>
      <c r="U8" s="1">
        <v>8.33</v>
      </c>
      <c r="V8" s="2">
        <v>138</v>
      </c>
      <c r="W8" s="6">
        <f>174+554</f>
        <v>728</v>
      </c>
      <c r="X8" s="13">
        <v>8643</v>
      </c>
      <c r="Y8" s="1">
        <v>2.5</v>
      </c>
      <c r="Z8" s="2">
        <v>5896</v>
      </c>
      <c r="AA8" s="2">
        <v>1506</v>
      </c>
      <c r="AB8" s="16">
        <v>8849</v>
      </c>
      <c r="AC8" s="2">
        <v>198</v>
      </c>
      <c r="AD8" s="2">
        <v>1563</v>
      </c>
      <c r="AE8" s="1">
        <v>58.309999999999995</v>
      </c>
      <c r="AF8" s="8">
        <f>SUMPRODUCT({449.5,349.5,249.5}, {0.1426,0.0113,0})</f>
        <v>68.048050000000003</v>
      </c>
      <c r="AG8" s="1">
        <v>53</v>
      </c>
      <c r="AH8" s="1">
        <v>2</v>
      </c>
      <c r="AI8" s="2">
        <v>530</v>
      </c>
      <c r="AJ8" s="2">
        <v>630</v>
      </c>
      <c r="AK8" s="2">
        <v>520</v>
      </c>
      <c r="AL8" s="2">
        <v>610</v>
      </c>
      <c r="AM8" s="2">
        <f>17+6+1+2+10+3</f>
        <v>39</v>
      </c>
      <c r="AN8" s="2">
        <f>17+10</f>
        <v>27</v>
      </c>
      <c r="AO8" s="5">
        <f>85+22</f>
        <v>107</v>
      </c>
      <c r="AP8" s="2">
        <v>2</v>
      </c>
    </row>
    <row r="9" spans="1:42" ht="24" customHeight="1">
      <c r="A9" s="11">
        <v>2021</v>
      </c>
      <c r="B9" s="2" t="s">
        <v>9</v>
      </c>
      <c r="C9" s="11">
        <f>20242/(24854)</f>
        <v>0.8144363080389474</v>
      </c>
      <c r="D9" s="11">
        <f>5563/24854</f>
        <v>0.22382715055926611</v>
      </c>
      <c r="E9" s="11">
        <v>42454</v>
      </c>
      <c r="F9" s="11">
        <v>32603</v>
      </c>
      <c r="G9" s="11">
        <v>9851</v>
      </c>
      <c r="H9" s="11">
        <v>8157</v>
      </c>
      <c r="I9" s="11">
        <v>2151</v>
      </c>
      <c r="J9" s="3">
        <v>269</v>
      </c>
      <c r="K9" s="11">
        <v>1706</v>
      </c>
      <c r="L9" s="2">
        <f t="shared" si="0"/>
        <v>24.885111371629542</v>
      </c>
      <c r="M9" s="2">
        <v>10377</v>
      </c>
      <c r="N9" s="2">
        <v>4116</v>
      </c>
      <c r="O9" s="11">
        <v>8903</v>
      </c>
      <c r="P9" s="11">
        <v>13116</v>
      </c>
      <c r="Q9" s="11">
        <v>4752</v>
      </c>
      <c r="R9" s="2">
        <v>2.21</v>
      </c>
      <c r="S9" s="2">
        <v>20.11</v>
      </c>
      <c r="T9" s="1">
        <f>(0.0463+0.0405+0.007)*100</f>
        <v>9.3800000000000008</v>
      </c>
      <c r="U9" s="1">
        <v>7.82</v>
      </c>
      <c r="V9" s="2">
        <v>162</v>
      </c>
      <c r="W9" s="6">
        <f>120+599</f>
        <v>719</v>
      </c>
      <c r="X9" s="13">
        <v>4322</v>
      </c>
      <c r="Y9" s="1">
        <v>4.6999999999999993E-3</v>
      </c>
      <c r="Z9" s="2">
        <v>5935</v>
      </c>
      <c r="AA9" s="2">
        <v>1288</v>
      </c>
      <c r="AB9" s="16">
        <v>6047</v>
      </c>
      <c r="AC9" s="2">
        <v>194</v>
      </c>
      <c r="AD9" s="2">
        <v>1770</v>
      </c>
      <c r="AE9" s="1">
        <v>57.8</v>
      </c>
      <c r="AF9" s="8">
        <f>SUMPRODUCT({449.5,349.5,249.5}, {0.1928,0.0313,0.008})</f>
        <v>99.598950000000002</v>
      </c>
      <c r="AG9" s="1">
        <v>45.16</v>
      </c>
      <c r="AH9" s="1">
        <v>5.47</v>
      </c>
      <c r="AI9" s="2">
        <v>510</v>
      </c>
      <c r="AJ9" s="2">
        <v>630</v>
      </c>
      <c r="AK9" s="2">
        <v>500</v>
      </c>
      <c r="AL9" s="2">
        <v>610</v>
      </c>
      <c r="AM9" s="2">
        <f>27+7+2+6+7+5</f>
        <v>54</v>
      </c>
      <c r="AN9" s="2">
        <f>15+17</f>
        <v>32</v>
      </c>
      <c r="AO9" s="5">
        <f>3+58+61</f>
        <v>122</v>
      </c>
      <c r="AP9" s="2">
        <v>4</v>
      </c>
    </row>
    <row r="10" spans="1:42" ht="24" customHeight="1">
      <c r="A10" s="11">
        <v>2022</v>
      </c>
      <c r="B10" s="2" t="s">
        <v>9</v>
      </c>
      <c r="C10" s="11">
        <f>25742/32724</f>
        <v>0.78663977508861993</v>
      </c>
      <c r="D10" s="11">
        <f>6624/32724</f>
        <v>0.20242024202420242</v>
      </c>
      <c r="E10" s="11">
        <v>44705</v>
      </c>
      <c r="F10" s="11">
        <v>33024</v>
      </c>
      <c r="G10" s="11">
        <v>11681</v>
      </c>
      <c r="H10" s="11">
        <v>7937</v>
      </c>
      <c r="I10" s="11">
        <v>2702</v>
      </c>
      <c r="J10" s="3">
        <v>315</v>
      </c>
      <c r="K10" s="11">
        <v>1861</v>
      </c>
      <c r="L10" s="2">
        <f t="shared" si="0"/>
        <v>24.022031166039763</v>
      </c>
      <c r="M10" s="2">
        <v>11317</v>
      </c>
      <c r="N10" s="2">
        <v>3751</v>
      </c>
      <c r="O10" s="11">
        <v>9488</v>
      </c>
      <c r="P10" s="11">
        <v>12602</v>
      </c>
      <c r="Q10" s="11">
        <v>5013</v>
      </c>
      <c r="R10" s="2">
        <v>2.5099999999999998</v>
      </c>
      <c r="S10" s="2">
        <v>18.440000000000001</v>
      </c>
      <c r="T10" s="1">
        <f>(0.0549+0.0341+0.0063)*100</f>
        <v>9.5299999999999994</v>
      </c>
      <c r="U10" s="1">
        <v>7.91</v>
      </c>
      <c r="V10" s="2">
        <v>166</v>
      </c>
      <c r="W10" s="6">
        <f>151+626</f>
        <v>777</v>
      </c>
      <c r="X10" s="13">
        <v>8295</v>
      </c>
      <c r="Y10" s="1">
        <v>1.5</v>
      </c>
      <c r="Z10" s="2">
        <v>7491</v>
      </c>
      <c r="AA10" s="2">
        <v>2416</v>
      </c>
      <c r="AB10" s="16">
        <v>9559</v>
      </c>
      <c r="AC10" s="2">
        <v>163</v>
      </c>
      <c r="AD10" s="2">
        <v>1914</v>
      </c>
      <c r="AE10" s="1">
        <v>58.89</v>
      </c>
      <c r="AF10" s="8">
        <f>SUMPRODUCT({449.5,349.5,249.5}, {0.2132,0.0398,0.007})</f>
        <v>111.49</v>
      </c>
      <c r="AG10" s="1">
        <v>38</v>
      </c>
      <c r="AH10" s="1">
        <v>6</v>
      </c>
      <c r="AI10" s="2">
        <v>510</v>
      </c>
      <c r="AJ10" s="2">
        <v>630</v>
      </c>
      <c r="AK10" s="2">
        <v>490</v>
      </c>
      <c r="AL10" s="2">
        <v>610</v>
      </c>
      <c r="AM10" s="2">
        <f>20+14+3+12+5</f>
        <v>54</v>
      </c>
      <c r="AN10" s="2">
        <v>35</v>
      </c>
      <c r="AO10" s="5">
        <f>86+63</f>
        <v>149</v>
      </c>
      <c r="AP10" s="2">
        <v>1</v>
      </c>
    </row>
    <row r="11" spans="1:42" ht="24" customHeight="1">
      <c r="A11" s="11">
        <v>2023</v>
      </c>
      <c r="B11" s="2" t="s">
        <v>9</v>
      </c>
      <c r="C11" s="11">
        <f>26671/36807</f>
        <v>0.72461759991305996</v>
      </c>
      <c r="D11" s="11">
        <f>6926/36807</f>
        <v>0.18817072839405549</v>
      </c>
      <c r="E11" s="11">
        <v>47507</v>
      </c>
      <c r="F11" s="11">
        <v>33858</v>
      </c>
      <c r="G11" s="11">
        <v>13649</v>
      </c>
      <c r="H11" s="11">
        <v>7805</v>
      </c>
      <c r="I11" s="11">
        <v>4238</v>
      </c>
      <c r="J11" s="3">
        <f>298+12</f>
        <v>310</v>
      </c>
      <c r="K11" s="11">
        <v>2051</v>
      </c>
      <c r="L11" s="2">
        <f t="shared" si="0"/>
        <v>23.162847391516333</v>
      </c>
      <c r="M11" s="2">
        <v>7503</v>
      </c>
      <c r="N11" s="2">
        <v>3720</v>
      </c>
      <c r="O11" s="11">
        <v>10092</v>
      </c>
      <c r="P11" s="11">
        <v>12179</v>
      </c>
      <c r="Q11" s="11">
        <v>5465</v>
      </c>
      <c r="R11" s="2">
        <v>2.4</v>
      </c>
      <c r="S11" s="2">
        <v>18.8</v>
      </c>
      <c r="T11" s="1">
        <f>(0.054+0.047+0.007)*100</f>
        <v>10.8</v>
      </c>
      <c r="U11" s="1">
        <v>8.6</v>
      </c>
      <c r="V11" s="2">
        <v>184</v>
      </c>
      <c r="W11" s="6">
        <f>227+751</f>
        <v>978</v>
      </c>
      <c r="X11" s="13">
        <v>8673</v>
      </c>
      <c r="Y11" s="1">
        <v>1.6950000000000001</v>
      </c>
      <c r="Z11" s="2">
        <v>5303</v>
      </c>
      <c r="AA11" s="2">
        <v>1592</v>
      </c>
      <c r="AB11" s="16">
        <v>10246</v>
      </c>
      <c r="AC11" s="2">
        <v>179</v>
      </c>
      <c r="AD11" s="2">
        <v>2023</v>
      </c>
      <c r="AE11" s="1">
        <v>60</v>
      </c>
      <c r="AF11" s="8">
        <f>SUMPRODUCT({449.5,349.5,249.5}, {0.2008,0.0627,0.007})</f>
        <v>113.91975000000001</v>
      </c>
      <c r="AG11" s="1">
        <v>38.97</v>
      </c>
      <c r="AH11" s="1">
        <v>4.6399999999999997</v>
      </c>
      <c r="AI11" s="2">
        <v>500</v>
      </c>
      <c r="AJ11" s="2">
        <v>630</v>
      </c>
      <c r="AK11" s="2">
        <v>480</v>
      </c>
      <c r="AL11" s="2">
        <v>600</v>
      </c>
      <c r="AM11" s="2"/>
      <c r="AN11" s="2"/>
      <c r="AO11" s="5"/>
      <c r="AP11" s="2"/>
    </row>
    <row r="12" spans="1:42" ht="24" customHeight="1">
      <c r="A12" s="11">
        <v>2014</v>
      </c>
      <c r="B12" s="2" t="s">
        <v>22</v>
      </c>
      <c r="C12" s="11">
        <f>(3260+2678)/(5156+4431)</f>
        <v>0.61938041097319285</v>
      </c>
      <c r="D12" s="11">
        <f>(1422+24+1058+16)/(5156+4431)</f>
        <v>0.26285595076666318</v>
      </c>
      <c r="E12" s="11">
        <v>23095</v>
      </c>
      <c r="F12" s="11">
        <v>14300</v>
      </c>
      <c r="G12" s="11">
        <v>8795</v>
      </c>
      <c r="H12" s="11">
        <v>2799</v>
      </c>
      <c r="I12" s="11">
        <v>2937</v>
      </c>
      <c r="J12" s="3">
        <f>173+8</f>
        <v>181</v>
      </c>
      <c r="K12" s="11">
        <v>1110</v>
      </c>
      <c r="L12" s="2">
        <f t="shared" si="0"/>
        <v>20.806306306306308</v>
      </c>
      <c r="M12" s="2">
        <v>5008</v>
      </c>
      <c r="N12" s="2">
        <v>1941</v>
      </c>
      <c r="O12" s="11">
        <v>2544</v>
      </c>
      <c r="P12" s="11">
        <v>5548</v>
      </c>
      <c r="Q12" s="11">
        <v>909</v>
      </c>
      <c r="R12" s="2">
        <v>4</v>
      </c>
      <c r="S12" s="2">
        <v>32</v>
      </c>
      <c r="T12" s="1">
        <v>14.000000000000002</v>
      </c>
      <c r="U12" s="1">
        <v>6</v>
      </c>
      <c r="V12" s="2">
        <v>68</v>
      </c>
      <c r="W12" s="6">
        <f>51+280</f>
        <v>331</v>
      </c>
      <c r="X12" s="13">
        <v>11806</v>
      </c>
      <c r="Y12" s="1">
        <v>3.5000000000000004</v>
      </c>
      <c r="Z12" s="2">
        <v>408</v>
      </c>
      <c r="AA12" s="2">
        <v>989</v>
      </c>
      <c r="AB12" s="16">
        <v>8592</v>
      </c>
      <c r="AC12" s="2">
        <v>54</v>
      </c>
      <c r="AD12" s="2">
        <v>554</v>
      </c>
      <c r="AE12" s="1">
        <v>71</v>
      </c>
      <c r="AF12" s="8">
        <f>SUMPRODUCT({449.5,349.5,249.5}, {0.03,0,0})</f>
        <v>13.484999999999999</v>
      </c>
      <c r="AG12" s="1">
        <v>70</v>
      </c>
      <c r="AH12" s="1">
        <v>2</v>
      </c>
      <c r="AI12" s="2">
        <v>550</v>
      </c>
      <c r="AJ12" s="2">
        <v>670</v>
      </c>
      <c r="AK12" s="2">
        <v>590</v>
      </c>
      <c r="AL12" s="2">
        <v>700</v>
      </c>
      <c r="AM12" s="2"/>
      <c r="AN12" s="2"/>
      <c r="AO12" s="5"/>
      <c r="AP12" s="2"/>
    </row>
    <row r="13" spans="1:42" ht="24" customHeight="1">
      <c r="A13" s="11">
        <v>2015</v>
      </c>
      <c r="B13" s="2" t="s">
        <v>22</v>
      </c>
      <c r="C13" s="11">
        <f>(3794+3115)/(5978+5259)</f>
        <v>0.61484381952478417</v>
      </c>
      <c r="D13" s="11">
        <f>(1556+50+1105+22)/(5978+5259)</f>
        <v>0.24321438106256119</v>
      </c>
      <c r="E13" s="11">
        <v>24554</v>
      </c>
      <c r="F13" s="11">
        <v>15575</v>
      </c>
      <c r="G13" s="11">
        <v>8979</v>
      </c>
      <c r="H13" s="11">
        <v>3127</v>
      </c>
      <c r="I13" s="11">
        <v>3144</v>
      </c>
      <c r="J13" s="3">
        <v>205</v>
      </c>
      <c r="K13" s="11">
        <v>1198</v>
      </c>
      <c r="L13" s="2">
        <f t="shared" si="0"/>
        <v>20.495826377295494</v>
      </c>
      <c r="M13" s="2">
        <v>5525</v>
      </c>
      <c r="N13" s="2">
        <v>2024</v>
      </c>
      <c r="O13" s="11">
        <v>2794</v>
      </c>
      <c r="P13" s="11">
        <v>5825</v>
      </c>
      <c r="Q13" s="11">
        <v>948</v>
      </c>
      <c r="R13" s="2">
        <v>6</v>
      </c>
      <c r="S13" s="2">
        <v>28</v>
      </c>
      <c r="T13" s="1">
        <v>19</v>
      </c>
      <c r="U13" s="1">
        <v>5</v>
      </c>
      <c r="V13" s="2">
        <v>75</v>
      </c>
      <c r="W13" s="6">
        <f>109+318</f>
        <v>427</v>
      </c>
      <c r="X13" s="13">
        <v>11806</v>
      </c>
      <c r="Y13" s="1">
        <v>2.5</v>
      </c>
      <c r="Z13" s="2">
        <v>471</v>
      </c>
      <c r="AA13" s="2">
        <v>1094</v>
      </c>
      <c r="AB13" s="16">
        <v>8726</v>
      </c>
      <c r="AC13" s="2">
        <v>55</v>
      </c>
      <c r="AD13" s="2">
        <v>622</v>
      </c>
      <c r="AE13" s="1">
        <v>67</v>
      </c>
      <c r="AF13" s="8">
        <f>SUMPRODUCT({449.5,349.5,249.5}, {0.021,0.001,0})</f>
        <v>9.7890000000000015</v>
      </c>
      <c r="AG13" s="1">
        <v>64</v>
      </c>
      <c r="AH13" s="1">
        <v>2</v>
      </c>
      <c r="AI13" s="2">
        <v>560</v>
      </c>
      <c r="AJ13" s="2">
        <v>670</v>
      </c>
      <c r="AK13" s="2">
        <v>600</v>
      </c>
      <c r="AL13" s="2">
        <v>700</v>
      </c>
      <c r="AM13" s="2"/>
      <c r="AN13" s="2"/>
      <c r="AO13" s="5"/>
      <c r="AP13" s="2"/>
    </row>
    <row r="14" spans="1:42" ht="24" customHeight="1">
      <c r="A14" s="11">
        <v>2016</v>
      </c>
      <c r="B14" s="2" t="s">
        <v>22</v>
      </c>
      <c r="C14" s="11">
        <f>(4716+3909)/(6832+5854)</f>
        <v>0.67988333596090178</v>
      </c>
      <c r="D14" s="11">
        <f>(1870+62+1267+30)/(6832+5854)</f>
        <v>0.25453255557307269</v>
      </c>
      <c r="E14" s="11">
        <v>26793</v>
      </c>
      <c r="F14" s="11">
        <v>17350</v>
      </c>
      <c r="G14" s="11">
        <v>9443</v>
      </c>
      <c r="H14" s="11">
        <v>3082</v>
      </c>
      <c r="I14" s="11">
        <v>3462</v>
      </c>
      <c r="J14" s="3">
        <v>183</v>
      </c>
      <c r="K14" s="11">
        <v>1227</v>
      </c>
      <c r="L14" s="2">
        <f t="shared" si="0"/>
        <v>21.836185819070906</v>
      </c>
      <c r="M14" s="2">
        <v>5994</v>
      </c>
      <c r="N14" s="2">
        <v>2006</v>
      </c>
      <c r="O14" s="11">
        <v>3199</v>
      </c>
      <c r="P14" s="11">
        <v>6186</v>
      </c>
      <c r="Q14" s="11">
        <v>1028</v>
      </c>
      <c r="R14" s="2">
        <v>6.7</v>
      </c>
      <c r="S14" s="2">
        <v>26.2</v>
      </c>
      <c r="T14" s="1">
        <v>21.3</v>
      </c>
      <c r="U14" s="1">
        <v>5.5</v>
      </c>
      <c r="V14" s="2">
        <v>82</v>
      </c>
      <c r="W14" s="6">
        <f>56+342</f>
        <v>398</v>
      </c>
      <c r="X14" s="13">
        <v>12162</v>
      </c>
      <c r="Y14" s="1">
        <v>2.5</v>
      </c>
      <c r="Z14" s="2">
        <v>463</v>
      </c>
      <c r="AA14" s="2">
        <v>1089</v>
      </c>
      <c r="AB14" s="16">
        <v>9119</v>
      </c>
      <c r="AC14" s="2">
        <v>44</v>
      </c>
      <c r="AD14" s="2">
        <v>681</v>
      </c>
      <c r="AE14" s="1">
        <v>68</v>
      </c>
      <c r="AF14" s="8">
        <f>SUMPRODUCT({449.5,349.5,249.5}, {0.027,0,0})</f>
        <v>12.1365</v>
      </c>
      <c r="AG14" s="1">
        <v>61</v>
      </c>
      <c r="AH14" s="1">
        <v>2</v>
      </c>
      <c r="AI14" s="2">
        <v>550</v>
      </c>
      <c r="AJ14" s="2">
        <v>670</v>
      </c>
      <c r="AK14" s="2">
        <v>590</v>
      </c>
      <c r="AL14" s="2">
        <v>710</v>
      </c>
      <c r="AM14" s="2"/>
      <c r="AN14" s="2"/>
      <c r="AO14" s="5"/>
      <c r="AP14" s="2"/>
    </row>
    <row r="15" spans="1:42" ht="24" customHeight="1">
      <c r="A15" s="11">
        <v>2017</v>
      </c>
      <c r="B15" s="2" t="s">
        <v>22</v>
      </c>
      <c r="C15" s="11">
        <f>(4907+4058)/(6403+5388)</f>
        <v>0.76032567212280555</v>
      </c>
      <c r="D15" s="11">
        <f>(1790+64+1295+28)/(6403+5388)</f>
        <v>0.26944279535238741</v>
      </c>
      <c r="E15" s="11">
        <v>27642</v>
      </c>
      <c r="F15" s="11">
        <v>18388</v>
      </c>
      <c r="G15" s="11">
        <v>9254</v>
      </c>
      <c r="H15" s="11">
        <v>3434</v>
      </c>
      <c r="I15" s="11">
        <v>3436</v>
      </c>
      <c r="J15" s="3">
        <v>211</v>
      </c>
      <c r="K15" s="11">
        <v>1332</v>
      </c>
      <c r="L15" s="2">
        <f t="shared" si="0"/>
        <v>20.752252252252251</v>
      </c>
      <c r="M15" s="2">
        <v>6590</v>
      </c>
      <c r="N15" s="2">
        <v>1984</v>
      </c>
      <c r="O15" s="11">
        <v>3364</v>
      </c>
      <c r="P15" s="11">
        <v>6290</v>
      </c>
      <c r="Q15" s="11">
        <v>1067</v>
      </c>
      <c r="R15" s="2">
        <v>9.06</v>
      </c>
      <c r="S15" s="2">
        <v>23.94</v>
      </c>
      <c r="T15" s="1">
        <v>23.04</v>
      </c>
      <c r="U15" s="1">
        <v>6.7</v>
      </c>
      <c r="V15" s="2">
        <v>100</v>
      </c>
      <c r="W15" s="6">
        <f>80+414</f>
        <v>494</v>
      </c>
      <c r="X15" s="13">
        <v>13034</v>
      </c>
      <c r="Y15" s="1">
        <v>6</v>
      </c>
      <c r="Z15" s="2">
        <v>444</v>
      </c>
      <c r="AA15" s="2">
        <v>1203</v>
      </c>
      <c r="AB15" s="16">
        <v>9183</v>
      </c>
      <c r="AC15" s="2">
        <v>56</v>
      </c>
      <c r="AD15" s="2">
        <v>920</v>
      </c>
      <c r="AE15" s="1">
        <v>70</v>
      </c>
      <c r="AF15" s="8">
        <f>SUMPRODUCT({449.5,349.5,249.5}, {0.0074,0,0})</f>
        <v>3.3263000000000003</v>
      </c>
      <c r="AG15" s="1">
        <v>64</v>
      </c>
      <c r="AH15" s="1">
        <v>2</v>
      </c>
      <c r="AI15" s="2">
        <v>600</v>
      </c>
      <c r="AJ15" s="2">
        <v>700</v>
      </c>
      <c r="AK15" s="2">
        <v>620</v>
      </c>
      <c r="AL15" s="2">
        <v>730</v>
      </c>
      <c r="AM15" s="2"/>
      <c r="AN15" s="2"/>
      <c r="AO15" s="5"/>
      <c r="AP15" s="2"/>
    </row>
    <row r="16" spans="1:42" ht="24" customHeight="1">
      <c r="A16" s="11">
        <v>2018</v>
      </c>
      <c r="B16" s="2" t="s">
        <v>22</v>
      </c>
      <c r="C16" s="11">
        <f>(5747+4859)/(7033+6090)</f>
        <v>0.80819934466204379</v>
      </c>
      <c r="D16" s="11">
        <f>(2169+75+1582+36)/(7033+6090)</f>
        <v>0.29429246361350303</v>
      </c>
      <c r="E16" s="11">
        <v>28755</v>
      </c>
      <c r="F16" s="11">
        <v>19872</v>
      </c>
      <c r="G16" s="11">
        <v>8883</v>
      </c>
      <c r="H16" s="11">
        <v>3907</v>
      </c>
      <c r="I16" s="11">
        <v>3698</v>
      </c>
      <c r="J16" s="3">
        <f>223+8</f>
        <v>231</v>
      </c>
      <c r="K16" s="11">
        <v>1333</v>
      </c>
      <c r="L16" s="2">
        <f t="shared" si="0"/>
        <v>21.571642910727682</v>
      </c>
      <c r="M16" s="2">
        <v>7050</v>
      </c>
      <c r="N16" s="2">
        <v>1982</v>
      </c>
      <c r="O16" s="11">
        <v>3651</v>
      </c>
      <c r="P16" s="11">
        <v>6404</v>
      </c>
      <c r="Q16" s="11">
        <v>1077</v>
      </c>
      <c r="R16" s="2">
        <v>8.11</v>
      </c>
      <c r="S16" s="2">
        <v>23.65</v>
      </c>
      <c r="T16" s="1">
        <v>25.21</v>
      </c>
      <c r="U16" s="1">
        <v>7.5200000000000005</v>
      </c>
      <c r="V16" s="2">
        <v>112</v>
      </c>
      <c r="W16" s="6">
        <f>81+402</f>
        <v>483</v>
      </c>
      <c r="X16" s="13">
        <v>13034</v>
      </c>
      <c r="Y16" s="1">
        <v>6</v>
      </c>
      <c r="Z16" s="2">
        <v>391</v>
      </c>
      <c r="AA16" s="2">
        <v>1165</v>
      </c>
      <c r="AB16" s="16">
        <v>9376</v>
      </c>
      <c r="AC16" s="2">
        <v>62</v>
      </c>
      <c r="AD16" s="2">
        <v>841</v>
      </c>
      <c r="AE16" s="1">
        <v>73.3</v>
      </c>
      <c r="AF16" s="8">
        <f>SUMPRODUCT({449.5,349.5,249.5}, {0.004,0,0})</f>
        <v>1.798</v>
      </c>
      <c r="AG16" s="1">
        <v>66</v>
      </c>
      <c r="AH16" s="1">
        <v>2</v>
      </c>
      <c r="AI16" s="2">
        <v>600</v>
      </c>
      <c r="AJ16" s="2">
        <v>700</v>
      </c>
      <c r="AK16" s="2">
        <v>620</v>
      </c>
      <c r="AL16" s="2">
        <v>740</v>
      </c>
      <c r="AM16" s="2"/>
      <c r="AN16" s="2"/>
      <c r="AO16" s="5"/>
      <c r="AP16" s="2"/>
    </row>
    <row r="17" spans="1:42" ht="24" customHeight="1">
      <c r="A17" s="11">
        <v>2019</v>
      </c>
      <c r="B17" s="2" t="s">
        <v>22</v>
      </c>
      <c r="C17" s="11">
        <f>(5995+5265)/(7530+6797)</f>
        <v>0.78592866615481261</v>
      </c>
      <c r="D17" s="11">
        <f>(2334+47+1663+29)/(7530+6797)</f>
        <v>0.28428840650519999</v>
      </c>
      <c r="E17" s="11">
        <v>29543</v>
      </c>
      <c r="F17" s="11">
        <v>20996</v>
      </c>
      <c r="G17" s="11">
        <v>8547</v>
      </c>
      <c r="H17" s="11">
        <v>4225</v>
      </c>
      <c r="I17" s="11">
        <v>3430</v>
      </c>
      <c r="J17" s="3">
        <v>238</v>
      </c>
      <c r="K17" s="11">
        <v>1370</v>
      </c>
      <c r="L17" s="2">
        <f t="shared" si="0"/>
        <v>21.564233576642337</v>
      </c>
      <c r="M17" s="2">
        <v>7571</v>
      </c>
      <c r="N17" s="2">
        <v>1950</v>
      </c>
      <c r="O17" s="11">
        <v>3824</v>
      </c>
      <c r="P17" s="11">
        <v>6322</v>
      </c>
      <c r="Q17" s="11">
        <v>1148</v>
      </c>
      <c r="R17" s="2">
        <v>8.07</v>
      </c>
      <c r="S17" s="2">
        <v>22.79</v>
      </c>
      <c r="T17" s="1">
        <v>29.799999999999997</v>
      </c>
      <c r="U17" s="1">
        <v>6.04</v>
      </c>
      <c r="V17" s="2">
        <v>125</v>
      </c>
      <c r="W17" s="6">
        <f>68+420</f>
        <v>488</v>
      </c>
      <c r="X17" s="13">
        <v>13442</v>
      </c>
      <c r="Y17" s="1">
        <v>6</v>
      </c>
      <c r="Z17" s="2">
        <v>493</v>
      </c>
      <c r="AA17" s="2">
        <v>1247</v>
      </c>
      <c r="AB17" s="16">
        <v>9706</v>
      </c>
      <c r="AC17" s="2">
        <v>77</v>
      </c>
      <c r="AD17" s="2">
        <v>1172</v>
      </c>
      <c r="AE17" s="1">
        <v>71.75</v>
      </c>
      <c r="AF17" s="8">
        <f>SUMPRODUCT({449.5,349.5,249.5}, {0.0072,0.003,0})</f>
        <v>4.2848999999999995</v>
      </c>
      <c r="AG17" s="1">
        <v>70.599999999999994</v>
      </c>
      <c r="AH17" s="1">
        <v>0.4</v>
      </c>
      <c r="AI17" s="2">
        <v>610</v>
      </c>
      <c r="AJ17" s="2">
        <v>710</v>
      </c>
      <c r="AK17" s="2">
        <v>630</v>
      </c>
      <c r="AL17" s="2">
        <v>750</v>
      </c>
      <c r="AM17" s="2"/>
      <c r="AN17" s="2"/>
      <c r="AO17" s="5"/>
      <c r="AP17" s="2"/>
    </row>
    <row r="18" spans="1:42" ht="24" customHeight="1">
      <c r="A18" s="11">
        <v>2020</v>
      </c>
      <c r="B18" s="2" t="s">
        <v>22</v>
      </c>
      <c r="C18" s="11">
        <f>(6396+5834)/(8011+7400)</f>
        <v>0.79358899487379142</v>
      </c>
      <c r="D18" s="11">
        <f>(1890+90+1438+58)/(8011+7400)</f>
        <v>0.22555317630264096</v>
      </c>
      <c r="E18" s="11">
        <v>28669</v>
      </c>
      <c r="F18" s="11">
        <v>21187</v>
      </c>
      <c r="G18" s="11">
        <v>7482</v>
      </c>
      <c r="H18" s="11">
        <v>4637</v>
      </c>
      <c r="I18" s="11">
        <v>3542</v>
      </c>
      <c r="J18" s="3">
        <v>256</v>
      </c>
      <c r="K18" s="11">
        <v>1307</v>
      </c>
      <c r="L18" s="2">
        <f t="shared" si="0"/>
        <v>21.934965570007652</v>
      </c>
      <c r="M18" s="2">
        <v>7952</v>
      </c>
      <c r="N18" s="2">
        <v>1891</v>
      </c>
      <c r="O18" s="11">
        <v>3834</v>
      </c>
      <c r="P18" s="11">
        <v>5979</v>
      </c>
      <c r="Q18" s="11">
        <v>1161</v>
      </c>
      <c r="R18" s="2">
        <v>8.07</v>
      </c>
      <c r="S18" s="2">
        <v>21.59</v>
      </c>
      <c r="T18" s="1">
        <v>31.209999999999997</v>
      </c>
      <c r="U18" s="1">
        <v>7.3800000000000008</v>
      </c>
      <c r="V18" s="2">
        <v>141</v>
      </c>
      <c r="W18" s="6">
        <f>193+399</f>
        <v>592</v>
      </c>
      <c r="X18" s="13">
        <v>13992</v>
      </c>
      <c r="Y18" s="1">
        <v>3.5000000000000004</v>
      </c>
      <c r="Z18" s="2">
        <v>578</v>
      </c>
      <c r="AA18" s="2">
        <v>1253</v>
      </c>
      <c r="AB18" s="16">
        <v>10180</v>
      </c>
      <c r="AC18" s="2">
        <v>81</v>
      </c>
      <c r="AD18" s="2">
        <v>1351</v>
      </c>
      <c r="AE18" s="1">
        <v>72.22</v>
      </c>
      <c r="AF18" s="8">
        <f>SUMPRODUCT({449.5,349.5,249.5}, {0.0089,0,0})</f>
        <v>4.0005499999999996</v>
      </c>
      <c r="AG18" s="1">
        <v>70.459999999999994</v>
      </c>
      <c r="AH18" s="1">
        <v>0.67999999999999994</v>
      </c>
      <c r="AI18" s="2">
        <v>600</v>
      </c>
      <c r="AJ18" s="2">
        <v>710</v>
      </c>
      <c r="AK18" s="2">
        <v>620</v>
      </c>
      <c r="AL18" s="2">
        <v>740</v>
      </c>
      <c r="AM18" s="2">
        <f>4+1+3</f>
        <v>8</v>
      </c>
      <c r="AN18" s="2">
        <v>1</v>
      </c>
      <c r="AO18" s="5">
        <v>25</v>
      </c>
      <c r="AP18" s="2">
        <v>0</v>
      </c>
    </row>
    <row r="19" spans="1:42" ht="24" customHeight="1">
      <c r="A19" s="11">
        <v>2021</v>
      </c>
      <c r="B19" s="2" t="s">
        <v>22</v>
      </c>
      <c r="C19" s="11">
        <f>(16429)/(18838)</f>
        <v>0.87212018260961888</v>
      </c>
      <c r="D19" s="11">
        <f>(4042)/(18838)</f>
        <v>0.21456630215521819</v>
      </c>
      <c r="E19" s="11">
        <v>29696</v>
      </c>
      <c r="F19" s="11">
        <v>21446</v>
      </c>
      <c r="G19" s="11">
        <v>8250</v>
      </c>
      <c r="H19" s="11">
        <v>4825</v>
      </c>
      <c r="I19" s="11">
        <v>3103</v>
      </c>
      <c r="J19" s="3">
        <v>257</v>
      </c>
      <c r="K19" s="11">
        <v>1334</v>
      </c>
      <c r="L19" s="2">
        <f t="shared" si="0"/>
        <v>22.260869565217391</v>
      </c>
      <c r="M19" s="2">
        <v>7854</v>
      </c>
      <c r="N19" s="2">
        <v>1811</v>
      </c>
      <c r="O19" s="11">
        <v>3844</v>
      </c>
      <c r="P19" s="11">
        <v>5645</v>
      </c>
      <c r="Q19" s="11">
        <v>1202</v>
      </c>
      <c r="R19" s="2">
        <v>8.58</v>
      </c>
      <c r="S19" s="2">
        <v>20.7</v>
      </c>
      <c r="T19" s="1">
        <v>31.840000000000003</v>
      </c>
      <c r="U19" s="1">
        <v>7.32</v>
      </c>
      <c r="V19" s="2">
        <v>105</v>
      </c>
      <c r="W19" s="6">
        <f>94+441</f>
        <v>535</v>
      </c>
      <c r="X19" s="13">
        <v>14564</v>
      </c>
      <c r="Y19" s="1">
        <v>4.5</v>
      </c>
      <c r="Z19" s="2">
        <v>499</v>
      </c>
      <c r="AA19" s="2">
        <v>1202</v>
      </c>
      <c r="AB19" s="16">
        <v>10493</v>
      </c>
      <c r="AC19" s="2">
        <v>101</v>
      </c>
      <c r="AD19" s="2">
        <v>1423</v>
      </c>
      <c r="AE19" s="1">
        <v>73.61999999999999</v>
      </c>
      <c r="AF19" s="8">
        <f>SUMPRODUCT({449.5,349.5,249.5}, {0.0277,0.0023,0})</f>
        <v>13.255000000000001</v>
      </c>
      <c r="AG19" s="1">
        <v>66.259999999999991</v>
      </c>
      <c r="AH19" s="1">
        <v>0.33</v>
      </c>
      <c r="AI19" s="2">
        <v>580</v>
      </c>
      <c r="AJ19" s="2">
        <v>690</v>
      </c>
      <c r="AK19" s="2">
        <v>590</v>
      </c>
      <c r="AL19" s="2">
        <v>730</v>
      </c>
      <c r="AM19" s="2">
        <v>11</v>
      </c>
      <c r="AN19" s="2">
        <v>4</v>
      </c>
      <c r="AO19" s="5">
        <v>5</v>
      </c>
      <c r="AP19" s="2">
        <v>2</v>
      </c>
    </row>
    <row r="20" spans="1:42" ht="24" customHeight="1">
      <c r="A20" s="11">
        <v>2022</v>
      </c>
      <c r="B20" s="2" t="s">
        <v>22</v>
      </c>
      <c r="C20" s="11">
        <f>(8963+9257)/(10818+10682)</f>
        <v>0.84744186046511627</v>
      </c>
      <c r="D20" s="11">
        <f>(2113+179+1820+106)/(10818+10682)</f>
        <v>0.19618604651162791</v>
      </c>
      <c r="E20" s="11">
        <v>31570</v>
      </c>
      <c r="F20" s="11">
        <v>21617</v>
      </c>
      <c r="G20" s="11">
        <v>9953</v>
      </c>
      <c r="H20" s="11">
        <v>4995</v>
      </c>
      <c r="I20" s="11">
        <v>2358</v>
      </c>
      <c r="J20" s="3">
        <v>268</v>
      </c>
      <c r="K20" s="11">
        <v>1331</v>
      </c>
      <c r="L20" s="2">
        <f t="shared" si="0"/>
        <v>23.719008264462811</v>
      </c>
      <c r="M20" s="2">
        <v>7594</v>
      </c>
      <c r="N20" s="2">
        <v>1660</v>
      </c>
      <c r="O20" s="11">
        <v>3849</v>
      </c>
      <c r="P20" s="11">
        <v>5241</v>
      </c>
      <c r="Q20" s="11">
        <v>1185</v>
      </c>
      <c r="R20" s="2">
        <v>7.99</v>
      </c>
      <c r="S20" s="2">
        <v>20.02</v>
      </c>
      <c r="T20" s="1">
        <v>34.770000000000003</v>
      </c>
      <c r="U20" s="1">
        <v>6.7299999999999995</v>
      </c>
      <c r="V20" s="2">
        <v>119</v>
      </c>
      <c r="W20" s="6">
        <f>88+402</f>
        <v>490</v>
      </c>
      <c r="X20" s="13">
        <v>10639</v>
      </c>
      <c r="Y20" s="1">
        <v>4</v>
      </c>
      <c r="Z20" s="2">
        <v>422</v>
      </c>
      <c r="AA20" s="2">
        <v>1171</v>
      </c>
      <c r="AB20" s="16">
        <v>11149</v>
      </c>
      <c r="AC20" s="2">
        <v>95</v>
      </c>
      <c r="AD20" s="2">
        <v>1758</v>
      </c>
      <c r="AE20" s="1">
        <v>73.92</v>
      </c>
      <c r="AF20" s="8">
        <f>SUMPRODUCT({449.5,349.5,249.5}, {0.0319,0.0015,0})</f>
        <v>14.863299999999999</v>
      </c>
      <c r="AG20" s="1">
        <v>65.849999999999994</v>
      </c>
      <c r="AH20" s="1">
        <v>0.33</v>
      </c>
      <c r="AI20" s="2">
        <v>580</v>
      </c>
      <c r="AJ20" s="2">
        <v>700</v>
      </c>
      <c r="AK20" s="2">
        <v>590</v>
      </c>
      <c r="AL20" s="2">
        <v>730</v>
      </c>
      <c r="AM20" s="2">
        <f>15+5+1+7+5</f>
        <v>33</v>
      </c>
      <c r="AN20" s="2">
        <v>16</v>
      </c>
      <c r="AO20" s="5">
        <v>7</v>
      </c>
      <c r="AP20" s="2">
        <v>0</v>
      </c>
    </row>
    <row r="21" spans="1:42" ht="24" customHeight="1">
      <c r="A21" s="11">
        <v>2023</v>
      </c>
      <c r="B21" s="2" t="s">
        <v>22</v>
      </c>
      <c r="C21" s="11">
        <f>19224/29366</f>
        <v>0.65463461145542468</v>
      </c>
      <c r="D21" s="11">
        <f>4160/29366</f>
        <v>0.1416604236191514</v>
      </c>
      <c r="E21" s="11">
        <v>30885</v>
      </c>
      <c r="F21" s="11">
        <v>21330</v>
      </c>
      <c r="G21" s="11">
        <v>9555</v>
      </c>
      <c r="H21" s="11">
        <v>5166</v>
      </c>
      <c r="I21" s="11">
        <v>3724</v>
      </c>
      <c r="J21" s="3">
        <f>248+12</f>
        <v>260</v>
      </c>
      <c r="K21" s="11">
        <v>1391</v>
      </c>
      <c r="L21" s="2">
        <f t="shared" si="0"/>
        <v>22.203450754852625</v>
      </c>
      <c r="M21" s="2">
        <v>7267</v>
      </c>
      <c r="N21" s="2">
        <v>1552</v>
      </c>
      <c r="O21" s="11">
        <v>3852</v>
      </c>
      <c r="P21" s="11">
        <v>4763</v>
      </c>
      <c r="Q21" s="11">
        <v>1227</v>
      </c>
      <c r="R21" s="2">
        <v>7.57</v>
      </c>
      <c r="S21" s="2">
        <v>18.600000000000001</v>
      </c>
      <c r="T21" s="1">
        <v>35.659999999999997</v>
      </c>
      <c r="U21" s="1">
        <v>6.81</v>
      </c>
      <c r="V21" s="2">
        <v>151</v>
      </c>
      <c r="W21" s="6">
        <f>105+442</f>
        <v>547</v>
      </c>
      <c r="X21" s="13">
        <v>10639</v>
      </c>
      <c r="Y21" s="1">
        <v>3</v>
      </c>
      <c r="Z21" s="2">
        <v>375</v>
      </c>
      <c r="AA21" s="2">
        <v>1091</v>
      </c>
      <c r="AB21" s="16">
        <v>11453</v>
      </c>
      <c r="AC21" s="2">
        <v>100</v>
      </c>
      <c r="AD21" s="2">
        <v>1807</v>
      </c>
      <c r="AE21" s="1">
        <v>74.7</v>
      </c>
      <c r="AF21" s="8">
        <f>SUMPRODUCT({449.5,349.5,249.5}, {0.0346,0.0039,0})</f>
        <v>16.915749999999999</v>
      </c>
      <c r="AG21" s="1">
        <v>72</v>
      </c>
      <c r="AH21" s="1">
        <v>0</v>
      </c>
      <c r="AI21" s="2">
        <v>580</v>
      </c>
      <c r="AJ21" s="2">
        <v>690</v>
      </c>
      <c r="AK21" s="2">
        <v>590</v>
      </c>
      <c r="AL21" s="2">
        <v>720</v>
      </c>
      <c r="AM21" s="2"/>
      <c r="AN21" s="2"/>
      <c r="AO21" s="5"/>
      <c r="AP21" s="2"/>
    </row>
    <row r="22" spans="1:42" ht="24" customHeight="1">
      <c r="A22" s="11">
        <v>2014</v>
      </c>
      <c r="B22" s="2" t="s">
        <v>23</v>
      </c>
      <c r="C22" s="11">
        <f>(552+6671)/(596+7022)</f>
        <v>0.9481491205040693</v>
      </c>
      <c r="D22" s="11">
        <f>(108+6+1334+30)/(596+7022)</f>
        <v>0.19401417694933054</v>
      </c>
      <c r="E22" s="11">
        <v>15070</v>
      </c>
      <c r="F22" s="11">
        <v>9679</v>
      </c>
      <c r="G22" s="11">
        <v>5391</v>
      </c>
      <c r="H22" s="11">
        <v>1967</v>
      </c>
      <c r="I22" s="11">
        <v>1759</v>
      </c>
      <c r="J22" s="3">
        <f>91+111</f>
        <v>202</v>
      </c>
      <c r="K22" s="11">
        <v>791</v>
      </c>
      <c r="L22" s="2">
        <f t="shared" si="0"/>
        <v>19.051833122629581</v>
      </c>
      <c r="M22" s="2">
        <v>4449</v>
      </c>
      <c r="N22" s="2">
        <v>1379</v>
      </c>
      <c r="O22" s="11">
        <v>2363</v>
      </c>
      <c r="P22" s="11">
        <v>4036</v>
      </c>
      <c r="Q22" s="11">
        <v>1941</v>
      </c>
      <c r="R22" s="2">
        <v>30.05</v>
      </c>
      <c r="S22" s="2">
        <v>9.6600000000000005E-2</v>
      </c>
      <c r="T22" s="1">
        <f>(0.0046+0.0137)*100</f>
        <v>1.83</v>
      </c>
      <c r="U22" s="1">
        <v>4.3499999999999996</v>
      </c>
      <c r="V22" s="2">
        <v>29</v>
      </c>
      <c r="W22" s="6">
        <f>147+308</f>
        <v>455</v>
      </c>
      <c r="X22" s="13">
        <v>5650</v>
      </c>
      <c r="Y22" s="1">
        <v>1.855</v>
      </c>
      <c r="Z22" s="2">
        <v>1198</v>
      </c>
      <c r="AA22" s="2">
        <v>1382</v>
      </c>
      <c r="AB22" s="16">
        <v>6466</v>
      </c>
      <c r="AC22" s="2">
        <v>65</v>
      </c>
      <c r="AD22" s="2">
        <v>185</v>
      </c>
      <c r="AE22" s="1">
        <v>47</v>
      </c>
      <c r="AF22" s="8">
        <f>SUMPRODUCT({449.5,349.5,249.5}, {0.4677,0.1158,0.0011})</f>
        <v>250.97770000000003</v>
      </c>
      <c r="AG22" s="1">
        <v>28.57</v>
      </c>
      <c r="AH22" s="1">
        <v>4.1000000000000005</v>
      </c>
      <c r="AI22" s="2">
        <v>410</v>
      </c>
      <c r="AJ22" s="2">
        <v>530</v>
      </c>
      <c r="AK22" s="2">
        <v>430</v>
      </c>
      <c r="AL22" s="2">
        <v>530</v>
      </c>
      <c r="AM22" s="2"/>
      <c r="AN22" s="2"/>
      <c r="AO22" s="5"/>
      <c r="AP22" s="2"/>
    </row>
    <row r="23" spans="1:42" ht="24" customHeight="1">
      <c r="A23" s="11">
        <v>2015</v>
      </c>
      <c r="B23" s="2" t="s">
        <v>23</v>
      </c>
      <c r="C23" s="11">
        <f>(380+3178)/(476+4296)</f>
        <v>0.7455993294216261</v>
      </c>
      <c r="D23" s="11">
        <f>(103+3+1030+22)/(476+4296)</f>
        <v>0.24266554903604359</v>
      </c>
      <c r="E23" s="11">
        <v>15286</v>
      </c>
      <c r="F23" s="11">
        <v>10080</v>
      </c>
      <c r="G23" s="11">
        <v>5206</v>
      </c>
      <c r="H23" s="11">
        <v>2062</v>
      </c>
      <c r="I23" s="11">
        <v>1500</v>
      </c>
      <c r="J23" s="3">
        <f>105+94</f>
        <v>199</v>
      </c>
      <c r="K23" s="11">
        <v>881</v>
      </c>
      <c r="L23" s="2">
        <f t="shared" si="0"/>
        <v>17.350737797956867</v>
      </c>
      <c r="M23" s="2">
        <v>4287</v>
      </c>
      <c r="N23" s="2">
        <v>1370</v>
      </c>
      <c r="O23" s="11">
        <v>2649</v>
      </c>
      <c r="P23" s="11">
        <v>4151</v>
      </c>
      <c r="Q23" s="11">
        <v>1921</v>
      </c>
      <c r="R23" s="2">
        <v>27.98</v>
      </c>
      <c r="S23" s="2">
        <v>9.31</v>
      </c>
      <c r="T23" s="1">
        <f>(0.0048+0.0136)*100</f>
        <v>1.8399999999999999</v>
      </c>
      <c r="U23" s="1">
        <v>4.8500000000000005</v>
      </c>
      <c r="V23" s="2">
        <v>29</v>
      </c>
      <c r="W23" s="6">
        <f>126+310</f>
        <v>436</v>
      </c>
      <c r="X23" s="13">
        <v>5950</v>
      </c>
      <c r="Y23" s="1">
        <v>3</v>
      </c>
      <c r="Z23" s="2">
        <v>1404</v>
      </c>
      <c r="AA23" s="2">
        <v>1365</v>
      </c>
      <c r="AB23" s="16">
        <v>6695</v>
      </c>
      <c r="AC23" s="2">
        <v>37</v>
      </c>
      <c r="AD23" s="2">
        <v>152</v>
      </c>
      <c r="AE23" s="1">
        <v>41</v>
      </c>
      <c r="AF23" s="8">
        <f>SUMPRODUCT({449.5,349.5,249.5}, {0.4466,0.1346,0.0053})</f>
        <v>249.11175</v>
      </c>
      <c r="AG23" s="1">
        <v>45</v>
      </c>
      <c r="AH23" s="1">
        <v>3</v>
      </c>
      <c r="AI23" s="2">
        <v>410</v>
      </c>
      <c r="AJ23" s="2">
        <v>520</v>
      </c>
      <c r="AK23" s="2">
        <v>420</v>
      </c>
      <c r="AL23" s="2">
        <v>530</v>
      </c>
      <c r="AM23" s="2"/>
      <c r="AN23" s="2"/>
      <c r="AO23" s="5"/>
      <c r="AP23" s="2"/>
    </row>
    <row r="24" spans="1:42" ht="24" customHeight="1">
      <c r="A24" s="11">
        <v>2016</v>
      </c>
      <c r="B24" s="2" t="s">
        <v>23</v>
      </c>
      <c r="C24" s="11">
        <f>(443+4205)/(531+4883)</f>
        <v>0.85851496121167348</v>
      </c>
      <c r="D24" s="11">
        <f>(99+5+1194+19)/(531+4883)</f>
        <v>0.24325821943110454</v>
      </c>
      <c r="E24" s="11">
        <v>15655</v>
      </c>
      <c r="F24" s="11">
        <v>10408</v>
      </c>
      <c r="G24" s="11">
        <v>5247</v>
      </c>
      <c r="H24" s="11">
        <v>2214</v>
      </c>
      <c r="I24" s="11">
        <v>1495</v>
      </c>
      <c r="J24" s="3">
        <f>108+116</f>
        <v>224</v>
      </c>
      <c r="K24" s="11">
        <v>910</v>
      </c>
      <c r="L24" s="2">
        <f t="shared" si="0"/>
        <v>17.203296703296704</v>
      </c>
      <c r="M24" s="2">
        <v>4431</v>
      </c>
      <c r="N24" s="2">
        <v>1365</v>
      </c>
      <c r="O24" s="11">
        <v>2944</v>
      </c>
      <c r="P24" s="11">
        <v>4123</v>
      </c>
      <c r="Q24" s="11">
        <v>1876</v>
      </c>
      <c r="R24" s="2">
        <v>28.36</v>
      </c>
      <c r="S24" s="2">
        <v>10.5</v>
      </c>
      <c r="T24" s="1">
        <f>(0.0087+0.0133)*100</f>
        <v>2.1999999999999997</v>
      </c>
      <c r="U24" s="1">
        <v>3.94</v>
      </c>
      <c r="V24" s="2">
        <v>27</v>
      </c>
      <c r="W24" s="6">
        <f>162+333</f>
        <v>495</v>
      </c>
      <c r="X24" s="13">
        <v>6180</v>
      </c>
      <c r="Y24" s="1">
        <v>4</v>
      </c>
      <c r="Z24" s="2">
        <v>1304</v>
      </c>
      <c r="AA24" s="2">
        <v>1400</v>
      </c>
      <c r="AB24" s="16">
        <v>7335</v>
      </c>
      <c r="AC24" s="2">
        <v>42</v>
      </c>
      <c r="AD24" s="2">
        <v>199</v>
      </c>
      <c r="AE24" s="1">
        <v>38</v>
      </c>
      <c r="AF24" s="8">
        <f>SUMPRODUCT({449.5,349.5,249.5}, {0.458,0.157,0.005})</f>
        <v>261.99</v>
      </c>
      <c r="AG24" s="1">
        <v>43</v>
      </c>
      <c r="AH24" s="1">
        <v>3</v>
      </c>
      <c r="AI24" s="2">
        <v>410</v>
      </c>
      <c r="AJ24" s="2">
        <v>520</v>
      </c>
      <c r="AK24" s="2">
        <v>410</v>
      </c>
      <c r="AL24" s="2">
        <v>530</v>
      </c>
      <c r="AM24" s="2"/>
      <c r="AN24" s="2"/>
      <c r="AO24" s="5"/>
      <c r="AP24" s="2"/>
    </row>
    <row r="25" spans="1:42" ht="24" customHeight="1">
      <c r="A25" s="11">
        <v>2017</v>
      </c>
      <c r="B25" s="2" t="s">
        <v>23</v>
      </c>
      <c r="C25" s="11">
        <f>(508+4208)/(598+4904)</f>
        <v>0.8571428571428571</v>
      </c>
      <c r="D25" s="11">
        <f>(119+5+1125+3)/(598+4904)</f>
        <v>0.22755361686659398</v>
      </c>
      <c r="E25" s="11">
        <v>15472</v>
      </c>
      <c r="F25" s="11">
        <v>10309</v>
      </c>
      <c r="G25" s="11">
        <v>5163</v>
      </c>
      <c r="H25" s="11">
        <v>2197</v>
      </c>
      <c r="I25" s="11">
        <v>1349</v>
      </c>
      <c r="J25" s="3">
        <f>116+122</f>
        <v>238</v>
      </c>
      <c r="K25" s="11">
        <v>937</v>
      </c>
      <c r="L25" s="2">
        <f t="shared" si="0"/>
        <v>16.512273212379935</v>
      </c>
      <c r="M25" s="2">
        <v>4333</v>
      </c>
      <c r="N25" s="2">
        <v>1421</v>
      </c>
      <c r="O25" s="11">
        <v>3051</v>
      </c>
      <c r="P25" s="11">
        <v>3989</v>
      </c>
      <c r="Q25" s="11">
        <v>1766</v>
      </c>
      <c r="R25" s="2">
        <v>29.49</v>
      </c>
      <c r="S25" s="2">
        <v>10.79</v>
      </c>
      <c r="T25" s="1">
        <f>(0.0077+0.0155)*100</f>
        <v>2.3199999999999998</v>
      </c>
      <c r="U25" s="1">
        <v>4.32</v>
      </c>
      <c r="V25" s="2">
        <v>29</v>
      </c>
      <c r="W25" s="6">
        <f>280+247</f>
        <v>527</v>
      </c>
      <c r="X25" s="13">
        <v>6450</v>
      </c>
      <c r="Y25" s="1">
        <v>4.5</v>
      </c>
      <c r="Z25" s="2">
        <v>1361</v>
      </c>
      <c r="AA25" s="2">
        <v>1387</v>
      </c>
      <c r="AB25" s="16">
        <v>7381</v>
      </c>
      <c r="AC25" s="2">
        <v>48</v>
      </c>
      <c r="AD25" s="2">
        <v>198</v>
      </c>
      <c r="AE25" s="1">
        <v>35.510000000000005</v>
      </c>
      <c r="AF25" s="8">
        <f>SUMPRODUCT({449.5,349.5,249.5}, {0.4121,0.1105,0.0012})</f>
        <v>224.15810000000002</v>
      </c>
      <c r="AG25" s="1">
        <v>47</v>
      </c>
      <c r="AH25" s="1">
        <v>4</v>
      </c>
      <c r="AI25" s="2">
        <v>460</v>
      </c>
      <c r="AJ25" s="2">
        <v>550</v>
      </c>
      <c r="AK25" s="2">
        <v>430</v>
      </c>
      <c r="AL25" s="2">
        <v>530</v>
      </c>
      <c r="AM25" s="2"/>
      <c r="AN25" s="2"/>
      <c r="AO25" s="5"/>
      <c r="AP25" s="2"/>
    </row>
    <row r="26" spans="1:42" ht="24" customHeight="1">
      <c r="A26" s="11">
        <v>2018</v>
      </c>
      <c r="B26" s="2" t="s">
        <v>23</v>
      </c>
      <c r="C26" s="11">
        <f>(450+4521)/(565+5162)</f>
        <v>0.86799371398638026</v>
      </c>
      <c r="D26" s="11">
        <f>(102+2+1121+19)/(565+5162)</f>
        <v>0.21721669285839007</v>
      </c>
      <c r="E26" s="11">
        <v>15520</v>
      </c>
      <c r="F26" s="11">
        <v>10390</v>
      </c>
      <c r="G26" s="11">
        <v>5130</v>
      </c>
      <c r="H26" s="11">
        <v>2169</v>
      </c>
      <c r="I26" s="11">
        <v>1519</v>
      </c>
      <c r="J26" s="3">
        <f>119+102</f>
        <v>221</v>
      </c>
      <c r="K26" s="11">
        <v>939</v>
      </c>
      <c r="L26" s="2">
        <f t="shared" si="0"/>
        <v>16.528221512247072</v>
      </c>
      <c r="M26" s="2">
        <v>4484</v>
      </c>
      <c r="N26" s="2">
        <v>1351</v>
      </c>
      <c r="O26" s="11">
        <v>3156</v>
      </c>
      <c r="P26" s="11">
        <v>3971</v>
      </c>
      <c r="Q26" s="11">
        <v>1733</v>
      </c>
      <c r="R26" s="2">
        <v>33.49</v>
      </c>
      <c r="S26" s="2">
        <v>10.68</v>
      </c>
      <c r="T26" s="1">
        <f>(0.006+0.0125)*100</f>
        <v>1.8500000000000003</v>
      </c>
      <c r="U26" s="1">
        <v>3.84</v>
      </c>
      <c r="V26" s="2">
        <v>36</v>
      </c>
      <c r="W26" s="6">
        <f>108+323</f>
        <v>431</v>
      </c>
      <c r="X26" s="13">
        <v>6585</v>
      </c>
      <c r="Y26" s="1">
        <v>2.5</v>
      </c>
      <c r="Z26" s="2">
        <v>1525</v>
      </c>
      <c r="AA26" s="2">
        <v>1381</v>
      </c>
      <c r="AB26" s="16">
        <v>7675</v>
      </c>
      <c r="AC26" s="2">
        <v>66</v>
      </c>
      <c r="AD26" s="2">
        <v>257</v>
      </c>
      <c r="AE26" s="1">
        <v>43.1</v>
      </c>
      <c r="AF26" s="8">
        <f>SUMPRODUCT({449.5,349.5,249.5}, {0.2991,0.0387,0})</f>
        <v>147.97109999999998</v>
      </c>
      <c r="AG26" s="1">
        <v>49</v>
      </c>
      <c r="AH26" s="1">
        <v>4</v>
      </c>
      <c r="AI26" s="2">
        <v>490</v>
      </c>
      <c r="AJ26" s="2">
        <v>590</v>
      </c>
      <c r="AK26" s="2">
        <v>480</v>
      </c>
      <c r="AL26" s="2">
        <v>570</v>
      </c>
      <c r="AM26" s="2"/>
      <c r="AN26" s="2"/>
      <c r="AO26" s="5"/>
      <c r="AP26" s="2"/>
    </row>
    <row r="27" spans="1:42" ht="24" customHeight="1">
      <c r="A27" s="11">
        <v>2019</v>
      </c>
      <c r="B27" s="2" t="s">
        <v>23</v>
      </c>
      <c r="C27" s="11">
        <f>(418+4860)/(454+5197)</f>
        <v>0.93399398336577599</v>
      </c>
      <c r="D27" s="11">
        <f>(99+1+1178+23)/(454+5197)</f>
        <v>0.23022473898425058</v>
      </c>
      <c r="E27" s="11">
        <v>15826</v>
      </c>
      <c r="F27" s="11">
        <v>10591</v>
      </c>
      <c r="G27" s="11">
        <v>5235</v>
      </c>
      <c r="H27" s="11">
        <v>2061</v>
      </c>
      <c r="I27" s="11">
        <v>1414</v>
      </c>
      <c r="J27" s="3">
        <f>137+95</f>
        <v>232</v>
      </c>
      <c r="K27" s="11">
        <v>912</v>
      </c>
      <c r="L27" s="2">
        <f t="shared" si="0"/>
        <v>17.353070175438596</v>
      </c>
      <c r="M27" s="2">
        <v>4352</v>
      </c>
      <c r="N27" s="2">
        <v>1224</v>
      </c>
      <c r="O27" s="11">
        <v>3321</v>
      </c>
      <c r="P27" s="11">
        <v>3871</v>
      </c>
      <c r="Q27" s="11">
        <v>1771</v>
      </c>
      <c r="R27" s="2">
        <v>32.799999999999997</v>
      </c>
      <c r="S27" s="2">
        <v>10.199999999999999</v>
      </c>
      <c r="T27" s="1">
        <f>(0.01+0.013)*100</f>
        <v>2.2999999999999998</v>
      </c>
      <c r="U27" s="1">
        <v>3.9</v>
      </c>
      <c r="V27" s="2">
        <v>34</v>
      </c>
      <c r="W27" s="6">
        <f>373+464</f>
        <v>837</v>
      </c>
      <c r="X27" s="13">
        <v>6789</v>
      </c>
      <c r="Y27" s="1">
        <v>5.05</v>
      </c>
      <c r="Z27" s="2">
        <v>1774</v>
      </c>
      <c r="AA27" s="2">
        <v>1529</v>
      </c>
      <c r="AB27" s="16">
        <v>7877</v>
      </c>
      <c r="AC27" s="2">
        <v>57</v>
      </c>
      <c r="AD27" s="2">
        <v>259</v>
      </c>
      <c r="AE27" s="1">
        <v>43</v>
      </c>
      <c r="AF27" s="8">
        <f>SUMPRODUCT({449.5,349.5,249.5}, {0.379,0.037,0})</f>
        <v>183.292</v>
      </c>
      <c r="AG27" s="1">
        <v>46</v>
      </c>
      <c r="AH27" s="1">
        <v>5</v>
      </c>
      <c r="AI27" s="2">
        <v>470</v>
      </c>
      <c r="AJ27" s="2">
        <v>590</v>
      </c>
      <c r="AK27" s="2">
        <v>460</v>
      </c>
      <c r="AL27" s="2">
        <v>560</v>
      </c>
      <c r="AM27" s="2"/>
      <c r="AN27" s="2"/>
      <c r="AO27" s="5"/>
      <c r="AP27" s="2"/>
    </row>
    <row r="28" spans="1:42" ht="24" customHeight="1">
      <c r="A28" s="11">
        <v>2020</v>
      </c>
      <c r="B28" s="2" t="s">
        <v>23</v>
      </c>
      <c r="C28" s="11">
        <f>(383+5073)/(425+5399)</f>
        <v>0.93681318681318682</v>
      </c>
      <c r="D28" s="11">
        <f>(72+2+1018+38)/(425+5399)</f>
        <v>0.19402472527472528</v>
      </c>
      <c r="E28" s="11">
        <v>16334</v>
      </c>
      <c r="F28" s="11">
        <v>10656</v>
      </c>
      <c r="G28" s="11">
        <v>5678</v>
      </c>
      <c r="H28" s="11">
        <v>2191</v>
      </c>
      <c r="I28" s="11">
        <v>1491</v>
      </c>
      <c r="J28" s="3">
        <f>117+95</f>
        <v>212</v>
      </c>
      <c r="K28" s="11">
        <v>829</v>
      </c>
      <c r="L28" s="2">
        <f t="shared" ref="L28:L91" si="1">E28/K28</f>
        <v>19.70325693606755</v>
      </c>
      <c r="M28" s="2">
        <v>4545</v>
      </c>
      <c r="N28" s="2">
        <v>1236</v>
      </c>
      <c r="O28" s="11">
        <v>3387</v>
      </c>
      <c r="P28" s="11">
        <v>3782</v>
      </c>
      <c r="Q28" s="11">
        <v>1790</v>
      </c>
      <c r="R28" s="2">
        <v>30.29</v>
      </c>
      <c r="S28" s="2">
        <v>11.37</v>
      </c>
      <c r="T28" s="1">
        <f>(0.015+0.0114)*100</f>
        <v>2.64</v>
      </c>
      <c r="U28" s="1">
        <v>4.54</v>
      </c>
      <c r="V28" s="2">
        <v>33</v>
      </c>
      <c r="W28" s="6">
        <f>212+265</f>
        <v>477</v>
      </c>
      <c r="X28" s="13">
        <v>6921</v>
      </c>
      <c r="Y28" s="1">
        <v>1.3499999999999999</v>
      </c>
      <c r="Z28" s="2">
        <v>1951</v>
      </c>
      <c r="AA28" s="2">
        <v>1338</v>
      </c>
      <c r="AB28" s="16">
        <v>8242</v>
      </c>
      <c r="AC28" s="2">
        <v>83</v>
      </c>
      <c r="AD28" s="2">
        <v>299</v>
      </c>
      <c r="AE28" s="1">
        <v>48.1</v>
      </c>
      <c r="AF28" s="8">
        <f>SUMPRODUCT({449.5,349.5,249.5}, {0.341,0.052,0})</f>
        <v>171.45350000000002</v>
      </c>
      <c r="AG28" s="1">
        <v>44</v>
      </c>
      <c r="AH28" s="1">
        <v>5</v>
      </c>
      <c r="AI28" s="2">
        <v>480</v>
      </c>
      <c r="AJ28" s="2">
        <v>580</v>
      </c>
      <c r="AK28" s="2">
        <v>460</v>
      </c>
      <c r="AL28" s="2">
        <v>560</v>
      </c>
      <c r="AM28" s="2">
        <v>6</v>
      </c>
      <c r="AN28" s="2">
        <v>4</v>
      </c>
      <c r="AO28" s="5">
        <v>0</v>
      </c>
      <c r="AP28" s="2"/>
    </row>
    <row r="29" spans="1:42" ht="24" customHeight="1">
      <c r="A29" s="11">
        <v>2021</v>
      </c>
      <c r="B29" s="2" t="s">
        <v>23</v>
      </c>
      <c r="C29" s="11">
        <f>(308+4735)/(5009+337)</f>
        <v>0.94332210998877664</v>
      </c>
      <c r="D29" s="11">
        <f>(1276)/(5346)</f>
        <v>0.23868312757201646</v>
      </c>
      <c r="E29" s="11">
        <v>16238</v>
      </c>
      <c r="F29" s="11">
        <v>10283</v>
      </c>
      <c r="G29" s="11">
        <v>5955</v>
      </c>
      <c r="H29" s="11">
        <v>2404</v>
      </c>
      <c r="I29" s="11">
        <v>1547</v>
      </c>
      <c r="J29" s="3">
        <f>105+97</f>
        <v>202</v>
      </c>
      <c r="K29" s="11">
        <v>913</v>
      </c>
      <c r="L29" s="2">
        <f t="shared" si="1"/>
        <v>17.785323110624315</v>
      </c>
      <c r="M29" s="2">
        <v>4000</v>
      </c>
      <c r="N29" s="2">
        <v>1200</v>
      </c>
      <c r="O29" s="11">
        <v>3333</v>
      </c>
      <c r="P29" s="11">
        <v>3620</v>
      </c>
      <c r="Q29" s="11">
        <v>1707</v>
      </c>
      <c r="R29" s="2">
        <v>30.9</v>
      </c>
      <c r="S29" s="2">
        <v>13</v>
      </c>
      <c r="T29" s="1">
        <f>(0.015+0.008)*100</f>
        <v>2.2999999999999998</v>
      </c>
      <c r="U29" s="1">
        <v>4.3999999999999995</v>
      </c>
      <c r="V29" s="2">
        <v>24</v>
      </c>
      <c r="W29" s="6">
        <f>47+173</f>
        <v>220</v>
      </c>
      <c r="X29" s="13">
        <v>7020</v>
      </c>
      <c r="Y29" s="1">
        <v>1.7000000000000002</v>
      </c>
      <c r="Z29" s="2">
        <v>698</v>
      </c>
      <c r="AA29" s="2">
        <v>1176</v>
      </c>
      <c r="AB29" s="16">
        <v>7233</v>
      </c>
      <c r="AC29" s="2">
        <v>85</v>
      </c>
      <c r="AD29" s="2">
        <v>266</v>
      </c>
      <c r="AE29" s="1">
        <v>48.5</v>
      </c>
      <c r="AF29" s="8">
        <f>SUMPRODUCT({449.5,349.5,249.5}, {0.29,0.048,0})</f>
        <v>147.131</v>
      </c>
      <c r="AG29" s="1">
        <v>47</v>
      </c>
      <c r="AH29" s="1">
        <v>5</v>
      </c>
      <c r="AI29" s="2">
        <v>480</v>
      </c>
      <c r="AJ29" s="2">
        <v>590</v>
      </c>
      <c r="AK29" s="2">
        <v>470</v>
      </c>
      <c r="AL29" s="2">
        <v>570</v>
      </c>
      <c r="AM29" s="2">
        <v>8</v>
      </c>
      <c r="AN29" s="2">
        <v>10</v>
      </c>
      <c r="AO29" s="5">
        <v>0</v>
      </c>
      <c r="AP29" s="2"/>
    </row>
    <row r="30" spans="1:42" ht="24" customHeight="1">
      <c r="A30" s="11">
        <v>2022</v>
      </c>
      <c r="B30" s="2" t="s">
        <v>23</v>
      </c>
      <c r="C30" s="11">
        <f>(514+6300)/(561+6721)</f>
        <v>0.9357319417742378</v>
      </c>
      <c r="D30" s="11">
        <f>(94+7+1241+19)/(561+6721)</f>
        <v>0.18689920351551773</v>
      </c>
      <c r="E30" s="11">
        <v>15877</v>
      </c>
      <c r="F30" s="11">
        <v>10150</v>
      </c>
      <c r="G30" s="11">
        <v>5727</v>
      </c>
      <c r="H30" s="11">
        <v>2197</v>
      </c>
      <c r="I30" s="11">
        <v>1748</v>
      </c>
      <c r="J30" s="3">
        <f>126+96</f>
        <v>222</v>
      </c>
      <c r="K30" s="11">
        <v>955</v>
      </c>
      <c r="L30" s="2">
        <f t="shared" si="1"/>
        <v>16.625130890052358</v>
      </c>
      <c r="M30" s="2">
        <v>3743</v>
      </c>
      <c r="N30" s="2">
        <v>1163</v>
      </c>
      <c r="O30" s="11">
        <v>3463</v>
      </c>
      <c r="P30" s="11">
        <v>3301</v>
      </c>
      <c r="Q30" s="11">
        <v>1748</v>
      </c>
      <c r="R30" s="2">
        <v>31.446999999999999</v>
      </c>
      <c r="S30" s="2">
        <v>10.954000000000001</v>
      </c>
      <c r="T30" s="1">
        <f>(0.0178+0.00593)*100</f>
        <v>2.3730000000000002</v>
      </c>
      <c r="U30" s="1">
        <v>4.4269999999999996</v>
      </c>
      <c r="V30" s="2">
        <v>9</v>
      </c>
      <c r="W30" s="6">
        <f>166+222</f>
        <v>388</v>
      </c>
      <c r="X30" s="13">
        <v>7020</v>
      </c>
      <c r="Y30" s="1">
        <v>1.05</v>
      </c>
      <c r="Z30" s="2">
        <v>386</v>
      </c>
      <c r="AA30" s="2">
        <v>619</v>
      </c>
      <c r="AB30" s="16">
        <v>7508</v>
      </c>
      <c r="AC30" s="2">
        <v>70</v>
      </c>
      <c r="AD30" s="2">
        <v>334</v>
      </c>
      <c r="AE30" s="1">
        <v>47.73</v>
      </c>
      <c r="AF30" s="8">
        <f>SUMPRODUCT({449.5,349.5,249.5}, {0.314,0.0709,0.0014})</f>
        <v>166.27185</v>
      </c>
      <c r="AG30" s="1">
        <v>46</v>
      </c>
      <c r="AH30" s="1">
        <v>6</v>
      </c>
      <c r="AI30" s="2">
        <v>480</v>
      </c>
      <c r="AJ30" s="2">
        <v>580</v>
      </c>
      <c r="AK30" s="2">
        <v>520</v>
      </c>
      <c r="AL30" s="2">
        <v>560</v>
      </c>
      <c r="AM30" s="2">
        <v>2</v>
      </c>
      <c r="AN30" s="2">
        <f>4+9+7</f>
        <v>20</v>
      </c>
      <c r="AO30" s="5">
        <v>3</v>
      </c>
      <c r="AP30" s="2"/>
    </row>
    <row r="31" spans="1:42" ht="24" customHeight="1">
      <c r="A31" s="11">
        <v>2023</v>
      </c>
      <c r="B31" s="2" t="s">
        <v>23</v>
      </c>
      <c r="C31" s="11">
        <f>(552+6671)/(596+7022)</f>
        <v>0.9481491205040693</v>
      </c>
      <c r="D31" s="11">
        <f>(108+6+1334+30)/(596+7022)</f>
        <v>0.19401417694933054</v>
      </c>
      <c r="E31" s="11">
        <v>15585</v>
      </c>
      <c r="F31" s="11">
        <v>10254</v>
      </c>
      <c r="G31" s="11">
        <v>5331</v>
      </c>
      <c r="H31" s="11">
        <v>2149</v>
      </c>
      <c r="I31" s="11">
        <v>1692</v>
      </c>
      <c r="J31" s="3">
        <v>109</v>
      </c>
      <c r="K31" s="11">
        <v>961</v>
      </c>
      <c r="L31" s="2">
        <f t="shared" si="1"/>
        <v>16.217481789802289</v>
      </c>
      <c r="M31" s="2">
        <v>3891</v>
      </c>
      <c r="N31" s="2">
        <v>1207</v>
      </c>
      <c r="O31" s="11">
        <v>3691</v>
      </c>
      <c r="P31" s="11">
        <v>3171</v>
      </c>
      <c r="Q31" s="11">
        <v>1750</v>
      </c>
      <c r="R31" s="2">
        <v>31.25</v>
      </c>
      <c r="S31" s="2">
        <v>11.02</v>
      </c>
      <c r="T31" s="1">
        <f>(0.0238+0.0061)*100</f>
        <v>2.99</v>
      </c>
      <c r="U31" s="1">
        <v>4.3</v>
      </c>
      <c r="V31" s="2">
        <v>15</v>
      </c>
      <c r="W31" s="6">
        <f>54+133</f>
        <v>187</v>
      </c>
      <c r="X31" s="13">
        <v>7140</v>
      </c>
      <c r="Y31" s="1">
        <v>0</v>
      </c>
      <c r="Z31" s="2">
        <v>456</v>
      </c>
      <c r="AA31" s="2">
        <v>725</v>
      </c>
      <c r="AB31" s="16">
        <v>8206</v>
      </c>
      <c r="AC31" s="2">
        <v>62</v>
      </c>
      <c r="AD31" s="2">
        <v>348</v>
      </c>
      <c r="AE31" s="1">
        <v>44.2</v>
      </c>
      <c r="AF31" s="8">
        <f>SUMPRODUCT({449.5,349.5,249.5}, {0.327,0.112,0.007})</f>
        <v>187.87700000000001</v>
      </c>
      <c r="AG31" s="1">
        <v>42.6</v>
      </c>
      <c r="AH31" s="1">
        <v>8.3000000000000007</v>
      </c>
      <c r="AI31" s="2">
        <v>480</v>
      </c>
      <c r="AJ31" s="2">
        <v>590</v>
      </c>
      <c r="AK31" s="2">
        <v>440</v>
      </c>
      <c r="AL31" s="2">
        <v>560</v>
      </c>
      <c r="AM31" s="2"/>
      <c r="AN31" s="2"/>
      <c r="AO31" s="5"/>
      <c r="AP31" s="2"/>
    </row>
    <row r="32" spans="1:42" ht="24" customHeight="1">
      <c r="A32" s="11">
        <v>2014</v>
      </c>
      <c r="B32" s="2" t="s">
        <v>24</v>
      </c>
      <c r="C32" s="11">
        <f>6192/11817</f>
        <v>0.52399086062452405</v>
      </c>
      <c r="D32" s="11">
        <f>1459/11817</f>
        <v>0.12346619277312347</v>
      </c>
      <c r="E32" s="11">
        <v>11272</v>
      </c>
      <c r="F32" s="11">
        <v>6391</v>
      </c>
      <c r="G32" s="11">
        <v>4881</v>
      </c>
      <c r="H32" s="11">
        <v>1712</v>
      </c>
      <c r="I32" s="11">
        <v>1382</v>
      </c>
      <c r="J32" s="3">
        <f>74+248</f>
        <v>322</v>
      </c>
      <c r="K32" s="11">
        <v>1125</v>
      </c>
      <c r="L32" s="2">
        <f t="shared" si="1"/>
        <v>10.019555555555556</v>
      </c>
      <c r="M32" s="2">
        <v>1680</v>
      </c>
      <c r="N32" s="2">
        <v>287</v>
      </c>
      <c r="O32" s="11">
        <v>746</v>
      </c>
      <c r="P32" s="11">
        <v>4204</v>
      </c>
      <c r="Q32" s="11">
        <v>317</v>
      </c>
      <c r="R32" s="2">
        <v>0.27</v>
      </c>
      <c r="S32" s="2">
        <v>20.41</v>
      </c>
      <c r="T32" s="1">
        <f>(0.0147+0.0939+0.0442)*100</f>
        <v>15.28</v>
      </c>
      <c r="U32" s="1">
        <v>6.88</v>
      </c>
      <c r="V32" s="2">
        <v>19</v>
      </c>
      <c r="W32" s="6">
        <f>314+490</f>
        <v>804</v>
      </c>
      <c r="X32" s="13">
        <v>42770</v>
      </c>
      <c r="Y32" s="1">
        <v>39.5</v>
      </c>
      <c r="Z32" s="2">
        <v>1430</v>
      </c>
      <c r="AA32" s="2">
        <v>699</v>
      </c>
      <c r="AB32" s="16">
        <v>19674</v>
      </c>
      <c r="AC32" s="2">
        <v>17</v>
      </c>
      <c r="AD32" s="2">
        <v>941</v>
      </c>
      <c r="AE32" s="1">
        <v>77</v>
      </c>
      <c r="AF32" s="8">
        <f>SUMPRODUCT({449.5,349.5,249.5}, {0.021,0,0})</f>
        <v>9.4395000000000007</v>
      </c>
      <c r="AG32" s="1">
        <v>79</v>
      </c>
      <c r="AH32" s="1">
        <v>1</v>
      </c>
      <c r="AI32" s="2">
        <v>600</v>
      </c>
      <c r="AJ32" s="2">
        <v>690</v>
      </c>
      <c r="AK32" s="2">
        <v>620</v>
      </c>
      <c r="AL32" s="2">
        <v>710</v>
      </c>
      <c r="AM32" s="2"/>
      <c r="AN32" s="2"/>
      <c r="AO32" s="5"/>
      <c r="AP32" s="2"/>
    </row>
    <row r="33" spans="1:42" ht="24" customHeight="1">
      <c r="A33" s="11">
        <v>2015</v>
      </c>
      <c r="B33" s="2" t="s">
        <v>24</v>
      </c>
      <c r="C33" s="11">
        <f>6360/12992</f>
        <v>0.4895320197044335</v>
      </c>
      <c r="D33" s="11">
        <f>1374/12992</f>
        <v>0.10575738916256158</v>
      </c>
      <c r="E33" s="11">
        <v>11643</v>
      </c>
      <c r="F33" s="11">
        <v>6411</v>
      </c>
      <c r="G33" s="11">
        <v>5232</v>
      </c>
      <c r="H33" s="11">
        <v>1785</v>
      </c>
      <c r="I33" s="11">
        <v>1485</v>
      </c>
      <c r="J33" s="3">
        <f>86+240</f>
        <v>326</v>
      </c>
      <c r="K33" s="11">
        <v>1116</v>
      </c>
      <c r="L33" s="2">
        <f t="shared" si="1"/>
        <v>10.432795698924732</v>
      </c>
      <c r="M33" s="2">
        <v>1487</v>
      </c>
      <c r="N33" s="2">
        <v>295</v>
      </c>
      <c r="O33" s="11">
        <v>730</v>
      </c>
      <c r="P33" s="11">
        <v>4186</v>
      </c>
      <c r="Q33" s="11">
        <v>297</v>
      </c>
      <c r="R33" s="2">
        <v>0.26</v>
      </c>
      <c r="S33" s="2">
        <v>22.22</v>
      </c>
      <c r="T33" s="1">
        <f>(0.0179+0.0987+0.0538)*100</f>
        <v>17.04</v>
      </c>
      <c r="U33" s="1">
        <v>7.07</v>
      </c>
      <c r="V33" s="2">
        <v>23</v>
      </c>
      <c r="W33" s="6">
        <f>298+486</f>
        <v>784</v>
      </c>
      <c r="X33" s="13">
        <v>44694</v>
      </c>
      <c r="Y33" s="1">
        <v>32.5</v>
      </c>
      <c r="Z33" s="2">
        <v>1288</v>
      </c>
      <c r="AA33" s="2">
        <v>554</v>
      </c>
      <c r="AB33" s="16">
        <v>20746</v>
      </c>
      <c r="AC33" s="2">
        <v>22</v>
      </c>
      <c r="AD33" s="2">
        <v>886</v>
      </c>
      <c r="AE33" s="1">
        <v>79</v>
      </c>
      <c r="AF33" s="8">
        <f>SUMPRODUCT({449.5,349.5,249.5}, {0.0216,0.0016,0})</f>
        <v>10.268400000000002</v>
      </c>
      <c r="AG33" s="1">
        <v>75</v>
      </c>
      <c r="AH33" s="1">
        <v>2</v>
      </c>
      <c r="AI33" s="2">
        <v>600</v>
      </c>
      <c r="AJ33" s="2">
        <v>690</v>
      </c>
      <c r="AK33" s="2">
        <v>620</v>
      </c>
      <c r="AL33" s="2">
        <v>720</v>
      </c>
      <c r="AM33" s="2"/>
      <c r="AN33" s="2"/>
      <c r="AO33" s="5"/>
      <c r="AP33" s="2"/>
    </row>
    <row r="34" spans="1:42" ht="24" customHeight="1">
      <c r="A34" s="11">
        <v>2016</v>
      </c>
      <c r="B34" s="2" t="s">
        <v>24</v>
      </c>
      <c r="C34" s="11">
        <f>6482/13250</f>
        <v>0.4892075471698113</v>
      </c>
      <c r="D34" s="11">
        <f>1522/13250</f>
        <v>0.11486792452830188</v>
      </c>
      <c r="E34" s="11">
        <v>11739</v>
      </c>
      <c r="F34" s="11">
        <v>6521</v>
      </c>
      <c r="G34" s="11">
        <v>5218</v>
      </c>
      <c r="H34" s="11">
        <v>1723</v>
      </c>
      <c r="I34" s="11">
        <v>1648</v>
      </c>
      <c r="J34" s="3">
        <f>79+238</f>
        <v>317</v>
      </c>
      <c r="K34" s="11">
        <v>1142</v>
      </c>
      <c r="L34" s="2">
        <f t="shared" si="1"/>
        <v>10.279334500875656</v>
      </c>
      <c r="M34" s="2">
        <v>1499</v>
      </c>
      <c r="N34" s="2">
        <v>288</v>
      </c>
      <c r="O34" s="11">
        <v>719</v>
      </c>
      <c r="P34" s="11">
        <v>4236</v>
      </c>
      <c r="Q34" s="11">
        <v>321</v>
      </c>
      <c r="R34" s="2">
        <v>0.97</v>
      </c>
      <c r="S34" s="2">
        <v>22.58</v>
      </c>
      <c r="T34" s="1">
        <f>(0.02+0.0773+0.0427)*100</f>
        <v>14.000000000000002</v>
      </c>
      <c r="U34" s="1">
        <v>7.19</v>
      </c>
      <c r="V34" s="2">
        <v>27</v>
      </c>
      <c r="W34" s="6">
        <f>255+535</f>
        <v>790</v>
      </c>
      <c r="X34" s="13">
        <v>46594</v>
      </c>
      <c r="Y34" s="1">
        <v>32</v>
      </c>
      <c r="Z34" s="2">
        <v>1382</v>
      </c>
      <c r="AA34" s="2">
        <v>623</v>
      </c>
      <c r="AB34" s="16">
        <v>22210</v>
      </c>
      <c r="AC34" s="2">
        <v>15</v>
      </c>
      <c r="AD34" s="2">
        <v>1008</v>
      </c>
      <c r="AE34" s="1">
        <v>79</v>
      </c>
      <c r="AF34" s="8">
        <f>SUMPRODUCT({449.5,349.5,249.5}, {0.0131,0.0015,0})</f>
        <v>6.412700000000001</v>
      </c>
      <c r="AG34" s="1">
        <v>77</v>
      </c>
      <c r="AH34" s="1">
        <v>2</v>
      </c>
      <c r="AI34" s="2">
        <v>600</v>
      </c>
      <c r="AJ34" s="2">
        <v>700</v>
      </c>
      <c r="AK34" s="2">
        <v>620</v>
      </c>
      <c r="AL34" s="2">
        <v>710</v>
      </c>
      <c r="AM34" s="2"/>
      <c r="AN34" s="2"/>
      <c r="AO34" s="5"/>
      <c r="AP34" s="2"/>
    </row>
    <row r="35" spans="1:42" ht="24" customHeight="1">
      <c r="A35" s="11">
        <v>2017</v>
      </c>
      <c r="B35" s="2" t="s">
        <v>24</v>
      </c>
      <c r="C35" s="11">
        <f>6402/13128</f>
        <v>0.48765996343692869</v>
      </c>
      <c r="D35" s="11">
        <f>1423/13128</f>
        <v>0.10839427178549665</v>
      </c>
      <c r="E35" s="11">
        <v>11789</v>
      </c>
      <c r="F35" s="11">
        <v>6452</v>
      </c>
      <c r="G35" s="11">
        <v>5337</v>
      </c>
      <c r="H35" s="11">
        <v>1778</v>
      </c>
      <c r="I35" s="11">
        <v>1814</v>
      </c>
      <c r="J35" s="3">
        <f>89+236</f>
        <v>325</v>
      </c>
      <c r="K35" s="11">
        <v>1156</v>
      </c>
      <c r="L35" s="2">
        <f t="shared" si="1"/>
        <v>10.198096885813149</v>
      </c>
      <c r="M35" s="2">
        <v>1440</v>
      </c>
      <c r="N35" s="2">
        <v>279</v>
      </c>
      <c r="O35" s="11">
        <v>737</v>
      </c>
      <c r="P35" s="11">
        <v>4167</v>
      </c>
      <c r="Q35" s="11">
        <v>294</v>
      </c>
      <c r="R35" s="2">
        <v>1.37</v>
      </c>
      <c r="S35" s="2">
        <v>24.26</v>
      </c>
      <c r="T35" s="1">
        <f>(0.0217+0.0888+0.0423)*100</f>
        <v>15.28</v>
      </c>
      <c r="U35" s="1">
        <v>6.77</v>
      </c>
      <c r="V35" s="2">
        <v>15</v>
      </c>
      <c r="W35" s="6">
        <f>275+518</f>
        <v>793</v>
      </c>
      <c r="X35" s="13">
        <v>48365</v>
      </c>
      <c r="Y35" s="1">
        <v>31.5</v>
      </c>
      <c r="Z35" s="2">
        <v>1366</v>
      </c>
      <c r="AA35" s="2">
        <v>735</v>
      </c>
      <c r="AB35" s="16">
        <v>22487</v>
      </c>
      <c r="AC35" s="2">
        <v>14</v>
      </c>
      <c r="AD35" s="2">
        <v>981</v>
      </c>
      <c r="AE35" s="1">
        <v>81</v>
      </c>
      <c r="AF35" s="8">
        <f>SUMPRODUCT({449.5,349.5,249.5}, {0.017,0.0019,0})</f>
        <v>8.3055500000000002</v>
      </c>
      <c r="AG35" s="1">
        <v>79</v>
      </c>
      <c r="AH35" s="1">
        <v>1</v>
      </c>
      <c r="AI35" s="2">
        <v>630</v>
      </c>
      <c r="AJ35" s="2">
        <v>710</v>
      </c>
      <c r="AK35" s="2">
        <v>640</v>
      </c>
      <c r="AL35" s="2">
        <v>730</v>
      </c>
      <c r="AM35" s="2"/>
      <c r="AN35" s="2"/>
      <c r="AO35" s="5"/>
      <c r="AP35" s="2"/>
    </row>
    <row r="36" spans="1:42" ht="24" customHeight="1">
      <c r="A36" s="11">
        <v>2018</v>
      </c>
      <c r="B36" s="2" t="s">
        <v>24</v>
      </c>
      <c r="C36" s="11">
        <f>6457/12603</f>
        <v>0.51233833214314051</v>
      </c>
      <c r="D36" s="11">
        <f>1530/12603</f>
        <v>0.12139966674601285</v>
      </c>
      <c r="E36" s="11">
        <v>11649</v>
      </c>
      <c r="F36" s="11">
        <v>6479</v>
      </c>
      <c r="G36" s="11">
        <v>5170</v>
      </c>
      <c r="H36" s="11">
        <v>1907</v>
      </c>
      <c r="I36" s="11">
        <v>1896</v>
      </c>
      <c r="J36" s="3">
        <f>240+109</f>
        <v>349</v>
      </c>
      <c r="K36" s="11">
        <v>1152</v>
      </c>
      <c r="L36" s="2">
        <f t="shared" si="1"/>
        <v>10.111979166666666</v>
      </c>
      <c r="M36" s="2">
        <v>1367</v>
      </c>
      <c r="N36" s="2">
        <v>250</v>
      </c>
      <c r="O36" s="11">
        <v>751</v>
      </c>
      <c r="P36" s="11">
        <v>4166</v>
      </c>
      <c r="Q36" s="11">
        <v>299</v>
      </c>
      <c r="R36" s="2">
        <v>2.15</v>
      </c>
      <c r="S36" s="2">
        <v>25.6</v>
      </c>
      <c r="T36" s="1">
        <f>(0.0225+0.0865+0.0713)*100</f>
        <v>18.029999999999998</v>
      </c>
      <c r="U36" s="1">
        <v>6.2</v>
      </c>
      <c r="V36" s="2">
        <v>18</v>
      </c>
      <c r="W36" s="6">
        <f>271+505</f>
        <v>776</v>
      </c>
      <c r="X36" s="13">
        <v>50200</v>
      </c>
      <c r="Y36" s="1">
        <v>30.5</v>
      </c>
      <c r="Z36" s="2">
        <v>1381</v>
      </c>
      <c r="AA36" s="2">
        <v>761</v>
      </c>
      <c r="AB36" s="16">
        <v>21799</v>
      </c>
      <c r="AC36" s="2">
        <v>18</v>
      </c>
      <c r="AD36" s="2">
        <v>964</v>
      </c>
      <c r="AE36" s="1">
        <v>78</v>
      </c>
      <c r="AF36" s="8">
        <f>SUMPRODUCT({449.5,349.5,249.5}, {0.0134,0.0013,0})</f>
        <v>6.4776499999999997</v>
      </c>
      <c r="AG36" s="1">
        <v>80</v>
      </c>
      <c r="AH36" s="1">
        <v>1</v>
      </c>
      <c r="AI36" s="2">
        <v>630</v>
      </c>
      <c r="AJ36" s="2">
        <v>710</v>
      </c>
      <c r="AK36" s="2">
        <v>650</v>
      </c>
      <c r="AL36" s="2">
        <v>750</v>
      </c>
      <c r="AM36" s="2"/>
      <c r="AN36" s="2"/>
      <c r="AO36" s="5"/>
      <c r="AP36" s="2"/>
    </row>
    <row r="37" spans="1:42" ht="24" customHeight="1">
      <c r="A37" s="11">
        <v>2019</v>
      </c>
      <c r="B37" s="2" t="s">
        <v>24</v>
      </c>
      <c r="C37" s="11">
        <f>(3146+3455)/(6613+7346)</f>
        <v>0.47288487714019628</v>
      </c>
      <c r="D37" s="11">
        <f>(755+2)/(6613+7346)</f>
        <v>5.4230245719607419E-2</v>
      </c>
      <c r="E37" s="11">
        <v>11824</v>
      </c>
      <c r="F37" s="11">
        <v>6710</v>
      </c>
      <c r="G37" s="11">
        <v>5114</v>
      </c>
      <c r="H37" s="11">
        <v>1825</v>
      </c>
      <c r="I37" s="11">
        <v>1790</v>
      </c>
      <c r="J37" s="3">
        <f>96+272</f>
        <v>368</v>
      </c>
      <c r="K37" s="11">
        <v>1151</v>
      </c>
      <c r="L37" s="2">
        <f t="shared" si="1"/>
        <v>10.27280625543006</v>
      </c>
      <c r="M37" s="2">
        <v>1434</v>
      </c>
      <c r="N37" s="2">
        <v>290</v>
      </c>
      <c r="O37" s="11">
        <v>813</v>
      </c>
      <c r="P37" s="11">
        <v>4326</v>
      </c>
      <c r="Q37" s="11">
        <v>295</v>
      </c>
      <c r="R37" s="2">
        <v>1.24</v>
      </c>
      <c r="S37" s="2">
        <v>26.67</v>
      </c>
      <c r="T37" s="1">
        <f>(0.0268+0.0886+0.0639)*100</f>
        <v>17.93</v>
      </c>
      <c r="U37" s="1">
        <v>5.72</v>
      </c>
      <c r="V37" s="2">
        <v>18</v>
      </c>
      <c r="W37" s="6">
        <f>291+474</f>
        <v>765</v>
      </c>
      <c r="X37" s="13">
        <v>51958</v>
      </c>
      <c r="Y37" s="1">
        <v>31.5</v>
      </c>
      <c r="Z37" s="2">
        <v>1385</v>
      </c>
      <c r="AA37" s="2">
        <v>727</v>
      </c>
      <c r="AB37" s="16">
        <v>22114</v>
      </c>
      <c r="AC37" s="2">
        <v>16</v>
      </c>
      <c r="AD37" s="2">
        <v>1024</v>
      </c>
      <c r="AE37" s="1">
        <v>81</v>
      </c>
      <c r="AF37" s="8">
        <f>SUMPRODUCT({449.5,349.5,249.5}, {0.0066,0.0017,0})</f>
        <v>3.5608499999999998</v>
      </c>
      <c r="AG37" s="1">
        <v>79</v>
      </c>
      <c r="AH37" s="1">
        <v>0</v>
      </c>
      <c r="AI37" s="2">
        <v>640</v>
      </c>
      <c r="AJ37" s="2">
        <v>720</v>
      </c>
      <c r="AK37" s="2">
        <v>660</v>
      </c>
      <c r="AL37" s="2">
        <v>760</v>
      </c>
      <c r="AM37" s="2"/>
      <c r="AN37" s="2"/>
      <c r="AO37" s="5"/>
      <c r="AP37" s="2"/>
    </row>
    <row r="38" spans="1:42" ht="24" customHeight="1">
      <c r="A38" s="11">
        <v>2020</v>
      </c>
      <c r="B38" s="2" t="s">
        <v>24</v>
      </c>
      <c r="C38" s="11">
        <f>(3570+3809)/(6714+7296)</f>
        <v>0.52669521770164174</v>
      </c>
      <c r="D38" s="11">
        <f>(758)/(6714+7296)</f>
        <v>5.4104211277658812E-2</v>
      </c>
      <c r="E38" s="11">
        <v>12373</v>
      </c>
      <c r="F38" s="11">
        <v>6827</v>
      </c>
      <c r="G38" s="11">
        <v>5546</v>
      </c>
      <c r="H38" s="11">
        <v>1853</v>
      </c>
      <c r="I38" s="11">
        <v>1659</v>
      </c>
      <c r="J38" s="3">
        <f>100+215</f>
        <v>315</v>
      </c>
      <c r="K38" s="11">
        <v>1146</v>
      </c>
      <c r="L38" s="2">
        <f t="shared" si="1"/>
        <v>10.796684118673648</v>
      </c>
      <c r="M38" s="2">
        <v>1475</v>
      </c>
      <c r="N38" s="2">
        <v>297</v>
      </c>
      <c r="O38" s="11">
        <v>859</v>
      </c>
      <c r="P38" s="11">
        <v>4356</v>
      </c>
      <c r="Q38" s="11">
        <v>315</v>
      </c>
      <c r="R38" s="2">
        <v>2.4</v>
      </c>
      <c r="S38" s="2">
        <v>26.2</v>
      </c>
      <c r="T38" s="1">
        <f>(0.025+0.086+0.0758)*100</f>
        <v>18.68</v>
      </c>
      <c r="U38" s="1">
        <v>5.74</v>
      </c>
      <c r="V38" s="2">
        <v>24</v>
      </c>
      <c r="W38" s="6">
        <f>267+482</f>
        <v>749</v>
      </c>
      <c r="X38" s="13">
        <v>53464</v>
      </c>
      <c r="Y38" s="1">
        <v>30.5</v>
      </c>
      <c r="Z38" s="2">
        <v>1385</v>
      </c>
      <c r="AA38" s="2">
        <v>726</v>
      </c>
      <c r="AB38" s="16">
        <v>22820</v>
      </c>
      <c r="AC38" s="2">
        <v>21</v>
      </c>
      <c r="AD38" s="2">
        <v>1065</v>
      </c>
      <c r="AE38" s="1">
        <v>81</v>
      </c>
      <c r="AF38" s="8">
        <f>SUMPRODUCT({449.5,349.5,249.5}, {0.0066,0,0})</f>
        <v>2.9666999999999999</v>
      </c>
      <c r="AG38" s="1">
        <v>79</v>
      </c>
      <c r="AH38" s="1">
        <v>1</v>
      </c>
      <c r="AI38" s="2">
        <v>630</v>
      </c>
      <c r="AJ38" s="2">
        <v>710</v>
      </c>
      <c r="AK38" s="2">
        <v>620</v>
      </c>
      <c r="AL38" s="2">
        <v>740</v>
      </c>
      <c r="AM38" s="2">
        <f>3+3+1+16+3</f>
        <v>26</v>
      </c>
      <c r="AN38" s="2">
        <v>3</v>
      </c>
      <c r="AO38" s="5">
        <v>13</v>
      </c>
      <c r="AP38" s="2">
        <v>1</v>
      </c>
    </row>
    <row r="39" spans="1:42" ht="24" customHeight="1">
      <c r="A39" s="11">
        <v>2021</v>
      </c>
      <c r="B39" s="2" t="s">
        <v>24</v>
      </c>
      <c r="C39" s="11">
        <f>(3695+4638)/(7325+8360)</f>
        <v>0.53127191584316225</v>
      </c>
      <c r="D39" s="11">
        <f>(828+3)/(7325+8360)</f>
        <v>5.2980554670066946E-2</v>
      </c>
      <c r="E39" s="11">
        <v>12385</v>
      </c>
      <c r="F39" s="11">
        <v>6908</v>
      </c>
      <c r="G39" s="11">
        <v>5477</v>
      </c>
      <c r="H39" s="11">
        <v>1937</v>
      </c>
      <c r="I39" s="11">
        <v>1704</v>
      </c>
      <c r="J39" s="3">
        <f>130+221</f>
        <v>351</v>
      </c>
      <c r="K39" s="11">
        <v>1126</v>
      </c>
      <c r="L39" s="2">
        <f t="shared" si="1"/>
        <v>10.99911190053286</v>
      </c>
      <c r="M39" s="2">
        <v>1982</v>
      </c>
      <c r="N39" s="2">
        <v>281</v>
      </c>
      <c r="O39" s="11">
        <v>944</v>
      </c>
      <c r="P39" s="11">
        <v>4334</v>
      </c>
      <c r="Q39" s="11">
        <v>332</v>
      </c>
      <c r="R39" s="2">
        <v>1.52</v>
      </c>
      <c r="S39" s="2">
        <v>26.13</v>
      </c>
      <c r="T39" s="1">
        <f>(0.0238+0.0698+0.0727)*100</f>
        <v>16.63</v>
      </c>
      <c r="U39" s="1">
        <v>5.89</v>
      </c>
      <c r="V39" s="2">
        <v>17</v>
      </c>
      <c r="W39" s="6">
        <f>240+512</f>
        <v>752</v>
      </c>
      <c r="X39" s="13">
        <v>55012</v>
      </c>
      <c r="Y39" s="1">
        <v>30</v>
      </c>
      <c r="Z39" s="2">
        <v>496</v>
      </c>
      <c r="AA39" s="2">
        <v>742</v>
      </c>
      <c r="AB39" s="16">
        <v>39290</v>
      </c>
      <c r="AC39" s="2">
        <v>12</v>
      </c>
      <c r="AD39" s="2">
        <v>1026</v>
      </c>
      <c r="AE39" s="1">
        <v>82</v>
      </c>
      <c r="AF39" s="8">
        <v>0</v>
      </c>
      <c r="AG39" s="1">
        <v>81</v>
      </c>
      <c r="AH39" s="1">
        <v>1</v>
      </c>
      <c r="AI39" s="2">
        <v>660</v>
      </c>
      <c r="AJ39" s="2">
        <v>740</v>
      </c>
      <c r="AK39" s="2">
        <v>680</v>
      </c>
      <c r="AL39" s="2">
        <v>770</v>
      </c>
      <c r="AM39" s="2">
        <f>9+2+5+15+1</f>
        <v>32</v>
      </c>
      <c r="AN39" s="2">
        <v>2</v>
      </c>
      <c r="AO39" s="5">
        <v>3</v>
      </c>
      <c r="AP39" s="2">
        <v>0</v>
      </c>
    </row>
    <row r="40" spans="1:42" ht="24" customHeight="1">
      <c r="A40" s="11">
        <v>2022</v>
      </c>
      <c r="B40" s="2" t="s">
        <v>24</v>
      </c>
      <c r="C40" s="11">
        <f>8439/16150</f>
        <v>0.52253869969040245</v>
      </c>
      <c r="D40" s="11">
        <f>1639/16150</f>
        <v>0.10148606811145511</v>
      </c>
      <c r="E40" s="11">
        <v>12053</v>
      </c>
      <c r="F40" s="11">
        <v>7056</v>
      </c>
      <c r="G40" s="11">
        <v>4997</v>
      </c>
      <c r="H40" s="11">
        <v>1909</v>
      </c>
      <c r="I40" s="11">
        <v>1776</v>
      </c>
      <c r="J40" s="3">
        <f>126+268</f>
        <v>394</v>
      </c>
      <c r="K40" s="11">
        <v>1139</v>
      </c>
      <c r="L40" s="2">
        <f t="shared" si="1"/>
        <v>10.582089552238806</v>
      </c>
      <c r="M40" s="2">
        <v>1948</v>
      </c>
      <c r="N40" s="2">
        <v>269</v>
      </c>
      <c r="O40" s="11">
        <v>1026</v>
      </c>
      <c r="P40" s="11">
        <v>4278</v>
      </c>
      <c r="Q40" s="11">
        <v>349</v>
      </c>
      <c r="R40" s="2">
        <v>1.48</v>
      </c>
      <c r="S40" s="2">
        <v>26.64</v>
      </c>
      <c r="T40" s="1">
        <f>(0.043+0.0641+0.0641)*100</f>
        <v>17.12</v>
      </c>
      <c r="U40" s="1">
        <v>5.36</v>
      </c>
      <c r="V40" s="2">
        <v>17</v>
      </c>
      <c r="W40" s="6">
        <f>239+535</f>
        <v>774</v>
      </c>
      <c r="X40" s="13">
        <v>57212</v>
      </c>
      <c r="Y40" s="1">
        <f>(56%/2)*100</f>
        <v>28.000000000000004</v>
      </c>
      <c r="Z40" s="2">
        <v>450</v>
      </c>
      <c r="AA40" s="2">
        <v>768</v>
      </c>
      <c r="AB40" s="16">
        <v>40975</v>
      </c>
      <c r="AC40" s="2">
        <v>12</v>
      </c>
      <c r="AD40" s="2">
        <v>1145</v>
      </c>
      <c r="AE40" s="1">
        <v>82</v>
      </c>
      <c r="AF40" s="8">
        <f>SUMPRODUCT({449.5,349.5,249.5}, {0,0,0})</f>
        <v>0</v>
      </c>
      <c r="AG40" s="1">
        <v>82</v>
      </c>
      <c r="AH40" s="1">
        <v>0</v>
      </c>
      <c r="AI40" s="2">
        <v>680</v>
      </c>
      <c r="AJ40" s="2">
        <v>740</v>
      </c>
      <c r="AK40" s="2">
        <v>690</v>
      </c>
      <c r="AL40" s="2">
        <v>770</v>
      </c>
      <c r="AM40" s="2">
        <f>13+5+21</f>
        <v>39</v>
      </c>
      <c r="AN40" s="2">
        <v>9</v>
      </c>
      <c r="AO40" s="5">
        <v>11</v>
      </c>
      <c r="AP40" s="2">
        <v>1</v>
      </c>
    </row>
    <row r="41" spans="1:42" ht="24" customHeight="1">
      <c r="A41" s="11">
        <v>2023</v>
      </c>
      <c r="B41" s="2" t="s">
        <v>24</v>
      </c>
      <c r="C41" s="11">
        <f>(4162+5078)/(7100+7992)</f>
        <v>0.61224489795918369</v>
      </c>
      <c r="D41" s="11">
        <f>(779+813)/(7100+7992)</f>
        <v>0.10548635038430956</v>
      </c>
      <c r="E41" s="11">
        <v>11842</v>
      </c>
      <c r="F41" s="11">
        <v>7115</v>
      </c>
      <c r="G41" s="11">
        <v>4727</v>
      </c>
      <c r="H41" s="11">
        <v>1943</v>
      </c>
      <c r="I41" s="11">
        <v>1881</v>
      </c>
      <c r="J41" s="3">
        <f>139+221</f>
        <v>360</v>
      </c>
      <c r="K41" s="11">
        <v>1125</v>
      </c>
      <c r="L41" s="2">
        <f t="shared" si="1"/>
        <v>10.526222222222222</v>
      </c>
      <c r="M41" s="2">
        <v>2041</v>
      </c>
      <c r="N41" s="2">
        <v>282</v>
      </c>
      <c r="O41" s="11">
        <v>1164</v>
      </c>
      <c r="P41" s="11">
        <v>4149</v>
      </c>
      <c r="Q41" s="11">
        <v>382</v>
      </c>
      <c r="R41" s="2">
        <v>1.29</v>
      </c>
      <c r="S41" s="2">
        <v>29.96</v>
      </c>
      <c r="T41" s="1">
        <f>(0.0455+0.0652+0.0407)*100</f>
        <v>15.139999999999997</v>
      </c>
      <c r="U41" s="1">
        <v>6.13</v>
      </c>
      <c r="V41" s="2">
        <v>17</v>
      </c>
      <c r="W41" s="6">
        <f>246+533</f>
        <v>779</v>
      </c>
      <c r="X41" s="13">
        <v>59500</v>
      </c>
      <c r="Y41" s="1">
        <f>(58%/2)*100</f>
        <v>28.999999999999996</v>
      </c>
      <c r="Z41" s="2">
        <v>450</v>
      </c>
      <c r="AA41" s="2">
        <v>836</v>
      </c>
      <c r="AB41" s="16">
        <v>44347</v>
      </c>
      <c r="AC41" s="2">
        <v>19</v>
      </c>
      <c r="AD41" s="2">
        <v>1085</v>
      </c>
      <c r="AE41" s="1">
        <v>83</v>
      </c>
      <c r="AF41" s="8">
        <f>SUMPRODUCT({449.5,349.5,249.5}, {0,0.004,0.004})</f>
        <v>2.3959999999999999</v>
      </c>
      <c r="AG41" s="1">
        <v>73.7</v>
      </c>
      <c r="AH41" s="1">
        <v>1.7000000000000002</v>
      </c>
      <c r="AI41" s="2">
        <v>660</v>
      </c>
      <c r="AJ41" s="2">
        <v>730</v>
      </c>
      <c r="AK41" s="2">
        <v>660</v>
      </c>
      <c r="AL41" s="2">
        <v>750</v>
      </c>
      <c r="AM41" s="2"/>
      <c r="AN41" s="2"/>
      <c r="AO41" s="5"/>
      <c r="AP41" s="2"/>
    </row>
    <row r="42" spans="1:42" ht="24" customHeight="1">
      <c r="A42" s="11">
        <v>2014</v>
      </c>
      <c r="B42" s="2" t="s">
        <v>25</v>
      </c>
      <c r="C42" s="11">
        <f>(3031+5291)/(6536+10493)</f>
        <v>0.48869575430148571</v>
      </c>
      <c r="D42" s="11">
        <f>(718+1170+3)/(6536+10493)</f>
        <v>0.11104586293969111</v>
      </c>
      <c r="E42" s="11">
        <v>10033</v>
      </c>
      <c r="F42" s="11">
        <v>8647</v>
      </c>
      <c r="G42" s="11">
        <v>1386</v>
      </c>
      <c r="H42" s="11">
        <v>1965</v>
      </c>
      <c r="I42" s="11">
        <v>379</v>
      </c>
      <c r="J42" s="3">
        <f>23+49</f>
        <v>72</v>
      </c>
      <c r="K42" s="11">
        <v>958</v>
      </c>
      <c r="L42" s="2">
        <f t="shared" si="1"/>
        <v>10.47286012526096</v>
      </c>
      <c r="M42" s="2">
        <v>2953</v>
      </c>
      <c r="N42" s="2">
        <v>374</v>
      </c>
      <c r="O42" s="11">
        <v>941</v>
      </c>
      <c r="P42" s="11">
        <v>6376</v>
      </c>
      <c r="Q42" s="11">
        <v>417</v>
      </c>
      <c r="R42" s="2">
        <v>12.6</v>
      </c>
      <c r="S42" s="2">
        <v>21.7</v>
      </c>
      <c r="T42" s="1">
        <f>(0.02+0.019+0.008)*100</f>
        <v>4.7</v>
      </c>
      <c r="U42" s="1">
        <v>5.6000000000000005</v>
      </c>
      <c r="V42" s="2">
        <v>27</v>
      </c>
      <c r="W42" s="6">
        <f>276+401</f>
        <v>677</v>
      </c>
      <c r="X42" s="13">
        <v>40630</v>
      </c>
      <c r="Y42" s="1">
        <f>((0.41+0.56)/2)*100</f>
        <v>48.5</v>
      </c>
      <c r="Z42" s="2">
        <v>1831</v>
      </c>
      <c r="AA42" s="2">
        <v>741</v>
      </c>
      <c r="AB42" s="16">
        <v>21732</v>
      </c>
      <c r="AC42" s="2">
        <v>28</v>
      </c>
      <c r="AD42" s="2">
        <v>954</v>
      </c>
      <c r="AE42" s="1">
        <v>76</v>
      </c>
      <c r="AF42" s="8"/>
      <c r="AG42" s="1">
        <v>73</v>
      </c>
      <c r="AH42" s="1">
        <v>1</v>
      </c>
      <c r="AI42" s="2">
        <v>530</v>
      </c>
      <c r="AJ42" s="2">
        <v>630</v>
      </c>
      <c r="AK42" s="2">
        <v>550</v>
      </c>
      <c r="AL42" s="2">
        <v>650</v>
      </c>
      <c r="AM42" s="2"/>
      <c r="AN42" s="2"/>
      <c r="AO42" s="5"/>
      <c r="AP42" s="2"/>
    </row>
    <row r="43" spans="1:42" ht="24" customHeight="1">
      <c r="A43" s="11">
        <v>2015</v>
      </c>
      <c r="B43" s="2" t="s">
        <v>25</v>
      </c>
      <c r="C43" s="11">
        <f>(7974)/(18423)</f>
        <v>0.43282852955544698</v>
      </c>
      <c r="D43" s="11">
        <f>2073/18423</f>
        <v>0.11252239049014819</v>
      </c>
      <c r="E43" s="11">
        <v>10323</v>
      </c>
      <c r="F43" s="11">
        <v>8894</v>
      </c>
      <c r="G43" s="11">
        <v>1429</v>
      </c>
      <c r="H43" s="11">
        <v>2088</v>
      </c>
      <c r="I43" s="11">
        <v>447</v>
      </c>
      <c r="J43" s="3">
        <f>29+60</f>
        <v>89</v>
      </c>
      <c r="K43" s="11">
        <v>981</v>
      </c>
      <c r="L43" s="2">
        <f t="shared" si="1"/>
        <v>10.522935779816514</v>
      </c>
      <c r="M43" s="2">
        <v>3158</v>
      </c>
      <c r="N43" s="2">
        <v>445</v>
      </c>
      <c r="O43" s="11">
        <v>988</v>
      </c>
      <c r="P43" s="11">
        <v>6516</v>
      </c>
      <c r="Q43" s="11">
        <v>434</v>
      </c>
      <c r="R43" s="2">
        <v>13.7</v>
      </c>
      <c r="S43" s="2">
        <v>24.1</v>
      </c>
      <c r="T43" s="1">
        <f>(0.014+0.018+0.009)*100</f>
        <v>4.1000000000000005</v>
      </c>
      <c r="U43" s="1">
        <v>5.5</v>
      </c>
      <c r="V43" s="2">
        <v>31</v>
      </c>
      <c r="W43" s="6">
        <f>273+490</f>
        <v>763</v>
      </c>
      <c r="X43" s="13">
        <v>42580</v>
      </c>
      <c r="Y43" s="1">
        <f>((0.55+0.41)/2)*100</f>
        <v>48</v>
      </c>
      <c r="Z43" s="2">
        <v>2060</v>
      </c>
      <c r="AA43" s="2">
        <v>912</v>
      </c>
      <c r="AB43" s="16">
        <v>24694</v>
      </c>
      <c r="AC43" s="2">
        <v>34</v>
      </c>
      <c r="AD43" s="2">
        <v>1068</v>
      </c>
      <c r="AE43" s="1">
        <v>76</v>
      </c>
      <c r="AF43" s="8"/>
      <c r="AG43" s="1">
        <v>75.960000000000008</v>
      </c>
      <c r="AH43" s="1">
        <v>0.38</v>
      </c>
      <c r="AI43" s="2">
        <v>530</v>
      </c>
      <c r="AJ43" s="2">
        <v>630</v>
      </c>
      <c r="AK43" s="2">
        <v>550</v>
      </c>
      <c r="AL43" s="2">
        <v>650</v>
      </c>
      <c r="AM43" s="2"/>
      <c r="AN43" s="2"/>
      <c r="AO43" s="5"/>
      <c r="AP43" s="2"/>
    </row>
    <row r="44" spans="1:42" ht="24" customHeight="1">
      <c r="A44" s="11">
        <v>2016</v>
      </c>
      <c r="B44" s="2" t="s">
        <v>25</v>
      </c>
      <c r="C44" s="11">
        <f>(3038+4468)/(8272+11700)</f>
        <v>0.37582615661926699</v>
      </c>
      <c r="D44" s="11">
        <f>(767+1+1120)/(8272+11700)</f>
        <v>9.4532345283396754E-2</v>
      </c>
      <c r="E44" s="11">
        <v>10394</v>
      </c>
      <c r="F44" s="11">
        <v>8891</v>
      </c>
      <c r="G44" s="11">
        <v>1503</v>
      </c>
      <c r="H44" s="11">
        <v>2061</v>
      </c>
      <c r="I44" s="11">
        <v>460</v>
      </c>
      <c r="J44" s="3">
        <f>68+25</f>
        <v>93</v>
      </c>
      <c r="K44" s="11">
        <v>1031</v>
      </c>
      <c r="L44" s="2">
        <f t="shared" si="1"/>
        <v>10.081474296799223</v>
      </c>
      <c r="M44" s="2">
        <v>3032</v>
      </c>
      <c r="N44" s="2">
        <v>434</v>
      </c>
      <c r="O44" s="11">
        <v>1098</v>
      </c>
      <c r="P44" s="11">
        <v>6397</v>
      </c>
      <c r="Q44" s="11">
        <v>448</v>
      </c>
      <c r="R44" s="2">
        <v>13.6</v>
      </c>
      <c r="S44" s="2">
        <v>21.9</v>
      </c>
      <c r="T44" s="1">
        <f>(0.016+0.019+0.007)*100</f>
        <v>4.2</v>
      </c>
      <c r="U44" s="1">
        <v>6.1</v>
      </c>
      <c r="V44" s="2">
        <v>31</v>
      </c>
      <c r="W44" s="6">
        <f>302+526</f>
        <v>828</v>
      </c>
      <c r="X44" s="13">
        <v>44670</v>
      </c>
      <c r="Y44" s="1">
        <f>((0.47+0.65)/2)*100</f>
        <v>56.000000000000007</v>
      </c>
      <c r="Z44" s="2">
        <v>1980</v>
      </c>
      <c r="AA44" s="2">
        <v>905</v>
      </c>
      <c r="AB44" s="16">
        <v>26467</v>
      </c>
      <c r="AC44" s="2">
        <v>26</v>
      </c>
      <c r="AD44" s="2">
        <v>1141</v>
      </c>
      <c r="AE44" s="1">
        <v>77</v>
      </c>
      <c r="AF44" s="8"/>
      <c r="AG44" s="1">
        <v>74</v>
      </c>
      <c r="AH44" s="1">
        <v>1</v>
      </c>
      <c r="AI44" s="2">
        <v>530</v>
      </c>
      <c r="AJ44" s="2">
        <v>630</v>
      </c>
      <c r="AK44" s="2">
        <v>540</v>
      </c>
      <c r="AL44" s="2">
        <v>650</v>
      </c>
      <c r="AM44" s="2"/>
      <c r="AN44" s="2"/>
      <c r="AO44" s="5"/>
      <c r="AP44" s="2"/>
    </row>
    <row r="45" spans="1:42" ht="24" customHeight="1">
      <c r="A45" s="11">
        <v>2017</v>
      </c>
      <c r="B45" s="2" t="s">
        <v>25</v>
      </c>
      <c r="C45" s="11">
        <f>8110/19740</f>
        <v>0.41084093211752787</v>
      </c>
      <c r="D45" s="11">
        <f>(822+3+1127+3)/(19740)</f>
        <v>9.9037487335359678E-2</v>
      </c>
      <c r="E45" s="11">
        <v>10489</v>
      </c>
      <c r="F45" s="11">
        <v>9011</v>
      </c>
      <c r="G45" s="11">
        <v>1478</v>
      </c>
      <c r="H45" s="11">
        <v>2099</v>
      </c>
      <c r="I45" s="11">
        <v>496</v>
      </c>
      <c r="J45" s="3">
        <f>32+84</f>
        <v>116</v>
      </c>
      <c r="K45" s="11">
        <v>1020</v>
      </c>
      <c r="L45" s="2">
        <f t="shared" si="1"/>
        <v>10.283333333333333</v>
      </c>
      <c r="M45" s="2">
        <v>3169</v>
      </c>
      <c r="N45" s="2">
        <v>506</v>
      </c>
      <c r="O45" s="11">
        <v>1214</v>
      </c>
      <c r="P45" s="11">
        <v>6354</v>
      </c>
      <c r="Q45" s="11">
        <v>490</v>
      </c>
      <c r="R45" s="2">
        <v>13.1</v>
      </c>
      <c r="S45" s="2">
        <v>26</v>
      </c>
      <c r="T45" s="1">
        <f>(0.021+0.017+0.007)*100</f>
        <v>4.5000000000000009</v>
      </c>
      <c r="U45" s="1">
        <v>5.8000000000000007</v>
      </c>
      <c r="V45" s="2">
        <v>28</v>
      </c>
      <c r="W45" s="6">
        <f>356+544</f>
        <v>900</v>
      </c>
      <c r="X45" s="13">
        <v>46860</v>
      </c>
      <c r="Y45" s="1">
        <f>((0.41+0.58)/2)*100</f>
        <v>49.5</v>
      </c>
      <c r="Z45" s="2">
        <v>2254</v>
      </c>
      <c r="AA45" s="2">
        <v>890</v>
      </c>
      <c r="AB45" s="16">
        <v>27790</v>
      </c>
      <c r="AC45" s="2">
        <v>18</v>
      </c>
      <c r="AD45" s="2">
        <v>1292</v>
      </c>
      <c r="AE45" s="1">
        <v>83</v>
      </c>
      <c r="AF45" s="8"/>
      <c r="AI45" s="2">
        <v>570</v>
      </c>
      <c r="AJ45" s="2">
        <v>660</v>
      </c>
      <c r="AK45" s="2">
        <v>560</v>
      </c>
      <c r="AL45" s="2">
        <v>670</v>
      </c>
      <c r="AM45" s="2"/>
      <c r="AN45" s="2"/>
      <c r="AO45" s="5"/>
      <c r="AP45" s="2"/>
    </row>
    <row r="46" spans="1:42" ht="24" customHeight="1">
      <c r="A46" s="11">
        <v>2018</v>
      </c>
      <c r="B46" s="2" t="s">
        <v>25</v>
      </c>
      <c r="C46" s="11">
        <f>(3258+4952)/(8445+11711)</f>
        <v>0.40732288152411195</v>
      </c>
      <c r="D46" s="11">
        <f>(882+2+1305+5)/(8445+11711)</f>
        <v>0.10885096249255805</v>
      </c>
      <c r="E46" s="11">
        <v>10918</v>
      </c>
      <c r="F46" s="11">
        <v>9445</v>
      </c>
      <c r="G46" s="11">
        <v>1473</v>
      </c>
      <c r="H46" s="11">
        <v>2028</v>
      </c>
      <c r="I46" s="11">
        <v>466</v>
      </c>
      <c r="J46" s="3">
        <f>39+65</f>
        <v>104</v>
      </c>
      <c r="K46" s="11">
        <v>1041</v>
      </c>
      <c r="L46" s="2">
        <f t="shared" si="1"/>
        <v>10.487992315081652</v>
      </c>
      <c r="M46" s="2">
        <v>3362</v>
      </c>
      <c r="N46" s="2">
        <v>491</v>
      </c>
      <c r="O46" s="11">
        <v>1324</v>
      </c>
      <c r="P46" s="11">
        <v>6529</v>
      </c>
      <c r="Q46" s="11">
        <v>537</v>
      </c>
      <c r="R46" s="2">
        <v>13.3</v>
      </c>
      <c r="S46" s="2">
        <v>24</v>
      </c>
      <c r="T46" s="1">
        <f>(0.028+0.017+0.009)*100</f>
        <v>5.4</v>
      </c>
      <c r="U46" s="1">
        <v>3.8</v>
      </c>
      <c r="V46" s="2">
        <v>31</v>
      </c>
      <c r="W46" s="6">
        <f>338+575</f>
        <v>913</v>
      </c>
      <c r="X46" s="13">
        <v>49160</v>
      </c>
      <c r="Y46" s="1">
        <f>((0.45+0.58)/2)*100</f>
        <v>51.5</v>
      </c>
      <c r="Z46" s="2">
        <v>2472</v>
      </c>
      <c r="AA46" s="2">
        <v>863</v>
      </c>
      <c r="AB46" s="16">
        <v>29991</v>
      </c>
      <c r="AC46" s="2">
        <v>21</v>
      </c>
      <c r="AD46" s="2">
        <v>1280</v>
      </c>
      <c r="AE46" s="1">
        <v>83</v>
      </c>
      <c r="AF46" s="8">
        <f>SUMPRODUCT({449.5,349.5,249.5}, {0.039,0.001,0})</f>
        <v>17.88</v>
      </c>
      <c r="AG46" s="1">
        <v>78</v>
      </c>
      <c r="AH46" s="1">
        <v>0</v>
      </c>
      <c r="AI46" s="2">
        <v>580</v>
      </c>
      <c r="AJ46" s="2">
        <v>660</v>
      </c>
      <c r="AK46" s="2">
        <v>570</v>
      </c>
      <c r="AL46" s="2">
        <v>683</v>
      </c>
      <c r="AM46" s="2"/>
      <c r="AN46" s="2"/>
      <c r="AO46" s="5"/>
      <c r="AP46" s="2"/>
    </row>
    <row r="47" spans="1:42" ht="24" customHeight="1">
      <c r="A47" s="11">
        <v>2019</v>
      </c>
      <c r="B47" s="2" t="s">
        <v>25</v>
      </c>
      <c r="C47" s="11">
        <f>(3412+5554)/(7732+11296)</f>
        <v>0.47120033634643682</v>
      </c>
      <c r="D47" s="11">
        <f>(834+3+1319+3)/(7732+11296)</f>
        <v>0.11346436829934833</v>
      </c>
      <c r="E47" s="11">
        <v>11024</v>
      </c>
      <c r="F47" s="11">
        <v>9474</v>
      </c>
      <c r="G47" s="11">
        <v>1550</v>
      </c>
      <c r="H47" s="11">
        <v>2237</v>
      </c>
      <c r="I47" s="11">
        <v>479</v>
      </c>
      <c r="J47" s="3">
        <f>39+83</f>
        <v>122</v>
      </c>
      <c r="K47" s="11">
        <v>1087</v>
      </c>
      <c r="L47" s="2">
        <f t="shared" si="1"/>
        <v>10.141674333026678</v>
      </c>
      <c r="M47" s="2">
        <v>3345</v>
      </c>
      <c r="N47" s="2">
        <v>359</v>
      </c>
      <c r="O47" s="11">
        <v>1385</v>
      </c>
      <c r="P47" s="11">
        <v>6461</v>
      </c>
      <c r="Q47" s="11">
        <v>493</v>
      </c>
      <c r="R47" s="2">
        <v>13</v>
      </c>
      <c r="S47" s="2">
        <v>23.3</v>
      </c>
      <c r="T47" s="1">
        <f>(0.033+0.026+0.008)*100</f>
        <v>6.7</v>
      </c>
      <c r="U47" s="1">
        <v>4.7</v>
      </c>
      <c r="V47" s="2">
        <v>26</v>
      </c>
      <c r="W47" s="6">
        <f>218+535</f>
        <v>753</v>
      </c>
      <c r="X47" s="13">
        <v>51570</v>
      </c>
      <c r="Y47" s="1">
        <f>((0.176+0.32)/2)*100</f>
        <v>24.8</v>
      </c>
      <c r="Z47" s="2">
        <v>2444</v>
      </c>
      <c r="AA47" s="2">
        <v>877</v>
      </c>
      <c r="AB47" s="16">
        <v>31070</v>
      </c>
      <c r="AC47" s="2">
        <v>24</v>
      </c>
      <c r="AD47" s="2">
        <v>1373</v>
      </c>
      <c r="AE47" s="1">
        <v>83</v>
      </c>
      <c r="AF47" s="8">
        <f>SUMPRODUCT({449.5,349.5,249.5}, {0.043,0.002,0})</f>
        <v>20.0275</v>
      </c>
      <c r="AG47" s="1">
        <v>75</v>
      </c>
      <c r="AH47" s="1">
        <v>1</v>
      </c>
      <c r="AI47" s="2">
        <v>580</v>
      </c>
      <c r="AJ47" s="2">
        <v>670</v>
      </c>
      <c r="AK47" s="2">
        <v>570</v>
      </c>
      <c r="AL47" s="2">
        <v>680</v>
      </c>
      <c r="AM47" s="2"/>
      <c r="AN47" s="2"/>
      <c r="AO47" s="5"/>
      <c r="AP47" s="2"/>
    </row>
    <row r="48" spans="1:42" ht="24" customHeight="1">
      <c r="A48" s="11">
        <v>2020</v>
      </c>
      <c r="B48" s="2" t="s">
        <v>25</v>
      </c>
      <c r="C48" s="11">
        <f>(3781+6374)/(8125+13020)</f>
        <v>0.4802553795223457</v>
      </c>
      <c r="D48" s="11">
        <f>(875+1408+4)/(8125+13020)</f>
        <v>0.10815795696382123</v>
      </c>
      <c r="E48" s="11">
        <v>11379</v>
      </c>
      <c r="F48" s="11">
        <v>9704</v>
      </c>
      <c r="G48" s="11">
        <v>1675</v>
      </c>
      <c r="H48" s="11">
        <v>2157</v>
      </c>
      <c r="I48" s="11">
        <v>465</v>
      </c>
      <c r="J48" s="3">
        <f>31+72</f>
        <v>103</v>
      </c>
      <c r="K48" s="11">
        <v>1089</v>
      </c>
      <c r="L48" s="2">
        <f t="shared" si="1"/>
        <v>10.449035812672177</v>
      </c>
      <c r="M48" s="2">
        <v>3558</v>
      </c>
      <c r="N48" s="2">
        <v>444</v>
      </c>
      <c r="O48" s="11">
        <v>1539</v>
      </c>
      <c r="P48" s="11">
        <v>6495</v>
      </c>
      <c r="Q48" s="11">
        <v>527</v>
      </c>
      <c r="R48" s="2">
        <v>12.5</v>
      </c>
      <c r="S48" s="2">
        <v>23.8</v>
      </c>
      <c r="T48" s="1">
        <f>(0.038+0.026+0.008)*100</f>
        <v>7.2000000000000011</v>
      </c>
      <c r="U48" s="1">
        <v>4.8</v>
      </c>
      <c r="V48" s="2">
        <v>34</v>
      </c>
      <c r="W48" s="6">
        <f>208+632</f>
        <v>840</v>
      </c>
      <c r="X48" s="13">
        <v>51570</v>
      </c>
      <c r="Y48" s="1">
        <f>((0.42+0.53)/2)*100</f>
        <v>47.5</v>
      </c>
      <c r="Z48" s="2">
        <v>2913</v>
      </c>
      <c r="AA48" s="2">
        <v>914</v>
      </c>
      <c r="AB48" s="16">
        <v>32974</v>
      </c>
      <c r="AC48" s="2">
        <v>15</v>
      </c>
      <c r="AD48" s="2">
        <v>1320</v>
      </c>
      <c r="AE48" s="1">
        <v>82</v>
      </c>
      <c r="AF48" s="8">
        <f>SUMPRODUCT({449.5,349.5,249.5}, {0.063,0.002,0})</f>
        <v>29.017500000000002</v>
      </c>
      <c r="AG48" s="1">
        <v>70.8</v>
      </c>
      <c r="AH48" s="1">
        <v>1</v>
      </c>
      <c r="AI48" s="2">
        <v>560</v>
      </c>
      <c r="AJ48" s="2">
        <v>660</v>
      </c>
      <c r="AK48" s="2">
        <v>550</v>
      </c>
      <c r="AL48" s="2">
        <v>660</v>
      </c>
      <c r="AM48" s="2">
        <f>17+4+1+8+2+1</f>
        <v>33</v>
      </c>
      <c r="AN48" s="2">
        <v>11</v>
      </c>
      <c r="AO48" s="5">
        <v>4</v>
      </c>
      <c r="AP48" s="2">
        <v>2</v>
      </c>
    </row>
    <row r="49" spans="1:42" ht="24" customHeight="1">
      <c r="A49" s="11">
        <v>2021</v>
      </c>
      <c r="B49" s="2" t="s">
        <v>25</v>
      </c>
      <c r="C49" s="11">
        <f>(3722+6884)/(7552+12230)</f>
        <v>0.53614396926498842</v>
      </c>
      <c r="D49" s="11">
        <f>(2560)/(19782)</f>
        <v>0.12941057527044789</v>
      </c>
      <c r="E49" s="11">
        <v>11938</v>
      </c>
      <c r="F49" s="11">
        <v>10222</v>
      </c>
      <c r="G49" s="11">
        <v>1716</v>
      </c>
      <c r="H49" s="11">
        <v>2205</v>
      </c>
      <c r="I49" s="11">
        <v>493</v>
      </c>
      <c r="J49" s="3">
        <f>50+82</f>
        <v>132</v>
      </c>
      <c r="K49" s="11">
        <v>1166</v>
      </c>
      <c r="L49" s="2">
        <f t="shared" si="1"/>
        <v>10.238421955403087</v>
      </c>
      <c r="M49" s="2">
        <v>3619</v>
      </c>
      <c r="N49" s="2">
        <v>433</v>
      </c>
      <c r="O49" s="11">
        <v>1632</v>
      </c>
      <c r="P49" s="11">
        <v>6825</v>
      </c>
      <c r="Q49" s="11">
        <v>471</v>
      </c>
      <c r="R49" s="2">
        <v>11.9</v>
      </c>
      <c r="S49" s="2">
        <v>24.7</v>
      </c>
      <c r="T49" s="1">
        <f>(0.035+0.02+0.009)*100</f>
        <v>6.4</v>
      </c>
      <c r="U49" s="1">
        <v>5.3</v>
      </c>
      <c r="V49" s="2">
        <v>27</v>
      </c>
      <c r="W49" s="6">
        <f>211+633</f>
        <v>844</v>
      </c>
      <c r="X49" s="13">
        <v>53890</v>
      </c>
      <c r="Y49" s="1">
        <f>((0.429+0.572)/2)*100</f>
        <v>50.05</v>
      </c>
      <c r="Z49" s="2">
        <v>3173</v>
      </c>
      <c r="AA49" s="2">
        <v>1109</v>
      </c>
      <c r="AB49" s="16">
        <v>34026</v>
      </c>
      <c r="AC49" s="2">
        <v>18</v>
      </c>
      <c r="AD49" s="2">
        <v>1464</v>
      </c>
      <c r="AE49" s="1">
        <v>83</v>
      </c>
      <c r="AF49" s="8">
        <f>SUMPRODUCT({449.5,349.5,249.5}, {0.068,0.007,0})</f>
        <v>33.012500000000003</v>
      </c>
      <c r="AG49" s="1">
        <v>73.8</v>
      </c>
      <c r="AH49" s="1">
        <v>0.8</v>
      </c>
      <c r="AI49" s="2">
        <v>570</v>
      </c>
      <c r="AJ49" s="2">
        <v>670</v>
      </c>
      <c r="AK49" s="2">
        <v>560</v>
      </c>
      <c r="AL49" s="2">
        <v>680</v>
      </c>
      <c r="AM49" s="2">
        <f>22+8+1+3+5</f>
        <v>39</v>
      </c>
      <c r="AN49" s="2">
        <f>15+17+4</f>
        <v>36</v>
      </c>
      <c r="AO49" s="5">
        <v>3</v>
      </c>
      <c r="AP49" s="2">
        <v>1</v>
      </c>
    </row>
    <row r="50" spans="1:42" ht="24" customHeight="1">
      <c r="A50" s="11">
        <v>2022</v>
      </c>
      <c r="B50" s="2" t="s">
        <v>25</v>
      </c>
      <c r="C50" s="11">
        <f>9087/16197</f>
        <v>0.56102982033709947</v>
      </c>
      <c r="D50" s="11">
        <f>2491/16197</f>
        <v>0.15379391245292337</v>
      </c>
      <c r="E50" s="11">
        <v>12273</v>
      </c>
      <c r="F50" s="11">
        <v>10523</v>
      </c>
      <c r="G50" s="11">
        <v>1750</v>
      </c>
      <c r="H50" s="11">
        <v>2294</v>
      </c>
      <c r="I50" s="11">
        <v>493</v>
      </c>
      <c r="J50" s="3">
        <f>36+87</f>
        <v>123</v>
      </c>
      <c r="K50" s="11">
        <v>1212</v>
      </c>
      <c r="L50" s="2">
        <f t="shared" si="1"/>
        <v>10.126237623762377</v>
      </c>
      <c r="M50" s="2">
        <v>3750</v>
      </c>
      <c r="N50" s="2">
        <v>396</v>
      </c>
      <c r="O50" s="11">
        <v>1783</v>
      </c>
      <c r="P50" s="11">
        <v>6888</v>
      </c>
      <c r="Q50" s="11">
        <v>452</v>
      </c>
      <c r="R50" s="2">
        <v>11.3</v>
      </c>
      <c r="S50" s="2">
        <v>27</v>
      </c>
      <c r="T50" s="1">
        <f>(0.035+0.018+0.009)*100</f>
        <v>6.2000000000000011</v>
      </c>
      <c r="U50" s="1">
        <v>5.5</v>
      </c>
      <c r="V50" s="2">
        <v>27</v>
      </c>
      <c r="W50" s="6">
        <f>255+569</f>
        <v>824</v>
      </c>
      <c r="X50" s="13">
        <v>57130</v>
      </c>
      <c r="Y50" s="1">
        <f>((0.429+0.566)/2)*100</f>
        <v>49.749999999999993</v>
      </c>
      <c r="Z50" s="2">
        <v>3429</v>
      </c>
      <c r="AA50" s="2">
        <v>1243</v>
      </c>
      <c r="AB50" s="16">
        <v>37342</v>
      </c>
      <c r="AC50" s="2">
        <v>18</v>
      </c>
      <c r="AD50" s="2">
        <v>1372</v>
      </c>
      <c r="AE50" s="1">
        <v>83.72</v>
      </c>
      <c r="AF50" s="8">
        <f>SUMPRODUCT({449.5,349.5,249.5}, {0.07,0.013,0})</f>
        <v>36.008500000000005</v>
      </c>
      <c r="AG50" s="1">
        <v>77.400000000000006</v>
      </c>
      <c r="AH50" s="1">
        <v>0.8</v>
      </c>
      <c r="AI50" s="2">
        <v>580</v>
      </c>
      <c r="AJ50" s="2">
        <v>680</v>
      </c>
      <c r="AK50" s="2">
        <v>560</v>
      </c>
      <c r="AL50" s="2">
        <v>680</v>
      </c>
      <c r="AM50" s="2">
        <f>12+3+6+1+1</f>
        <v>23</v>
      </c>
      <c r="AN50" s="2">
        <v>11</v>
      </c>
      <c r="AO50" s="5">
        <v>0</v>
      </c>
      <c r="AP50" s="2">
        <v>1</v>
      </c>
    </row>
    <row r="51" spans="1:42" ht="24" customHeight="1">
      <c r="A51" s="11">
        <v>2023</v>
      </c>
      <c r="B51" s="2" t="s">
        <v>25</v>
      </c>
      <c r="C51" s="11">
        <f>8740/20517</f>
        <v>0.42598820490325096</v>
      </c>
      <c r="D51" s="11">
        <f>2488/20517</f>
        <v>0.12126529219671492</v>
      </c>
      <c r="E51" s="11">
        <f>F51+G51</f>
        <v>12785</v>
      </c>
      <c r="F51" s="11">
        <v>10915</v>
      </c>
      <c r="G51" s="11">
        <v>1870</v>
      </c>
      <c r="H51" s="11">
        <v>2398</v>
      </c>
      <c r="I51" s="11">
        <v>492</v>
      </c>
      <c r="J51" s="3">
        <v>51</v>
      </c>
      <c r="K51" s="11">
        <v>1256</v>
      </c>
      <c r="L51" s="2">
        <f t="shared" si="1"/>
        <v>10.179140127388536</v>
      </c>
      <c r="M51" s="2">
        <v>3961</v>
      </c>
      <c r="N51" s="2">
        <v>431</v>
      </c>
      <c r="O51" s="11">
        <v>1979</v>
      </c>
      <c r="P51" s="11">
        <v>7001</v>
      </c>
      <c r="Q51" s="11">
        <v>446</v>
      </c>
      <c r="R51" s="2">
        <v>10.5</v>
      </c>
      <c r="S51" s="2">
        <v>28.9</v>
      </c>
      <c r="T51" s="1">
        <v>5.6000000000000005</v>
      </c>
      <c r="U51" s="1">
        <v>5.4</v>
      </c>
      <c r="V51" s="2">
        <v>29</v>
      </c>
      <c r="W51" s="6">
        <f>278+640</f>
        <v>918</v>
      </c>
      <c r="X51" s="13">
        <v>61650</v>
      </c>
      <c r="Y51" s="1">
        <f>((0.449+0.573)/2)*100</f>
        <v>51.1</v>
      </c>
      <c r="Z51" s="2">
        <v>3763</v>
      </c>
      <c r="AA51" s="2">
        <v>1244</v>
      </c>
      <c r="AB51" s="16">
        <v>41015</v>
      </c>
      <c r="AC51" s="2">
        <v>25</v>
      </c>
      <c r="AD51" s="2">
        <v>1438</v>
      </c>
      <c r="AE51" s="1">
        <v>86</v>
      </c>
      <c r="AF51" s="8">
        <f>SUMPRODUCT({449.5,349.5,249.5}, {0.067,0.012,0})</f>
        <v>34.310500000000005</v>
      </c>
      <c r="AG51" s="1">
        <v>81.100000000000009</v>
      </c>
      <c r="AH51" s="1">
        <v>0.6</v>
      </c>
      <c r="AI51" s="2">
        <v>580</v>
      </c>
      <c r="AJ51" s="2">
        <v>690</v>
      </c>
      <c r="AK51" s="2">
        <v>570</v>
      </c>
      <c r="AL51" s="2">
        <v>685</v>
      </c>
      <c r="AM51" s="2"/>
      <c r="AN51" s="2"/>
      <c r="AO51" s="5"/>
      <c r="AP51" s="2"/>
    </row>
    <row r="52" spans="1:42" ht="24" customHeight="1">
      <c r="A52" s="12">
        <v>2014</v>
      </c>
      <c r="B52" t="s">
        <v>43</v>
      </c>
      <c r="C52" s="12">
        <f>14464/21873</f>
        <v>0.66127188771544831</v>
      </c>
      <c r="D52" s="12">
        <f>5619/21873</f>
        <v>0.25689205870250992</v>
      </c>
      <c r="E52" s="12">
        <v>35158</v>
      </c>
      <c r="F52" s="12">
        <v>28632</v>
      </c>
      <c r="G52" s="12">
        <v>6526</v>
      </c>
      <c r="H52" s="12">
        <v>5222</v>
      </c>
      <c r="I52" s="12">
        <v>1353</v>
      </c>
      <c r="J52" s="9">
        <f>313+215</f>
        <v>528</v>
      </c>
      <c r="K52" s="12">
        <v>1636</v>
      </c>
      <c r="L52">
        <f t="shared" si="1"/>
        <v>21.490220048899754</v>
      </c>
      <c r="M52">
        <v>10354</v>
      </c>
      <c r="N52">
        <v>2920</v>
      </c>
      <c r="O52" s="12">
        <v>6336</v>
      </c>
      <c r="P52" s="12">
        <v>17421</v>
      </c>
      <c r="Q52" s="12">
        <v>1751</v>
      </c>
      <c r="R52">
        <v>0.71</v>
      </c>
      <c r="S52">
        <v>20.18</v>
      </c>
      <c r="T52" s="1">
        <f>1.9+11.37+0.9</f>
        <v>14.17</v>
      </c>
      <c r="U52" s="1">
        <v>3.25</v>
      </c>
      <c r="V52">
        <v>202</v>
      </c>
      <c r="W52" s="10">
        <f>111+480</f>
        <v>591</v>
      </c>
      <c r="X52" s="14">
        <v>6597</v>
      </c>
      <c r="Y52" s="1">
        <v>6</v>
      </c>
      <c r="Z52">
        <v>4000</v>
      </c>
      <c r="AA52">
        <v>1073</v>
      </c>
      <c r="AB52" s="17">
        <v>7187</v>
      </c>
      <c r="AC52">
        <v>258</v>
      </c>
      <c r="AD52">
        <v>1413</v>
      </c>
      <c r="AE52" s="1">
        <v>59</v>
      </c>
      <c r="AF52" s="1">
        <f>SUMPRODUCT({449.5,349.5,249.5}, {0.1537,0.0028,0})</f>
        <v>70.066749999999999</v>
      </c>
      <c r="AG52" s="1">
        <v>54</v>
      </c>
      <c r="AH52" s="1">
        <v>2</v>
      </c>
      <c r="AI52">
        <v>490</v>
      </c>
      <c r="AJ52">
        <v>590</v>
      </c>
      <c r="AK52">
        <v>510</v>
      </c>
      <c r="AL52">
        <v>610</v>
      </c>
    </row>
    <row r="53" spans="1:42" ht="24" customHeight="1">
      <c r="A53" s="12">
        <v>2015</v>
      </c>
      <c r="B53" t="s">
        <v>43</v>
      </c>
      <c r="C53" s="12">
        <f>14510/23010</f>
        <v>0.63059539330725767</v>
      </c>
      <c r="D53" s="12">
        <f>5160/23010</f>
        <v>0.22425032594524119</v>
      </c>
      <c r="E53" s="12">
        <v>35859</v>
      </c>
      <c r="F53" s="12">
        <v>29237</v>
      </c>
      <c r="G53" s="12">
        <v>6622</v>
      </c>
      <c r="H53" s="12">
        <v>5332</v>
      </c>
      <c r="I53" s="12">
        <v>1475</v>
      </c>
      <c r="J53" s="9">
        <f>336+208</f>
        <v>544</v>
      </c>
      <c r="K53" s="12">
        <v>1631</v>
      </c>
      <c r="L53">
        <f t="shared" si="1"/>
        <v>21.985898221949725</v>
      </c>
      <c r="M53">
        <v>10702</v>
      </c>
      <c r="N53">
        <v>2967</v>
      </c>
      <c r="O53" s="12">
        <v>6730</v>
      </c>
      <c r="P53" s="12">
        <v>17476</v>
      </c>
      <c r="Q53" s="12">
        <v>1815</v>
      </c>
      <c r="R53">
        <v>0.72</v>
      </c>
      <c r="S53">
        <v>21.26</v>
      </c>
      <c r="T53" s="1">
        <f>2.04+11.4+0.92</f>
        <v>14.360000000000001</v>
      </c>
      <c r="U53" s="1">
        <v>3.21</v>
      </c>
      <c r="V53">
        <v>199</v>
      </c>
      <c r="W53" s="10">
        <f>101+565</f>
        <v>666</v>
      </c>
      <c r="X53" s="14">
        <v>7050</v>
      </c>
      <c r="Y53" s="1">
        <v>6</v>
      </c>
      <c r="Z53">
        <v>4101</v>
      </c>
      <c r="AA53">
        <v>1050</v>
      </c>
      <c r="AB53" s="17">
        <v>7430</v>
      </c>
      <c r="AC53">
        <v>211</v>
      </c>
      <c r="AD53">
        <v>1582</v>
      </c>
      <c r="AE53" s="1">
        <v>60</v>
      </c>
      <c r="AF53" s="1">
        <f>SUMPRODUCT({449.5,349.5,249.5}, {0.1161,0.0021,0})</f>
        <v>52.920899999999996</v>
      </c>
      <c r="AG53" s="1">
        <v>55</v>
      </c>
      <c r="AH53" s="1">
        <v>2</v>
      </c>
      <c r="AI53">
        <v>510</v>
      </c>
      <c r="AJ53">
        <v>600</v>
      </c>
      <c r="AK53">
        <v>520</v>
      </c>
      <c r="AL53">
        <v>620</v>
      </c>
    </row>
    <row r="54" spans="1:42" ht="24" customHeight="1">
      <c r="A54" s="12">
        <v>2016</v>
      </c>
      <c r="B54" t="s">
        <v>43</v>
      </c>
      <c r="C54" s="12">
        <f>14592/23311</f>
        <v>0.62597057183304017</v>
      </c>
      <c r="D54" s="12">
        <f>4762/23311</f>
        <v>0.20428124061601818</v>
      </c>
      <c r="E54" s="12">
        <v>36551</v>
      </c>
      <c r="F54" s="12">
        <v>29963</v>
      </c>
      <c r="G54" s="12">
        <v>6588</v>
      </c>
      <c r="H54" s="12">
        <v>5203</v>
      </c>
      <c r="I54" s="12">
        <v>1521</v>
      </c>
      <c r="J54" s="9">
        <f>323+185</f>
        <v>508</v>
      </c>
      <c r="K54" s="12">
        <v>1766</v>
      </c>
      <c r="L54">
        <f t="shared" si="1"/>
        <v>20.697055492638732</v>
      </c>
      <c r="M54">
        <v>8877</v>
      </c>
      <c r="N54">
        <v>3068</v>
      </c>
      <c r="O54" s="12">
        <v>7278</v>
      </c>
      <c r="P54" s="12">
        <v>17559</v>
      </c>
      <c r="Q54" s="12">
        <v>1895</v>
      </c>
      <c r="R54">
        <v>0.63</v>
      </c>
      <c r="S54">
        <v>20.75</v>
      </c>
      <c r="T54" s="1">
        <f>2.13+12.53+1.04</f>
        <v>15.7</v>
      </c>
      <c r="U54" s="1">
        <v>2.58</v>
      </c>
      <c r="V54">
        <v>209</v>
      </c>
      <c r="W54" s="10">
        <f>83+570</f>
        <v>653</v>
      </c>
      <c r="X54" s="14">
        <v>8040</v>
      </c>
      <c r="Y54" s="1">
        <f>(6+13)/2</f>
        <v>9.5</v>
      </c>
      <c r="Z54">
        <v>2987</v>
      </c>
      <c r="AA54">
        <v>718</v>
      </c>
      <c r="AB54" s="17">
        <v>7579</v>
      </c>
      <c r="AC54">
        <v>255</v>
      </c>
      <c r="AD54">
        <v>1623</v>
      </c>
      <c r="AE54" s="1">
        <v>60</v>
      </c>
      <c r="AF54" s="1">
        <f>SUMPRODUCT({449.5,349.5,249.5}, {0.1251,0.0045,0})</f>
        <v>57.805199999999992</v>
      </c>
      <c r="AG54" s="1">
        <v>53</v>
      </c>
      <c r="AH54" s="1">
        <v>2</v>
      </c>
      <c r="AI54">
        <v>500</v>
      </c>
      <c r="AJ54">
        <v>590</v>
      </c>
      <c r="AK54">
        <v>520</v>
      </c>
      <c r="AL54">
        <v>610</v>
      </c>
    </row>
    <row r="55" spans="1:42" ht="24" customHeight="1">
      <c r="A55" s="12">
        <v>2017</v>
      </c>
      <c r="B55" t="s">
        <v>43</v>
      </c>
      <c r="C55" s="12">
        <f>17438/25207</f>
        <v>0.69179196255008535</v>
      </c>
      <c r="D55" s="12">
        <f>5883/25207</f>
        <v>0.23338755107708176</v>
      </c>
      <c r="E55" s="12">
        <v>36996</v>
      </c>
      <c r="F55" s="12">
        <v>30737</v>
      </c>
      <c r="G55" s="12">
        <v>6259</v>
      </c>
      <c r="H55" s="12">
        <v>5574</v>
      </c>
      <c r="I55" s="12">
        <v>1557</v>
      </c>
      <c r="J55" s="9">
        <f>358+199</f>
        <v>557</v>
      </c>
      <c r="K55" s="12">
        <v>1790</v>
      </c>
      <c r="L55">
        <f t="shared" si="1"/>
        <v>20.668156424581007</v>
      </c>
      <c r="M55">
        <v>11281</v>
      </c>
      <c r="N55">
        <v>2623</v>
      </c>
      <c r="O55" s="12">
        <v>8511</v>
      </c>
      <c r="P55" s="12">
        <v>17069</v>
      </c>
      <c r="Q55" s="12">
        <v>1890</v>
      </c>
      <c r="R55">
        <v>0.37</v>
      </c>
      <c r="S55">
        <v>20.25</v>
      </c>
      <c r="T55" s="1">
        <f>2.56+12.48+0.98</f>
        <v>16.02</v>
      </c>
      <c r="U55" s="1">
        <v>2.2999999999999998</v>
      </c>
      <c r="V55">
        <v>232</v>
      </c>
      <c r="W55" s="10">
        <f>94+476</f>
        <v>570</v>
      </c>
      <c r="X55" s="14">
        <v>8220</v>
      </c>
      <c r="Y55" s="1">
        <f>(8+5)/2</f>
        <v>6.5</v>
      </c>
      <c r="Z55">
        <v>4546</v>
      </c>
      <c r="AA55">
        <v>1075</v>
      </c>
      <c r="AB55" s="17">
        <v>7786</v>
      </c>
      <c r="AC55">
        <v>246</v>
      </c>
      <c r="AD55">
        <v>1537</v>
      </c>
      <c r="AE55" s="1">
        <v>59</v>
      </c>
      <c r="AF55" s="1">
        <f>SUMPRODUCT({449.5,349.5,249.5}, {0.0732,0.001,0})</f>
        <v>33.252899999999997</v>
      </c>
      <c r="AG55" s="1">
        <v>50</v>
      </c>
      <c r="AH55" s="1">
        <v>2</v>
      </c>
      <c r="AI55">
        <v>540</v>
      </c>
      <c r="AJ55">
        <v>620</v>
      </c>
      <c r="AK55">
        <v>530</v>
      </c>
      <c r="AL55">
        <v>620</v>
      </c>
    </row>
    <row r="56" spans="1:42" ht="24" customHeight="1">
      <c r="A56" s="12">
        <v>2018</v>
      </c>
      <c r="B56" t="s">
        <v>43</v>
      </c>
      <c r="C56" s="12">
        <f>17280/24452</f>
        <v>0.70669065925077701</v>
      </c>
      <c r="D56" s="12">
        <f>6171/24452</f>
        <v>0.25237199411091116</v>
      </c>
      <c r="E56" s="12">
        <v>38209</v>
      </c>
      <c r="F56" s="12">
        <v>31957</v>
      </c>
      <c r="G56" s="12">
        <v>6252</v>
      </c>
      <c r="H56" s="12">
        <v>6302</v>
      </c>
      <c r="I56" s="12">
        <v>1629</v>
      </c>
      <c r="J56" s="9">
        <f>349+155</f>
        <v>504</v>
      </c>
      <c r="K56" s="12">
        <v>1802</v>
      </c>
      <c r="L56">
        <f t="shared" si="1"/>
        <v>21.203662597114317</v>
      </c>
      <c r="M56">
        <v>11776</v>
      </c>
      <c r="N56">
        <v>2567</v>
      </c>
      <c r="O56" s="12">
        <v>9500</v>
      </c>
      <c r="P56" s="12">
        <v>17342</v>
      </c>
      <c r="Q56" s="12">
        <v>2081</v>
      </c>
      <c r="R56">
        <v>0.59</v>
      </c>
      <c r="S56">
        <v>18.98</v>
      </c>
      <c r="T56" s="1">
        <f>2.85+13.65+1.59</f>
        <v>18.09</v>
      </c>
      <c r="U56" s="1">
        <v>2.46</v>
      </c>
      <c r="V56">
        <v>241</v>
      </c>
      <c r="W56" s="10">
        <f>77+550</f>
        <v>627</v>
      </c>
      <c r="X56" s="14">
        <v>8430</v>
      </c>
      <c r="Y56" s="1">
        <f>(15+38)/2</f>
        <v>26.5</v>
      </c>
      <c r="Z56">
        <v>4885</v>
      </c>
      <c r="AA56">
        <v>1217</v>
      </c>
      <c r="AB56" s="17">
        <v>8112</v>
      </c>
      <c r="AC56">
        <v>239</v>
      </c>
      <c r="AD56">
        <v>1520</v>
      </c>
      <c r="AE56" s="1">
        <v>60</v>
      </c>
      <c r="AF56" s="1">
        <f>SUMPRODUCT({449.5,349.5,249.5}, {0.0617,0.005,0})</f>
        <v>29.481649999999998</v>
      </c>
      <c r="AG56" s="1">
        <v>51</v>
      </c>
      <c r="AH56" s="1">
        <v>3</v>
      </c>
      <c r="AI56">
        <v>540</v>
      </c>
      <c r="AJ56">
        <v>620</v>
      </c>
      <c r="AK56">
        <v>530</v>
      </c>
      <c r="AL56">
        <v>620</v>
      </c>
    </row>
    <row r="57" spans="1:42" ht="24" customHeight="1">
      <c r="A57" s="12">
        <v>2019</v>
      </c>
      <c r="B57" t="s">
        <v>43</v>
      </c>
      <c r="C57" s="12">
        <f>17493/25384</f>
        <v>0.68913488811849988</v>
      </c>
      <c r="D57" s="12">
        <f>6145/25384</f>
        <v>0.24208162622124171</v>
      </c>
      <c r="E57" s="12">
        <v>38742</v>
      </c>
      <c r="F57" s="12">
        <v>32125</v>
      </c>
      <c r="G57" s="12">
        <v>6617</v>
      </c>
      <c r="H57" s="12">
        <v>6440</v>
      </c>
      <c r="I57" s="12">
        <v>1565</v>
      </c>
      <c r="J57" s="9">
        <f>340+135</f>
        <v>475</v>
      </c>
      <c r="K57" s="12">
        <v>1771</v>
      </c>
      <c r="L57">
        <f t="shared" si="1"/>
        <v>21.875776397515526</v>
      </c>
      <c r="M57">
        <v>11520</v>
      </c>
      <c r="N57">
        <v>2725</v>
      </c>
      <c r="O57" s="12">
        <v>9495</v>
      </c>
      <c r="P57" s="12">
        <v>17340</v>
      </c>
      <c r="Q57" s="12">
        <v>2048</v>
      </c>
      <c r="R57">
        <v>0.6</v>
      </c>
      <c r="S57">
        <v>17.5</v>
      </c>
      <c r="T57" s="1">
        <f>3.5+13.3+1.7</f>
        <v>18.5</v>
      </c>
      <c r="U57" s="1">
        <v>2.6</v>
      </c>
      <c r="V57">
        <v>252</v>
      </c>
      <c r="W57" s="10">
        <f>79+521</f>
        <v>600</v>
      </c>
      <c r="X57" s="14">
        <v>8670</v>
      </c>
      <c r="Y57" s="1">
        <f>(13+20)/2</f>
        <v>16.5</v>
      </c>
      <c r="Z57">
        <v>535</v>
      </c>
      <c r="AA57">
        <v>2597</v>
      </c>
      <c r="AB57" s="17">
        <v>8073</v>
      </c>
      <c r="AC57">
        <v>226</v>
      </c>
      <c r="AD57">
        <v>1706</v>
      </c>
      <c r="AE57" s="1">
        <v>61</v>
      </c>
      <c r="AF57" s="1">
        <f>SUMPRODUCT({449.5,349.5,249.5}, {0.062,0.002,0})</f>
        <v>28.568000000000001</v>
      </c>
      <c r="AG57" s="1">
        <v>53</v>
      </c>
      <c r="AH57" s="1">
        <v>2</v>
      </c>
      <c r="AI57">
        <v>540</v>
      </c>
      <c r="AJ57">
        <v>630</v>
      </c>
      <c r="AK57">
        <v>530</v>
      </c>
      <c r="AL57">
        <v>630</v>
      </c>
    </row>
    <row r="58" spans="1:42" ht="24" customHeight="1">
      <c r="A58" s="12">
        <v>2020</v>
      </c>
      <c r="B58" t="s">
        <v>43</v>
      </c>
      <c r="C58" s="12">
        <f>20400/29131</f>
        <v>0.70028491984483887</v>
      </c>
      <c r="D58" s="12">
        <f>6520/29131</f>
        <v>0.22381655281315438</v>
      </c>
      <c r="E58" s="12">
        <v>40227</v>
      </c>
      <c r="F58" s="12">
        <v>33174</v>
      </c>
      <c r="G58" s="12">
        <v>7053</v>
      </c>
      <c r="H58" s="12">
        <v>6397</v>
      </c>
      <c r="I58" s="12">
        <v>1658</v>
      </c>
      <c r="J58" s="9">
        <f>390+127</f>
        <v>517</v>
      </c>
      <c r="K58" s="12">
        <v>2087</v>
      </c>
      <c r="L58">
        <f t="shared" si="1"/>
        <v>19.275035936751319</v>
      </c>
      <c r="M58">
        <v>11965</v>
      </c>
      <c r="N58">
        <v>2864</v>
      </c>
      <c r="O58" s="12">
        <v>9839</v>
      </c>
      <c r="P58" s="12">
        <v>17908</v>
      </c>
      <c r="Q58" s="12">
        <v>2095</v>
      </c>
      <c r="R58">
        <v>0.5</v>
      </c>
      <c r="S58">
        <v>17.2</v>
      </c>
      <c r="T58" s="1">
        <f>3.7+13.2+1.6</f>
        <v>18.5</v>
      </c>
      <c r="U58" s="1">
        <v>2.2000000000000002</v>
      </c>
      <c r="V58">
        <v>218</v>
      </c>
      <c r="W58" s="10">
        <f>132+652</f>
        <v>784</v>
      </c>
      <c r="X58" s="14">
        <v>8934</v>
      </c>
      <c r="Y58" s="1">
        <f>(12.7+18.7)/2</f>
        <v>15.7</v>
      </c>
      <c r="Z58">
        <v>620</v>
      </c>
      <c r="AA58">
        <v>1197</v>
      </c>
      <c r="AB58" s="17">
        <v>8167</v>
      </c>
      <c r="AC58">
        <v>285</v>
      </c>
      <c r="AD58">
        <v>2051</v>
      </c>
      <c r="AE58" s="1">
        <v>63</v>
      </c>
      <c r="AF58" s="1">
        <f>SUMPRODUCT({449.5,349.5,249.5}, {0.068,0.001,0})</f>
        <v>30.915500000000002</v>
      </c>
      <c r="AG58" s="1">
        <v>51</v>
      </c>
      <c r="AH58" s="1">
        <v>1.9</v>
      </c>
      <c r="AI58">
        <v>540</v>
      </c>
      <c r="AJ58">
        <v>620</v>
      </c>
      <c r="AK58">
        <v>530</v>
      </c>
      <c r="AL58">
        <v>620</v>
      </c>
      <c r="AM58">
        <f>7+7+6+9+6+1</f>
        <v>36</v>
      </c>
      <c r="AN58">
        <f>18+21</f>
        <v>39</v>
      </c>
      <c r="AO58" s="7">
        <f>1+158+50</f>
        <v>209</v>
      </c>
      <c r="AP58">
        <v>0</v>
      </c>
    </row>
    <row r="59" spans="1:42" ht="24" customHeight="1">
      <c r="A59" s="12">
        <v>2021</v>
      </c>
      <c r="B59" t="s">
        <v>43</v>
      </c>
      <c r="C59" s="12">
        <f>22908/33756</f>
        <v>0.67863490934944903</v>
      </c>
      <c r="D59" s="12">
        <f>6629/33756</f>
        <v>0.19637990283208911</v>
      </c>
      <c r="E59" s="12">
        <v>40542</v>
      </c>
      <c r="F59" s="12">
        <v>33132</v>
      </c>
      <c r="G59" s="12">
        <v>7410</v>
      </c>
      <c r="H59" s="12">
        <v>6670</v>
      </c>
      <c r="I59" s="12">
        <v>1797</v>
      </c>
      <c r="J59" s="9">
        <f>382+131</f>
        <v>513</v>
      </c>
      <c r="K59" s="12">
        <v>2118</v>
      </c>
      <c r="L59">
        <f t="shared" si="1"/>
        <v>19.141643059490086</v>
      </c>
      <c r="M59">
        <v>12357</v>
      </c>
      <c r="N59">
        <v>2552</v>
      </c>
      <c r="O59" s="12">
        <v>9715</v>
      </c>
      <c r="P59" s="12">
        <v>18076</v>
      </c>
      <c r="Q59" s="12">
        <v>2004</v>
      </c>
      <c r="R59">
        <v>0.4</v>
      </c>
      <c r="S59">
        <v>17.899999999999999</v>
      </c>
      <c r="T59" s="1">
        <f>4.5+10.7+0.7+1.4</f>
        <v>17.299999999999997</v>
      </c>
      <c r="U59" s="1">
        <v>2.8</v>
      </c>
      <c r="V59">
        <v>197</v>
      </c>
      <c r="W59" s="10">
        <f>125+637</f>
        <v>762</v>
      </c>
      <c r="X59" s="14">
        <v>8934</v>
      </c>
      <c r="Y59" s="1">
        <f>(13.3+18.4)/2</f>
        <v>15.85</v>
      </c>
      <c r="Z59">
        <v>671</v>
      </c>
      <c r="AA59">
        <v>1128</v>
      </c>
      <c r="AB59" s="17">
        <v>8790</v>
      </c>
      <c r="AC59">
        <v>240</v>
      </c>
      <c r="AD59">
        <v>1932</v>
      </c>
      <c r="AE59" s="1">
        <v>63</v>
      </c>
      <c r="AF59" s="1">
        <f>SUMPRODUCT({449.5,349.5,249.5}, {0.034,0,0})</f>
        <v>15.283000000000001</v>
      </c>
      <c r="AG59" s="1">
        <v>53.8</v>
      </c>
      <c r="AH59" s="1">
        <v>1.1000000000000001</v>
      </c>
      <c r="AI59">
        <v>560</v>
      </c>
      <c r="AJ59">
        <v>640</v>
      </c>
      <c r="AK59">
        <v>550</v>
      </c>
      <c r="AL59">
        <v>640</v>
      </c>
      <c r="AM59">
        <f>25+18+4+24+16+2+1</f>
        <v>90</v>
      </c>
      <c r="AN59">
        <f>12+21+65</f>
        <v>98</v>
      </c>
      <c r="AO59" s="7">
        <f>12+239+31</f>
        <v>282</v>
      </c>
      <c r="AP59">
        <v>0</v>
      </c>
    </row>
    <row r="60" spans="1:42" ht="24" customHeight="1">
      <c r="A60" s="12">
        <v>2022</v>
      </c>
      <c r="B60" t="s">
        <v>43</v>
      </c>
      <c r="C60" s="12">
        <f>25837/35400</f>
        <v>0.72985875706214687</v>
      </c>
      <c r="D60" s="12">
        <f>6809/35400</f>
        <v>0.19234463276836158</v>
      </c>
      <c r="E60" s="12">
        <v>40378</v>
      </c>
      <c r="F60" s="12">
        <v>32579</v>
      </c>
      <c r="G60" s="12">
        <v>7799</v>
      </c>
      <c r="H60" s="12">
        <v>6691</v>
      </c>
      <c r="I60" s="12">
        <v>1871</v>
      </c>
      <c r="J60" s="9">
        <f>441+127</f>
        <v>568</v>
      </c>
      <c r="K60" s="12">
        <v>2170</v>
      </c>
      <c r="L60">
        <f t="shared" si="1"/>
        <v>18.607373271889401</v>
      </c>
      <c r="M60">
        <v>11875</v>
      </c>
      <c r="N60">
        <v>2248</v>
      </c>
      <c r="O60" s="12">
        <v>9457</v>
      </c>
      <c r="P60" s="12">
        <v>17704</v>
      </c>
      <c r="Q60" s="12">
        <v>1966</v>
      </c>
      <c r="R60">
        <v>0.5</v>
      </c>
      <c r="S60">
        <v>20</v>
      </c>
      <c r="T60" s="1">
        <f>3.7+10.5+1.1</f>
        <v>15.299999999999999</v>
      </c>
      <c r="U60" s="1">
        <v>2.4</v>
      </c>
      <c r="V60">
        <v>221</v>
      </c>
      <c r="W60" s="10">
        <f>154+722</f>
        <v>876</v>
      </c>
      <c r="X60" s="14">
        <v>8934</v>
      </c>
      <c r="Y60" s="1">
        <f>(12.1 + 16.5)/2</f>
        <v>14.3</v>
      </c>
      <c r="Z60">
        <v>679</v>
      </c>
      <c r="AA60">
        <v>1252</v>
      </c>
      <c r="AB60" s="17">
        <v>10017</v>
      </c>
      <c r="AC60">
        <v>171</v>
      </c>
      <c r="AD60">
        <v>1939</v>
      </c>
      <c r="AE60" s="1">
        <v>63.7</v>
      </c>
      <c r="AF60" s="1">
        <f>SUMPRODUCT({449.5,349.5,249.5}, {0.0464,0,0})</f>
        <v>20.8568</v>
      </c>
      <c r="AG60" s="1">
        <v>53.1</v>
      </c>
      <c r="AH60" s="1">
        <v>1.9</v>
      </c>
      <c r="AI60">
        <v>550</v>
      </c>
      <c r="AJ60">
        <v>640</v>
      </c>
      <c r="AK60">
        <v>540</v>
      </c>
      <c r="AL60">
        <v>640</v>
      </c>
      <c r="AM60">
        <f>22+8+1+15+15+8+1</f>
        <v>70</v>
      </c>
      <c r="AN60">
        <f>16+14+44</f>
        <v>74</v>
      </c>
      <c r="AO60" s="7">
        <f>8+258+66</f>
        <v>332</v>
      </c>
      <c r="AP60">
        <v>0</v>
      </c>
    </row>
    <row r="61" spans="1:42" ht="24" customHeight="1">
      <c r="A61" s="12">
        <v>2023</v>
      </c>
      <c r="B61" t="s">
        <v>43</v>
      </c>
      <c r="C61" s="12">
        <f>(11189+12927)/(15840+18180)</f>
        <v>0.70887713109935335</v>
      </c>
      <c r="D61" s="12">
        <f>(3395+3822)/(15840+18180)</f>
        <v>0.21213991769547325</v>
      </c>
      <c r="E61" s="12">
        <v>40773</v>
      </c>
      <c r="F61" s="12">
        <v>32635</v>
      </c>
      <c r="G61" s="12">
        <v>8138</v>
      </c>
      <c r="H61" s="12">
        <v>7209</v>
      </c>
      <c r="I61" s="12">
        <v>2107</v>
      </c>
      <c r="J61" s="9">
        <f>424+141</f>
        <v>565</v>
      </c>
      <c r="K61" s="12">
        <v>2199</v>
      </c>
      <c r="L61">
        <f t="shared" si="1"/>
        <v>18.541609822646656</v>
      </c>
      <c r="M61">
        <v>12850</v>
      </c>
      <c r="N61">
        <v>2316</v>
      </c>
      <c r="O61" s="12">
        <v>9668</v>
      </c>
      <c r="P61" s="12">
        <v>17308</v>
      </c>
      <c r="Q61" s="12">
        <v>1989</v>
      </c>
      <c r="R61">
        <v>0.43</v>
      </c>
      <c r="S61">
        <v>20.36</v>
      </c>
      <c r="T61" s="1">
        <f>3.52+9.89+0.64+0.82</f>
        <v>14.870000000000001</v>
      </c>
      <c r="U61" s="1">
        <v>2.68</v>
      </c>
      <c r="V61">
        <v>215</v>
      </c>
      <c r="W61" s="10">
        <f>168+685</f>
        <v>853</v>
      </c>
      <c r="X61" s="14">
        <v>8934</v>
      </c>
      <c r="Y61" s="1">
        <f>(14.1 + 20)/2</f>
        <v>17.05</v>
      </c>
      <c r="Z61">
        <v>751</v>
      </c>
      <c r="AA61">
        <v>1339</v>
      </c>
      <c r="AB61" s="17">
        <v>10437</v>
      </c>
      <c r="AC61">
        <v>216</v>
      </c>
      <c r="AD61">
        <v>2572</v>
      </c>
      <c r="AE61" s="1">
        <v>64</v>
      </c>
      <c r="AF61" s="1">
        <f>SUMPRODUCT({449.5,349.5,249.5}, {0.06,0,0})</f>
        <v>26.97</v>
      </c>
      <c r="AG61" s="1">
        <v>53.3</v>
      </c>
      <c r="AH61" s="1">
        <v>2.6</v>
      </c>
      <c r="AI61">
        <v>550</v>
      </c>
      <c r="AJ61">
        <v>640</v>
      </c>
      <c r="AK61">
        <v>540</v>
      </c>
      <c r="AL61">
        <v>630</v>
      </c>
    </row>
    <row r="62" spans="1:42" ht="24" customHeight="1">
      <c r="A62" s="12">
        <v>2014</v>
      </c>
      <c r="B62" t="s">
        <v>44</v>
      </c>
      <c r="C62" s="12">
        <f>18766/33898</f>
        <v>0.55360198241784175</v>
      </c>
      <c r="D62" s="12">
        <f>3625/33898</f>
        <v>0.10693846244616202</v>
      </c>
      <c r="E62" s="12">
        <v>16263</v>
      </c>
      <c r="F62" s="12">
        <v>13859</v>
      </c>
      <c r="G62" s="12">
        <v>2404</v>
      </c>
      <c r="H62" s="12">
        <v>2848</v>
      </c>
      <c r="I62" s="12">
        <v>652</v>
      </c>
      <c r="J62" s="9">
        <f>110+174</f>
        <v>284</v>
      </c>
      <c r="K62" s="12">
        <v>1185</v>
      </c>
      <c r="L62">
        <f t="shared" si="1"/>
        <v>13.724050632911393</v>
      </c>
      <c r="M62">
        <v>7423</v>
      </c>
      <c r="N62">
        <v>454</v>
      </c>
      <c r="O62" s="12">
        <v>1953</v>
      </c>
      <c r="P62" s="12">
        <v>8855</v>
      </c>
      <c r="Q62" s="12">
        <v>1014</v>
      </c>
      <c r="R62">
        <v>13.97</v>
      </c>
      <c r="S62">
        <v>24.26</v>
      </c>
      <c r="T62" s="1">
        <f>1.19+3.97+0.53</f>
        <v>5.69</v>
      </c>
      <c r="U62" s="1">
        <v>4.1100000000000003</v>
      </c>
      <c r="V62">
        <v>68</v>
      </c>
      <c r="W62" s="10">
        <f>271+938</f>
        <v>1209</v>
      </c>
      <c r="X62" s="14">
        <v>36360</v>
      </c>
      <c r="Y62" s="1">
        <f>(15+28)/2</f>
        <v>21.5</v>
      </c>
      <c r="Z62">
        <v>7077</v>
      </c>
      <c r="AA62">
        <v>1226</v>
      </c>
      <c r="AB62" s="17">
        <v>20015</v>
      </c>
      <c r="AC62">
        <v>54</v>
      </c>
      <c r="AD62">
        <v>1672</v>
      </c>
      <c r="AE62" s="1">
        <v>72</v>
      </c>
      <c r="AF62" s="1">
        <f>SUMPRODUCT({449.5,349.5,249.5}, {0.03,0,0})</f>
        <v>13.484999999999999</v>
      </c>
      <c r="AG62" s="1">
        <v>74</v>
      </c>
      <c r="AH62" s="1">
        <v>1</v>
      </c>
      <c r="AI62">
        <v>560</v>
      </c>
      <c r="AJ62">
        <v>660</v>
      </c>
      <c r="AK62">
        <v>570</v>
      </c>
      <c r="AL62">
        <v>670</v>
      </c>
    </row>
    <row r="63" spans="1:42" ht="24" customHeight="1">
      <c r="A63" s="12">
        <v>2015</v>
      </c>
      <c r="B63" t="s">
        <v>44</v>
      </c>
      <c r="C63" s="12">
        <f>14033/32136</f>
        <v>0.43667537963654468</v>
      </c>
      <c r="D63" s="12">
        <f>3394/32136</f>
        <v>0.10561364202140901</v>
      </c>
      <c r="E63" s="12">
        <v>16787</v>
      </c>
      <c r="F63" s="12">
        <v>14189</v>
      </c>
      <c r="G63" s="12">
        <v>2598</v>
      </c>
      <c r="H63" s="12">
        <v>2931</v>
      </c>
      <c r="I63" s="12">
        <v>653</v>
      </c>
      <c r="J63" s="9">
        <f>99+152</f>
        <v>251</v>
      </c>
      <c r="K63" s="12">
        <v>1250</v>
      </c>
      <c r="L63">
        <f t="shared" si="1"/>
        <v>13.429600000000001</v>
      </c>
      <c r="M63">
        <v>7361</v>
      </c>
      <c r="N63">
        <v>433</v>
      </c>
      <c r="O63" s="12">
        <v>2009</v>
      </c>
      <c r="P63" s="12">
        <v>9068</v>
      </c>
      <c r="Q63" s="12">
        <v>969</v>
      </c>
      <c r="R63">
        <v>14.94</v>
      </c>
      <c r="S63">
        <v>25.86</v>
      </c>
      <c r="T63" s="1">
        <v>6</v>
      </c>
      <c r="U63" s="1">
        <v>3</v>
      </c>
      <c r="V63">
        <v>69</v>
      </c>
      <c r="W63" s="10">
        <f>314+1115</f>
        <v>1429</v>
      </c>
      <c r="X63" s="14">
        <v>37996</v>
      </c>
      <c r="Y63" s="1">
        <f>(15+28)/2</f>
        <v>21.5</v>
      </c>
      <c r="Z63">
        <v>6984</v>
      </c>
      <c r="AA63">
        <v>1213</v>
      </c>
      <c r="AB63" s="17">
        <v>21228</v>
      </c>
      <c r="AC63">
        <v>52</v>
      </c>
      <c r="AD63">
        <v>1672</v>
      </c>
      <c r="AE63" s="1">
        <v>70</v>
      </c>
      <c r="AF63" s="1">
        <f>SUMPRODUCT({449.5,349.5,249.5}, {0.029,0,0.001})</f>
        <v>13.285</v>
      </c>
      <c r="AG63" s="1">
        <v>75</v>
      </c>
      <c r="AH63" s="1">
        <v>1</v>
      </c>
      <c r="AI63">
        <v>560</v>
      </c>
      <c r="AJ63">
        <v>650</v>
      </c>
      <c r="AK63">
        <v>580</v>
      </c>
      <c r="AL63">
        <v>670</v>
      </c>
    </row>
    <row r="64" spans="1:42" ht="24" customHeight="1">
      <c r="A64" s="12">
        <v>2016</v>
      </c>
      <c r="B64" t="s">
        <v>44</v>
      </c>
      <c r="C64" s="12">
        <f>13758/34636</f>
        <v>0.39721676867998612</v>
      </c>
      <c r="D64" s="12">
        <f>3503/34636</f>
        <v>0.10113754475112599</v>
      </c>
      <c r="E64" s="12">
        <v>16959</v>
      </c>
      <c r="F64" s="12">
        <v>14348</v>
      </c>
      <c r="G64" s="12">
        <v>2611</v>
      </c>
      <c r="H64" s="12">
        <v>3062</v>
      </c>
      <c r="I64" s="12">
        <v>750</v>
      </c>
      <c r="J64" s="9">
        <f>108+176</f>
        <v>284</v>
      </c>
      <c r="K64" s="12">
        <v>1290</v>
      </c>
      <c r="L64">
        <f t="shared" si="1"/>
        <v>13.146511627906976</v>
      </c>
      <c r="M64">
        <v>7440</v>
      </c>
      <c r="N64">
        <v>430</v>
      </c>
      <c r="O64" s="12">
        <v>2113</v>
      </c>
      <c r="P64" s="12">
        <v>9166</v>
      </c>
      <c r="Q64" s="12">
        <v>943</v>
      </c>
      <c r="R64">
        <v>13.55</v>
      </c>
      <c r="S64">
        <v>27.96</v>
      </c>
      <c r="T64" s="1">
        <f>4.74+1.05+0.65</f>
        <v>6.44</v>
      </c>
      <c r="U64" s="1">
        <v>2.68</v>
      </c>
      <c r="V64">
        <v>63</v>
      </c>
      <c r="W64" s="10">
        <f>344+896</f>
        <v>1240</v>
      </c>
      <c r="X64" s="14">
        <v>39610</v>
      </c>
      <c r="Y64" s="1">
        <f>(16+31)/2</f>
        <v>23.5</v>
      </c>
      <c r="Z64">
        <v>7123</v>
      </c>
      <c r="AA64">
        <v>1154</v>
      </c>
      <c r="AB64" s="17">
        <v>22291</v>
      </c>
      <c r="AC64">
        <v>64</v>
      </c>
      <c r="AD64">
        <v>1897</v>
      </c>
      <c r="AE64" s="1">
        <v>74</v>
      </c>
      <c r="AF64" s="1">
        <f>SUMPRODUCT({449.5,349.5,249.5}, {0.029,0.002,0})</f>
        <v>13.734500000000001</v>
      </c>
      <c r="AG64" s="1">
        <v>75</v>
      </c>
      <c r="AH64" s="1">
        <v>2</v>
      </c>
      <c r="AI64">
        <v>550</v>
      </c>
      <c r="AJ64">
        <v>650</v>
      </c>
      <c r="AK64">
        <v>570</v>
      </c>
      <c r="AL64">
        <v>660</v>
      </c>
    </row>
    <row r="65" spans="1:42" ht="24" customHeight="1">
      <c r="A65" s="12">
        <v>2017</v>
      </c>
      <c r="B65" t="s">
        <v>44</v>
      </c>
      <c r="C65" s="12">
        <f>14442/37083</f>
        <v>0.38945069169161073</v>
      </c>
      <c r="D65" s="12">
        <f>3320/37083</f>
        <v>8.9528894641749596E-2</v>
      </c>
      <c r="E65" s="12">
        <v>17059</v>
      </c>
      <c r="F65" s="12">
        <v>14316</v>
      </c>
      <c r="G65" s="12">
        <v>2743</v>
      </c>
      <c r="H65" s="12">
        <v>3127</v>
      </c>
      <c r="I65" s="12">
        <v>814</v>
      </c>
      <c r="J65" s="9">
        <f>110+179</f>
        <v>289</v>
      </c>
      <c r="K65" s="12">
        <v>1352</v>
      </c>
      <c r="L65">
        <f t="shared" si="1"/>
        <v>12.617603550295858</v>
      </c>
      <c r="M65">
        <v>7606</v>
      </c>
      <c r="N65">
        <v>366</v>
      </c>
      <c r="O65" s="12">
        <v>2181</v>
      </c>
      <c r="P65" s="12">
        <v>9075</v>
      </c>
      <c r="Q65" s="12">
        <v>901</v>
      </c>
      <c r="R65">
        <v>14.68</v>
      </c>
      <c r="S65">
        <v>29.04</v>
      </c>
      <c r="T65" s="1">
        <f>5.05+1.02+0.77</f>
        <v>6.84</v>
      </c>
      <c r="U65" s="1">
        <v>3.13</v>
      </c>
      <c r="V65">
        <v>83</v>
      </c>
      <c r="W65" s="10">
        <f>247+1141</f>
        <v>1388</v>
      </c>
      <c r="X65" s="14">
        <v>41194</v>
      </c>
      <c r="Y65" s="1">
        <f>(18+33)/2</f>
        <v>25.5</v>
      </c>
      <c r="Z65">
        <v>7352</v>
      </c>
      <c r="AA65">
        <v>1177</v>
      </c>
      <c r="AB65" s="17">
        <v>24420</v>
      </c>
      <c r="AC65">
        <v>50</v>
      </c>
      <c r="AD65">
        <v>1824</v>
      </c>
      <c r="AE65" s="1">
        <v>77</v>
      </c>
      <c r="AF65" s="1">
        <f>SUMPRODUCT({449.5,349.5,249.5}, {0.01,0,0})</f>
        <v>4.4950000000000001</v>
      </c>
      <c r="AG65" s="1">
        <v>77</v>
      </c>
      <c r="AH65" s="1">
        <v>1</v>
      </c>
      <c r="AI65">
        <v>600</v>
      </c>
      <c r="AJ65">
        <v>680</v>
      </c>
      <c r="AK65">
        <v>590</v>
      </c>
      <c r="AL65">
        <v>680</v>
      </c>
    </row>
    <row r="66" spans="1:42" ht="24" customHeight="1">
      <c r="A66" s="12">
        <v>2018</v>
      </c>
      <c r="B66" t="s">
        <v>44</v>
      </c>
      <c r="C66" s="12">
        <f>17910/34681</f>
        <v>0.51642109512413137</v>
      </c>
      <c r="D66" s="12">
        <f>3366/34681</f>
        <v>9.7056024912776442E-2</v>
      </c>
      <c r="E66" s="12">
        <v>17217</v>
      </c>
      <c r="F66" s="12">
        <v>14188</v>
      </c>
      <c r="G66" s="12">
        <v>3029</v>
      </c>
      <c r="H66" s="12">
        <v>3367</v>
      </c>
      <c r="I66" s="12">
        <v>844</v>
      </c>
      <c r="J66" s="9">
        <f>112+172</f>
        <v>284</v>
      </c>
      <c r="K66" s="12">
        <v>1392</v>
      </c>
      <c r="L66">
        <f t="shared" si="1"/>
        <v>12.368534482758621</v>
      </c>
      <c r="M66">
        <v>7363</v>
      </c>
      <c r="N66">
        <v>352</v>
      </c>
      <c r="O66" s="12">
        <v>2233</v>
      </c>
      <c r="P66" s="12">
        <v>8894</v>
      </c>
      <c r="Q66" s="12">
        <v>844</v>
      </c>
      <c r="R66">
        <v>15.21</v>
      </c>
      <c r="S66">
        <v>27.32</v>
      </c>
      <c r="T66" s="1">
        <f>1.43+5.35+1.04</f>
        <v>7.8199999999999994</v>
      </c>
      <c r="U66" s="1">
        <v>2.91</v>
      </c>
      <c r="V66">
        <v>79</v>
      </c>
      <c r="W66" s="10">
        <f>250+1094</f>
        <v>1344</v>
      </c>
      <c r="X66" s="14">
        <v>42842</v>
      </c>
      <c r="Y66" s="1">
        <f>(20+34)/2</f>
        <v>27</v>
      </c>
      <c r="Z66">
        <v>7110</v>
      </c>
      <c r="AA66">
        <v>1065</v>
      </c>
      <c r="AB66" s="17">
        <v>25716</v>
      </c>
      <c r="AC66">
        <v>54</v>
      </c>
      <c r="AD66">
        <v>2040</v>
      </c>
      <c r="AE66" s="1">
        <v>79</v>
      </c>
      <c r="AF66" s="1">
        <f>SUMPRODUCT({449.5,349.5,249.5}, {0.02,0,0})</f>
        <v>8.99</v>
      </c>
      <c r="AG66" s="1">
        <v>73</v>
      </c>
      <c r="AH66" s="1">
        <v>0</v>
      </c>
      <c r="AI66">
        <v>600</v>
      </c>
      <c r="AJ66">
        <v>680</v>
      </c>
      <c r="AK66">
        <v>590</v>
      </c>
      <c r="AL66">
        <v>690</v>
      </c>
    </row>
    <row r="67" spans="1:42" ht="24" customHeight="1">
      <c r="A67" s="12">
        <v>2019</v>
      </c>
      <c r="B67" t="s">
        <v>44</v>
      </c>
      <c r="C67" s="12">
        <f>15676/34582</f>
        <v>0.4532994043143832</v>
      </c>
      <c r="D67" s="12">
        <f>3307/34582</f>
        <v>9.5627783239835756E-2</v>
      </c>
      <c r="E67" s="12">
        <v>18033</v>
      </c>
      <c r="F67" s="12">
        <v>14108</v>
      </c>
      <c r="G67" s="12">
        <v>3925</v>
      </c>
      <c r="H67" s="12">
        <v>3419</v>
      </c>
      <c r="I67" s="12">
        <v>883</v>
      </c>
      <c r="J67" s="9">
        <f>126+153</f>
        <v>279</v>
      </c>
      <c r="K67" s="12">
        <v>1431</v>
      </c>
      <c r="L67">
        <f t="shared" si="1"/>
        <v>12.60167714884696</v>
      </c>
      <c r="M67">
        <v>6943</v>
      </c>
      <c r="O67" s="12">
        <v>2193</v>
      </c>
      <c r="P67" s="12">
        <v>8650</v>
      </c>
      <c r="Q67" s="12">
        <v>774</v>
      </c>
      <c r="R67">
        <v>15.15</v>
      </c>
      <c r="S67">
        <v>28.96</v>
      </c>
      <c r="T67" s="1">
        <f>1.14+5+0.97</f>
        <v>7.1099999999999994</v>
      </c>
      <c r="U67" s="1">
        <v>3.6</v>
      </c>
      <c r="V67">
        <v>57</v>
      </c>
      <c r="W67" s="10">
        <f>314+1097</f>
        <v>1411</v>
      </c>
      <c r="X67" s="14">
        <v>44544</v>
      </c>
      <c r="Y67" s="1">
        <f>(20+34)/2</f>
        <v>27</v>
      </c>
      <c r="Z67">
        <v>6706</v>
      </c>
      <c r="AA67">
        <v>1124</v>
      </c>
      <c r="AB67" s="17">
        <v>26384</v>
      </c>
      <c r="AC67">
        <v>43</v>
      </c>
      <c r="AD67">
        <v>2006</v>
      </c>
      <c r="AE67" s="1">
        <v>78</v>
      </c>
      <c r="AF67" s="1">
        <f>SUMPRODUCT({449.5,349.5,249.5}, {0.008,0,0})</f>
        <v>3.5960000000000001</v>
      </c>
      <c r="AG67" s="1">
        <v>76</v>
      </c>
      <c r="AH67" s="1">
        <v>0</v>
      </c>
      <c r="AI67">
        <v>600</v>
      </c>
      <c r="AJ67">
        <v>680</v>
      </c>
      <c r="AK67">
        <v>600</v>
      </c>
      <c r="AL67">
        <v>700</v>
      </c>
    </row>
    <row r="68" spans="1:42" ht="24" customHeight="1">
      <c r="A68" s="12">
        <v>2020</v>
      </c>
      <c r="B68" t="s">
        <v>44</v>
      </c>
      <c r="C68" s="12">
        <f>23061/33680</f>
        <v>0.68470902612826601</v>
      </c>
      <c r="D68" s="12">
        <f>3731/33680</f>
        <v>0.11077790973871735</v>
      </c>
      <c r="E68" s="12">
        <v>19297</v>
      </c>
      <c r="F68" s="12">
        <v>14399</v>
      </c>
      <c r="G68" s="12">
        <v>4898</v>
      </c>
      <c r="H68" s="12">
        <v>3395</v>
      </c>
      <c r="I68" s="12">
        <v>919</v>
      </c>
      <c r="J68" s="9">
        <f>158+265</f>
        <v>423</v>
      </c>
      <c r="K68" s="12">
        <v>1364</v>
      </c>
      <c r="L68">
        <f t="shared" si="1"/>
        <v>14.147360703812316</v>
      </c>
      <c r="M68">
        <v>7278</v>
      </c>
      <c r="N68">
        <v>357</v>
      </c>
      <c r="O68" s="12">
        <v>2255</v>
      </c>
      <c r="P68" s="12">
        <v>8731</v>
      </c>
      <c r="Q68" s="12">
        <v>755</v>
      </c>
      <c r="R68">
        <v>17.399999999999999</v>
      </c>
      <c r="S68">
        <v>25.7</v>
      </c>
      <c r="T68" s="1">
        <f>1.4+3.8+1</f>
        <v>6.1999999999999993</v>
      </c>
      <c r="U68" s="1">
        <v>3.2</v>
      </c>
      <c r="V68">
        <v>70</v>
      </c>
      <c r="W68" s="10">
        <f>393+1041</f>
        <v>1434</v>
      </c>
      <c r="X68" s="14">
        <v>50232</v>
      </c>
      <c r="Z68">
        <v>6054</v>
      </c>
      <c r="AA68">
        <v>1016</v>
      </c>
      <c r="AB68" s="17">
        <v>26583</v>
      </c>
      <c r="AC68">
        <v>63</v>
      </c>
      <c r="AD68">
        <v>2303</v>
      </c>
      <c r="AE68" s="1">
        <v>79</v>
      </c>
      <c r="AF68" s="1">
        <f>SUMPRODUCT({449.5,349.5,249.5}, {0.01,0.001,0})</f>
        <v>4.8445</v>
      </c>
      <c r="AG68" s="1">
        <v>79</v>
      </c>
      <c r="AH68" s="1">
        <v>0</v>
      </c>
      <c r="AI68">
        <v>600</v>
      </c>
      <c r="AJ68">
        <v>680</v>
      </c>
      <c r="AK68">
        <v>590</v>
      </c>
      <c r="AL68">
        <v>680</v>
      </c>
      <c r="AM68">
        <f>13+13+1+6+8+2</f>
        <v>43</v>
      </c>
      <c r="AN68">
        <f>11+17</f>
        <v>28</v>
      </c>
      <c r="AO68" s="7">
        <v>46</v>
      </c>
      <c r="AP68">
        <v>2</v>
      </c>
    </row>
    <row r="69" spans="1:42" ht="24" customHeight="1">
      <c r="A69" s="12">
        <v>2021</v>
      </c>
      <c r="B69" t="s">
        <v>44</v>
      </c>
      <c r="C69" s="12">
        <f>20741/36588</f>
        <v>0.56687985131737184</v>
      </c>
      <c r="D69" s="12">
        <f>4271/36588</f>
        <v>0.11673226194380672</v>
      </c>
      <c r="E69" s="12">
        <v>20626</v>
      </c>
      <c r="F69" s="12">
        <v>15191</v>
      </c>
      <c r="G69" s="12">
        <v>5435</v>
      </c>
      <c r="H69" s="12">
        <v>3315</v>
      </c>
      <c r="I69" s="12">
        <v>1107</v>
      </c>
      <c r="J69" s="9">
        <f>131+347</f>
        <v>478</v>
      </c>
      <c r="K69" s="12">
        <v>1461</v>
      </c>
      <c r="L69">
        <f t="shared" si="1"/>
        <v>14.11772758384668</v>
      </c>
      <c r="M69">
        <v>7158</v>
      </c>
      <c r="N69">
        <v>364</v>
      </c>
      <c r="O69" s="12">
        <v>2404</v>
      </c>
      <c r="P69" s="12">
        <v>9202</v>
      </c>
      <c r="Q69" s="12">
        <v>765</v>
      </c>
      <c r="R69">
        <v>17.8</v>
      </c>
      <c r="S69">
        <v>23.6</v>
      </c>
      <c r="T69" s="1">
        <f>1.1+3.4+0.9</f>
        <v>5.4</v>
      </c>
      <c r="U69" s="1">
        <v>4.9000000000000004</v>
      </c>
      <c r="V69">
        <v>71</v>
      </c>
      <c r="W69" s="10">
        <f>290+987</f>
        <v>1277</v>
      </c>
      <c r="X69" s="14">
        <v>51738</v>
      </c>
      <c r="Z69">
        <v>6744</v>
      </c>
      <c r="AA69">
        <v>1179</v>
      </c>
      <c r="AB69" s="17">
        <v>27256</v>
      </c>
      <c r="AC69">
        <v>43</v>
      </c>
      <c r="AD69">
        <v>2315</v>
      </c>
      <c r="AE69" s="1">
        <v>82</v>
      </c>
      <c r="AF69" s="1">
        <f>SUMPRODUCT({449.5,349.5,249.5}, {0.032,0.003,0})</f>
        <v>15.432500000000001</v>
      </c>
      <c r="AG69" s="1">
        <v>72</v>
      </c>
      <c r="AH69" s="1">
        <v>0</v>
      </c>
      <c r="AI69">
        <v>580</v>
      </c>
      <c r="AJ69">
        <v>670</v>
      </c>
      <c r="AK69">
        <v>580</v>
      </c>
      <c r="AL69">
        <v>680</v>
      </c>
      <c r="AM69">
        <f>30+3+9+6</f>
        <v>48</v>
      </c>
      <c r="AN69">
        <f>5+8+23</f>
        <v>36</v>
      </c>
      <c r="AO69" s="7">
        <v>37</v>
      </c>
      <c r="AP69">
        <v>2</v>
      </c>
    </row>
    <row r="70" spans="1:42" ht="24" customHeight="1">
      <c r="A70" s="12">
        <v>2022</v>
      </c>
      <c r="B70" t="s">
        <v>44</v>
      </c>
      <c r="C70" s="12">
        <f>18699/40753</f>
        <v>0.45883738620469661</v>
      </c>
      <c r="D70" s="12">
        <f>3296/40753</f>
        <v>8.0877481412411356E-2</v>
      </c>
      <c r="E70" s="12">
        <v>20709</v>
      </c>
      <c r="F70" s="12">
        <v>15213</v>
      </c>
      <c r="G70" s="12">
        <v>5496</v>
      </c>
      <c r="H70" s="12">
        <v>3263</v>
      </c>
      <c r="I70" s="12">
        <v>1317</v>
      </c>
      <c r="J70" s="9">
        <f>274+376</f>
        <v>650</v>
      </c>
      <c r="K70" s="12">
        <v>1526</v>
      </c>
      <c r="L70">
        <f t="shared" si="1"/>
        <v>13.570773263433814</v>
      </c>
      <c r="M70">
        <v>6644</v>
      </c>
      <c r="N70">
        <v>367</v>
      </c>
      <c r="O70" s="12">
        <v>2425</v>
      </c>
      <c r="P70" s="12">
        <v>9281</v>
      </c>
      <c r="Q70" s="12">
        <v>733</v>
      </c>
      <c r="R70">
        <v>19.2</v>
      </c>
      <c r="S70">
        <v>24.7</v>
      </c>
      <c r="T70" s="1">
        <f>0.6+3.3+1</f>
        <v>4.9000000000000004</v>
      </c>
      <c r="U70" s="1">
        <v>4.2</v>
      </c>
      <c r="V70">
        <v>67</v>
      </c>
      <c r="W70" s="10">
        <f>287+1012</f>
        <v>1299</v>
      </c>
      <c r="X70" s="14">
        <v>54844</v>
      </c>
      <c r="Z70">
        <v>956</v>
      </c>
      <c r="AA70">
        <v>1412</v>
      </c>
      <c r="AB70" s="17">
        <v>27496</v>
      </c>
      <c r="AC70">
        <v>36</v>
      </c>
      <c r="AD70">
        <v>2384</v>
      </c>
      <c r="AE70" s="1">
        <v>81.400000000000006</v>
      </c>
      <c r="AF70" s="1">
        <f>SUMPRODUCT({449.5,349.5,249.5}, {0.0433,0.0022,0})</f>
        <v>20.232249999999997</v>
      </c>
      <c r="AG70" s="1">
        <v>72</v>
      </c>
      <c r="AH70" s="1">
        <v>1</v>
      </c>
      <c r="AI70">
        <v>590</v>
      </c>
      <c r="AJ70">
        <v>680</v>
      </c>
      <c r="AK70">
        <v>580</v>
      </c>
      <c r="AL70">
        <v>690</v>
      </c>
      <c r="AM70">
        <f>30+7+6+2</f>
        <v>45</v>
      </c>
      <c r="AN70">
        <f>13+40</f>
        <v>53</v>
      </c>
      <c r="AO70" s="7">
        <v>54</v>
      </c>
      <c r="AP70">
        <v>3</v>
      </c>
    </row>
    <row r="71" spans="1:42" ht="24" customHeight="1">
      <c r="A71" s="12">
        <v>2023</v>
      </c>
      <c r="B71" t="s">
        <v>44</v>
      </c>
      <c r="C71" s="12">
        <f>20268/39767</f>
        <v>0.50966882088163556</v>
      </c>
      <c r="D71" s="12">
        <f>3317/39767</f>
        <v>8.3410868307893474E-2</v>
      </c>
      <c r="E71" s="12">
        <v>20824</v>
      </c>
      <c r="F71" s="12">
        <v>15155</v>
      </c>
      <c r="G71" s="12">
        <v>5669</v>
      </c>
      <c r="H71" s="12">
        <v>3411</v>
      </c>
      <c r="I71" s="12">
        <v>1345</v>
      </c>
      <c r="J71" s="9">
        <f>227+488</f>
        <v>715</v>
      </c>
      <c r="K71" s="12">
        <v>1583</v>
      </c>
      <c r="L71">
        <f t="shared" si="1"/>
        <v>13.154769425142135</v>
      </c>
      <c r="M71">
        <v>6608</v>
      </c>
      <c r="N71">
        <v>314</v>
      </c>
      <c r="O71" s="12">
        <v>2480</v>
      </c>
      <c r="P71" s="12">
        <v>9200</v>
      </c>
      <c r="Q71" s="12">
        <v>759</v>
      </c>
      <c r="R71">
        <v>21</v>
      </c>
      <c r="S71">
        <v>27.6</v>
      </c>
      <c r="T71" s="1">
        <f>0.8+2.6+1.1</f>
        <v>4.5</v>
      </c>
      <c r="U71" s="1">
        <v>3.8</v>
      </c>
      <c r="V71">
        <v>65</v>
      </c>
      <c r="W71" s="10">
        <f>287+1132</f>
        <v>1419</v>
      </c>
      <c r="X71" s="14">
        <v>58100</v>
      </c>
      <c r="Z71">
        <v>831</v>
      </c>
      <c r="AA71">
        <v>1282</v>
      </c>
      <c r="AB71" s="17">
        <v>29817</v>
      </c>
      <c r="AC71">
        <v>32</v>
      </c>
      <c r="AD71">
        <v>2312</v>
      </c>
      <c r="AE71" s="1">
        <v>80.099999999999994</v>
      </c>
      <c r="AF71" s="1">
        <f>SUMPRODUCT({449.5,349.5,249.5}, {0.05,0,0})</f>
        <v>22.475000000000001</v>
      </c>
      <c r="AG71" s="1">
        <v>70</v>
      </c>
      <c r="AH71" s="1">
        <v>1</v>
      </c>
      <c r="AI71">
        <v>580</v>
      </c>
      <c r="AJ71">
        <v>680</v>
      </c>
      <c r="AK71">
        <v>570</v>
      </c>
      <c r="AL71">
        <v>680</v>
      </c>
    </row>
    <row r="72" spans="1:42" ht="24" customHeight="1">
      <c r="A72" s="12">
        <v>2014</v>
      </c>
      <c r="B72" t="s">
        <v>45</v>
      </c>
      <c r="C72" s="12">
        <f>(1402+1275)/(9334+8394)</f>
        <v>0.15100406137184116</v>
      </c>
      <c r="D72" s="12">
        <f>(515+434)/(9334+8394)</f>
        <v>5.3531137184115521E-2</v>
      </c>
      <c r="E72" s="12">
        <v>6621</v>
      </c>
      <c r="F72" s="12">
        <v>3926</v>
      </c>
      <c r="G72" s="12">
        <v>2695</v>
      </c>
      <c r="H72" s="12">
        <v>986</v>
      </c>
      <c r="I72" s="12">
        <v>719</v>
      </c>
      <c r="J72" s="9">
        <v>191</v>
      </c>
      <c r="K72" s="12">
        <v>849</v>
      </c>
      <c r="L72">
        <f t="shared" si="1"/>
        <v>7.7985865724381629</v>
      </c>
      <c r="M72">
        <v>1526</v>
      </c>
      <c r="N72">
        <v>31</v>
      </c>
      <c r="O72" s="12">
        <v>585</v>
      </c>
      <c r="P72" s="12">
        <v>1481</v>
      </c>
      <c r="Q72" s="12">
        <v>262</v>
      </c>
      <c r="R72">
        <v>0</v>
      </c>
      <c r="S72">
        <v>1</v>
      </c>
      <c r="T72" s="1">
        <f>4+21+5</f>
        <v>30</v>
      </c>
      <c r="U72" s="1">
        <v>5</v>
      </c>
      <c r="V72">
        <v>27</v>
      </c>
      <c r="W72" s="10">
        <f>315+335</f>
        <v>650</v>
      </c>
      <c r="X72" s="14">
        <v>39880</v>
      </c>
      <c r="Y72" s="1">
        <v>0</v>
      </c>
      <c r="Z72">
        <v>59</v>
      </c>
      <c r="AA72">
        <v>1548</v>
      </c>
      <c r="AB72" s="17">
        <v>34954</v>
      </c>
      <c r="AC72">
        <v>10</v>
      </c>
      <c r="AD72">
        <v>636</v>
      </c>
      <c r="AE72" s="1">
        <v>93</v>
      </c>
      <c r="AF72" s="1">
        <f>SUMPRODUCT({449.5,349.5,249.5}, {0.007,0,0})</f>
        <v>3.1465000000000001</v>
      </c>
      <c r="AG72" s="1">
        <v>96</v>
      </c>
      <c r="AH72" s="1">
        <v>0</v>
      </c>
      <c r="AI72">
        <v>680</v>
      </c>
      <c r="AJ72">
        <v>760</v>
      </c>
      <c r="AK72">
        <v>710</v>
      </c>
      <c r="AL72">
        <v>790</v>
      </c>
    </row>
    <row r="73" spans="1:42" ht="24" customHeight="1">
      <c r="A73" s="12">
        <v>2015</v>
      </c>
      <c r="B73" t="s">
        <v>45</v>
      </c>
      <c r="C73" s="12">
        <f>2865/17951</f>
        <v>0.15960113642694002</v>
      </c>
      <c r="D73" s="12">
        <f>969/17951</f>
        <v>5.3980279650158766E-2</v>
      </c>
      <c r="E73" s="12">
        <v>6719</v>
      </c>
      <c r="F73" s="12">
        <v>3910</v>
      </c>
      <c r="G73" s="12">
        <v>2809</v>
      </c>
      <c r="H73" s="12">
        <v>1033</v>
      </c>
      <c r="I73" s="12">
        <v>711</v>
      </c>
      <c r="J73" s="9">
        <v>176</v>
      </c>
      <c r="K73" s="12">
        <v>862</v>
      </c>
      <c r="L73">
        <f t="shared" si="1"/>
        <v>7.7946635730858471</v>
      </c>
      <c r="M73">
        <v>1439</v>
      </c>
      <c r="N73">
        <v>42</v>
      </c>
      <c r="O73" s="12">
        <v>546</v>
      </c>
      <c r="P73" s="12">
        <v>1438</v>
      </c>
      <c r="Q73" s="12">
        <v>253</v>
      </c>
      <c r="R73">
        <v>0</v>
      </c>
      <c r="S73">
        <v>1.74</v>
      </c>
      <c r="T73" s="1">
        <f>4.43+17.55+5.3</f>
        <v>27.28</v>
      </c>
      <c r="U73" s="1">
        <v>4.51</v>
      </c>
      <c r="V73">
        <v>23</v>
      </c>
      <c r="W73" s="10">
        <f>287+400</f>
        <v>687</v>
      </c>
      <c r="X73" s="14">
        <v>43220</v>
      </c>
      <c r="Y73" s="1">
        <v>0</v>
      </c>
      <c r="Z73">
        <v>48</v>
      </c>
      <c r="AA73">
        <v>1464</v>
      </c>
      <c r="AB73" s="17">
        <v>36025</v>
      </c>
      <c r="AC73">
        <v>15</v>
      </c>
      <c r="AD73">
        <v>710</v>
      </c>
      <c r="AE73" s="1">
        <v>91</v>
      </c>
      <c r="AF73" s="1">
        <f>SUMPRODUCT({449.5,349.5,249.5}, {0.009,0.001,0})</f>
        <v>4.3949999999999996</v>
      </c>
      <c r="AG73" s="1">
        <v>96</v>
      </c>
      <c r="AH73" s="1">
        <v>0</v>
      </c>
      <c r="AI73">
        <v>680</v>
      </c>
      <c r="AJ73">
        <v>760</v>
      </c>
      <c r="AK73">
        <v>710</v>
      </c>
      <c r="AL73">
        <v>800</v>
      </c>
    </row>
    <row r="74" spans="1:42" ht="24" customHeight="1">
      <c r="A74" s="12">
        <v>2016</v>
      </c>
      <c r="B74" t="s">
        <v>45</v>
      </c>
      <c r="C74" s="12">
        <f>2785/18236</f>
        <v>0.15271989471375302</v>
      </c>
      <c r="D74" s="12">
        <f>981/18236</f>
        <v>5.3794691818381223E-2</v>
      </c>
      <c r="E74" s="12">
        <v>6855</v>
      </c>
      <c r="F74" s="12">
        <v>3893</v>
      </c>
      <c r="G74" s="12">
        <v>2962</v>
      </c>
      <c r="H74" s="12">
        <v>1002</v>
      </c>
      <c r="I74" s="12">
        <v>739</v>
      </c>
      <c r="J74" s="9">
        <v>211</v>
      </c>
      <c r="K74" s="12">
        <v>881</v>
      </c>
      <c r="L74">
        <f>E74/K74</f>
        <v>7.7809307604994329</v>
      </c>
      <c r="M74">
        <v>1456</v>
      </c>
      <c r="N74">
        <v>36</v>
      </c>
      <c r="O74" s="12">
        <v>555</v>
      </c>
      <c r="P74" s="12">
        <v>1420</v>
      </c>
      <c r="Q74" s="12">
        <v>268</v>
      </c>
      <c r="R74">
        <v>0</v>
      </c>
      <c r="S74">
        <v>2</v>
      </c>
      <c r="T74" s="1">
        <f>5+20+7</f>
        <v>32</v>
      </c>
      <c r="U74" s="1">
        <v>5</v>
      </c>
      <c r="V74">
        <v>21</v>
      </c>
      <c r="W74" s="10">
        <f>314+412</f>
        <v>726</v>
      </c>
      <c r="X74" s="14">
        <v>44900</v>
      </c>
      <c r="Y74" s="1">
        <v>0</v>
      </c>
      <c r="Z74">
        <v>55</v>
      </c>
      <c r="AA74">
        <v>1483</v>
      </c>
      <c r="AB74" s="17">
        <v>36772</v>
      </c>
      <c r="AC74">
        <v>24</v>
      </c>
      <c r="AD74">
        <v>783</v>
      </c>
      <c r="AE74" s="1">
        <v>93.1</v>
      </c>
      <c r="AF74" s="1">
        <f>SUMPRODUCT({449.5,349.5,249.5}, {0.01,0,0})</f>
        <v>4.4950000000000001</v>
      </c>
      <c r="AG74" s="1">
        <v>97</v>
      </c>
      <c r="AH74" s="1">
        <v>0</v>
      </c>
      <c r="AI74">
        <v>690</v>
      </c>
      <c r="AJ74">
        <v>770</v>
      </c>
      <c r="AK74">
        <v>720</v>
      </c>
      <c r="AL74">
        <v>800</v>
      </c>
    </row>
    <row r="75" spans="1:42" ht="24" customHeight="1">
      <c r="A75" s="12">
        <v>2017</v>
      </c>
      <c r="B75" t="s">
        <v>45</v>
      </c>
      <c r="C75" s="12">
        <f>2864/18063</f>
        <v>0.15855616453523777</v>
      </c>
      <c r="D75" s="12">
        <f>1048/18063</f>
        <v>5.8019155179095387E-2</v>
      </c>
      <c r="E75" s="12">
        <v>7022</v>
      </c>
      <c r="F75" s="12">
        <v>4001</v>
      </c>
      <c r="G75" s="12">
        <v>3021</v>
      </c>
      <c r="H75" s="12">
        <v>1008</v>
      </c>
      <c r="I75" s="12">
        <v>846</v>
      </c>
      <c r="J75" s="9">
        <v>215</v>
      </c>
      <c r="K75" s="12">
        <v>870</v>
      </c>
      <c r="L75">
        <f>E75/K75</f>
        <v>8.0712643678160916</v>
      </c>
      <c r="M75">
        <v>1506</v>
      </c>
      <c r="N75">
        <v>30</v>
      </c>
      <c r="O75" s="12">
        <v>584</v>
      </c>
      <c r="P75" s="12">
        <v>1374</v>
      </c>
      <c r="Q75" s="12">
        <v>272</v>
      </c>
      <c r="R75">
        <v>0</v>
      </c>
      <c r="S75">
        <v>1</v>
      </c>
      <c r="T75">
        <f>7+20+6</f>
        <v>33</v>
      </c>
      <c r="U75">
        <v>4</v>
      </c>
      <c r="V75">
        <v>24</v>
      </c>
      <c r="W75">
        <f>337+402</f>
        <v>739</v>
      </c>
      <c r="X75" s="14">
        <v>46600</v>
      </c>
      <c r="Y75" s="1">
        <v>0</v>
      </c>
      <c r="Z75">
        <v>52</v>
      </c>
      <c r="AA75">
        <v>1525</v>
      </c>
      <c r="AB75" s="17">
        <v>40285</v>
      </c>
      <c r="AC75">
        <v>12</v>
      </c>
      <c r="AD75">
        <v>619</v>
      </c>
      <c r="AE75" s="1">
        <v>91.4</v>
      </c>
      <c r="AF75" s="1">
        <f>SUMPRODUCT({449.5,349.5,249.5}, {0,0,0})</f>
        <v>0</v>
      </c>
      <c r="AG75" s="1">
        <v>97</v>
      </c>
      <c r="AH75" s="1">
        <v>0</v>
      </c>
      <c r="AI75">
        <v>730</v>
      </c>
      <c r="AJ75">
        <v>780</v>
      </c>
      <c r="AK75">
        <v>760</v>
      </c>
      <c r="AL75">
        <v>800</v>
      </c>
    </row>
    <row r="76" spans="1:42" ht="24" customHeight="1">
      <c r="A76" s="12">
        <v>2018</v>
      </c>
      <c r="B76" t="s">
        <v>45</v>
      </c>
      <c r="C76" s="12">
        <f>2328/20923</f>
        <v>0.11126511494527554</v>
      </c>
      <c r="D76" s="12">
        <f>960/20923</f>
        <v>4.5882521626917749E-2</v>
      </c>
      <c r="E76" s="12">
        <v>7124</v>
      </c>
      <c r="F76" s="12">
        <v>3992</v>
      </c>
      <c r="G76" s="12">
        <v>3132</v>
      </c>
      <c r="H76" s="12">
        <v>1006</v>
      </c>
      <c r="I76" s="12">
        <v>874</v>
      </c>
      <c r="J76" s="9">
        <v>207</v>
      </c>
      <c r="K76" s="12">
        <v>879</v>
      </c>
      <c r="L76">
        <f t="shared" si="1"/>
        <v>8.1046643913538112</v>
      </c>
      <c r="M76">
        <v>1543</v>
      </c>
      <c r="N76">
        <v>39</v>
      </c>
      <c r="O76" s="12">
        <v>615</v>
      </c>
      <c r="P76" s="12">
        <v>1318</v>
      </c>
      <c r="Q76" s="12">
        <v>283</v>
      </c>
      <c r="R76">
        <v>0</v>
      </c>
      <c r="S76">
        <v>2.1</v>
      </c>
      <c r="T76" s="1">
        <f>7.4+18.6+1.6+5.2</f>
        <v>32.800000000000004</v>
      </c>
      <c r="U76" s="1">
        <v>4.3</v>
      </c>
      <c r="V76">
        <v>25</v>
      </c>
      <c r="W76" s="10">
        <f>343+431</f>
        <v>774</v>
      </c>
      <c r="X76" s="14">
        <v>48330</v>
      </c>
      <c r="Z76">
        <v>92</v>
      </c>
      <c r="AA76">
        <v>1563</v>
      </c>
      <c r="AB76" s="17">
        <v>43174</v>
      </c>
      <c r="AC76">
        <v>12</v>
      </c>
      <c r="AD76">
        <v>793</v>
      </c>
      <c r="AE76" s="1">
        <v>94.7</v>
      </c>
      <c r="AF76" s="1">
        <f>SUMPRODUCT({449.5,349.5,249.5}, {0.004,0,0})</f>
        <v>1.798</v>
      </c>
      <c r="AG76" s="1">
        <v>96</v>
      </c>
      <c r="AH76" s="1">
        <v>0</v>
      </c>
      <c r="AI76">
        <v>700</v>
      </c>
      <c r="AJ76">
        <v>760</v>
      </c>
      <c r="AK76">
        <v>750</v>
      </c>
      <c r="AL76">
        <v>800</v>
      </c>
    </row>
    <row r="77" spans="1:42" ht="24" customHeight="1">
      <c r="A77" s="12">
        <v>2019</v>
      </c>
      <c r="B77" t="s">
        <v>45</v>
      </c>
      <c r="C77" s="12">
        <f>2361/27087</f>
        <v>8.7163584007088277E-2</v>
      </c>
      <c r="D77" s="12">
        <f>964/27087</f>
        <v>3.5589027946985638E-2</v>
      </c>
      <c r="E77" s="12">
        <v>7282</v>
      </c>
      <c r="F77" s="12">
        <v>3989</v>
      </c>
      <c r="G77" s="12">
        <v>3293</v>
      </c>
      <c r="H77" s="12">
        <v>1024</v>
      </c>
      <c r="I77" s="12">
        <v>898</v>
      </c>
      <c r="J77" s="9">
        <v>233</v>
      </c>
      <c r="K77" s="12">
        <v>887</v>
      </c>
      <c r="L77">
        <f t="shared" si="1"/>
        <v>8.2096956031567085</v>
      </c>
      <c r="M77">
        <v>1689</v>
      </c>
      <c r="N77">
        <v>41</v>
      </c>
      <c r="O77" s="12">
        <v>644</v>
      </c>
      <c r="P77" s="12">
        <v>1262</v>
      </c>
      <c r="Q77" s="12">
        <v>293</v>
      </c>
      <c r="R77">
        <v>0</v>
      </c>
      <c r="S77">
        <v>2</v>
      </c>
      <c r="T77" s="1">
        <f>9.8+18.3+0.7+7.2</f>
        <v>36</v>
      </c>
      <c r="U77" s="1">
        <v>4.7</v>
      </c>
      <c r="V77">
        <v>26</v>
      </c>
      <c r="W77" s="10">
        <f>340+400</f>
        <v>740</v>
      </c>
      <c r="X77" s="14">
        <v>50310</v>
      </c>
      <c r="Y77" s="1">
        <v>0</v>
      </c>
      <c r="Z77">
        <v>139</v>
      </c>
      <c r="AA77">
        <v>1708</v>
      </c>
      <c r="AB77" s="17">
        <v>48300</v>
      </c>
      <c r="AC77">
        <v>15</v>
      </c>
      <c r="AD77">
        <v>814</v>
      </c>
      <c r="AE77" s="1">
        <v>92.6</v>
      </c>
      <c r="AF77" s="1">
        <f>SUMPRODUCT({449.5,349.5,249.5}, {0,0,0})</f>
        <v>0</v>
      </c>
      <c r="AG77" s="1">
        <v>99</v>
      </c>
      <c r="AH77" s="1">
        <v>0</v>
      </c>
      <c r="AI77">
        <v>720</v>
      </c>
      <c r="AJ77">
        <v>770</v>
      </c>
      <c r="AK77">
        <v>750</v>
      </c>
      <c r="AL77">
        <v>800</v>
      </c>
    </row>
    <row r="78" spans="1:42" ht="24" customHeight="1">
      <c r="A78" s="12">
        <v>2020</v>
      </c>
      <c r="B78" t="s">
        <v>45</v>
      </c>
      <c r="C78" s="12">
        <f>(1281+1274)/(12031+11424)</f>
        <v>0.10893199744191004</v>
      </c>
      <c r="D78" s="12">
        <f>(522+471)/(12031+11424)</f>
        <v>4.2336388829673846E-2</v>
      </c>
      <c r="E78" s="12">
        <v>7643</v>
      </c>
      <c r="F78" s="12">
        <v>4076</v>
      </c>
      <c r="G78" s="12">
        <v>3567</v>
      </c>
      <c r="H78" s="12">
        <v>998</v>
      </c>
      <c r="I78" s="12">
        <v>906</v>
      </c>
      <c r="J78" s="9">
        <v>208</v>
      </c>
      <c r="K78" s="12">
        <v>895</v>
      </c>
      <c r="L78">
        <f t="shared" si="1"/>
        <v>8.5396648044692736</v>
      </c>
      <c r="M78">
        <v>1775</v>
      </c>
      <c r="N78">
        <v>54</v>
      </c>
      <c r="O78" s="12">
        <v>651</v>
      </c>
      <c r="P78" s="12">
        <v>1249</v>
      </c>
      <c r="Q78" s="12">
        <v>308</v>
      </c>
      <c r="R78">
        <v>0</v>
      </c>
      <c r="S78">
        <v>1.9</v>
      </c>
      <c r="T78" s="1">
        <f>10.4+13.9+0.8+6.4</f>
        <v>31.5</v>
      </c>
      <c r="U78" s="1">
        <v>4.5999999999999996</v>
      </c>
      <c r="V78">
        <v>22</v>
      </c>
      <c r="W78" s="10">
        <f>322+396</f>
        <v>718</v>
      </c>
      <c r="X78" s="14">
        <v>52070</v>
      </c>
      <c r="Y78" s="1">
        <v>0</v>
      </c>
      <c r="Z78">
        <v>176</v>
      </c>
      <c r="AA78">
        <v>1797</v>
      </c>
      <c r="AB78" s="17">
        <v>49343.73</v>
      </c>
      <c r="AC78">
        <v>14</v>
      </c>
      <c r="AD78">
        <v>803</v>
      </c>
      <c r="AE78" s="1">
        <v>94.2</v>
      </c>
      <c r="AF78" s="1">
        <f>SUMPRODUCT({449.5,349.5,249.5}, {0,0,0})</f>
        <v>0</v>
      </c>
      <c r="AG78" s="1">
        <v>98</v>
      </c>
      <c r="AH78" s="1">
        <v>0</v>
      </c>
      <c r="AI78">
        <v>710</v>
      </c>
      <c r="AJ78">
        <v>770</v>
      </c>
      <c r="AK78">
        <v>750</v>
      </c>
      <c r="AL78">
        <v>800</v>
      </c>
      <c r="AM78">
        <f>20+1+2+13+7</f>
        <v>43</v>
      </c>
      <c r="AN78">
        <f>3+8</f>
        <v>11</v>
      </c>
      <c r="AO78" s="7">
        <v>3</v>
      </c>
      <c r="AP78">
        <v>0</v>
      </c>
    </row>
    <row r="79" spans="1:42" ht="24" customHeight="1">
      <c r="A79" s="12">
        <v>2021</v>
      </c>
      <c r="B79" t="s">
        <v>45</v>
      </c>
      <c r="C79" s="12">
        <f>(1355+1447)/(14761+14783)</f>
        <v>9.4841592201462224E-2</v>
      </c>
      <c r="D79" s="12">
        <f>(596+630)/(14761+14783)</f>
        <v>4.1497427565664768E-2</v>
      </c>
      <c r="E79" s="12">
        <v>8285</v>
      </c>
      <c r="F79" s="12">
        <v>4247</v>
      </c>
      <c r="G79" s="12">
        <v>4038</v>
      </c>
      <c r="H79" s="12">
        <v>1115</v>
      </c>
      <c r="I79" s="12">
        <v>929</v>
      </c>
      <c r="J79" s="9">
        <v>207</v>
      </c>
      <c r="K79" s="12">
        <v>931</v>
      </c>
      <c r="L79">
        <f t="shared" si="1"/>
        <v>8.8990332975295381</v>
      </c>
      <c r="M79">
        <v>1924</v>
      </c>
      <c r="N79">
        <v>30</v>
      </c>
      <c r="O79" s="12">
        <v>660</v>
      </c>
      <c r="P79" s="12">
        <v>1258</v>
      </c>
      <c r="Q79" s="12">
        <v>337</v>
      </c>
      <c r="R79">
        <v>1</v>
      </c>
      <c r="S79">
        <v>1.9</v>
      </c>
      <c r="T79" s="1">
        <f>10.9+14.8+6.1</f>
        <v>31.800000000000004</v>
      </c>
      <c r="U79" s="1">
        <v>4.5</v>
      </c>
      <c r="V79">
        <v>23</v>
      </c>
      <c r="W79" s="10">
        <f>318+419</f>
        <v>737</v>
      </c>
      <c r="X79" s="14">
        <v>54100</v>
      </c>
      <c r="Y79" s="1">
        <v>0</v>
      </c>
      <c r="Z79">
        <v>189</v>
      </c>
      <c r="AA79">
        <v>1950</v>
      </c>
      <c r="AB79" s="17">
        <v>53221</v>
      </c>
      <c r="AC79">
        <v>14</v>
      </c>
      <c r="AD79">
        <v>840</v>
      </c>
      <c r="AE79" s="1">
        <v>92.3</v>
      </c>
      <c r="AF79" s="1">
        <f>SUMPRODUCT({449.5,349.5,249.5}, {0,0,0})</f>
        <v>0</v>
      </c>
      <c r="AG79" s="1">
        <v>97</v>
      </c>
      <c r="AH79" s="1">
        <v>0</v>
      </c>
      <c r="AI79">
        <v>720</v>
      </c>
      <c r="AJ79">
        <v>770</v>
      </c>
      <c r="AK79">
        <v>770</v>
      </c>
      <c r="AL79">
        <v>800</v>
      </c>
      <c r="AM79">
        <f>12+3+9+13</f>
        <v>37</v>
      </c>
      <c r="AN79">
        <f>9</f>
        <v>9</v>
      </c>
      <c r="AO79" s="7">
        <v>0</v>
      </c>
      <c r="AP79">
        <v>0</v>
      </c>
    </row>
    <row r="80" spans="1:42" ht="24" customHeight="1">
      <c r="A80" s="12">
        <v>2022</v>
      </c>
      <c r="B80" t="s">
        <v>45</v>
      </c>
      <c r="C80" s="12">
        <f>2730/31443</f>
        <v>8.6823776357217816E-2</v>
      </c>
      <c r="D80" s="12">
        <f>1203/31443</f>
        <v>3.8259708043125659E-2</v>
      </c>
      <c r="E80" s="12">
        <v>8672</v>
      </c>
      <c r="F80" s="12">
        <v>4494</v>
      </c>
      <c r="G80" s="12">
        <v>4178</v>
      </c>
      <c r="H80" s="12">
        <v>1025</v>
      </c>
      <c r="I80" s="12">
        <v>1135</v>
      </c>
      <c r="J80" s="9">
        <v>225</v>
      </c>
      <c r="K80" s="12">
        <v>946</v>
      </c>
      <c r="L80">
        <f t="shared" si="1"/>
        <v>9.1670190274841445</v>
      </c>
      <c r="M80">
        <v>2056</v>
      </c>
      <c r="N80">
        <v>34</v>
      </c>
      <c r="O80" s="12">
        <v>693</v>
      </c>
      <c r="P80" s="12">
        <v>1264</v>
      </c>
      <c r="Q80" s="12">
        <v>355</v>
      </c>
      <c r="R80">
        <v>0.7</v>
      </c>
      <c r="S80">
        <v>1.8</v>
      </c>
      <c r="T80" s="1">
        <f>16+9.8+6.2</f>
        <v>32</v>
      </c>
      <c r="U80" s="1">
        <v>4</v>
      </c>
      <c r="V80">
        <v>24</v>
      </c>
      <c r="W80" s="10">
        <f>324+393</f>
        <v>717</v>
      </c>
      <c r="X80" s="14">
        <v>57210</v>
      </c>
      <c r="Y80" s="1">
        <v>0</v>
      </c>
      <c r="Z80">
        <v>193</v>
      </c>
      <c r="AA80">
        <v>2075</v>
      </c>
      <c r="AB80" s="17">
        <v>57379.58</v>
      </c>
      <c r="AC80">
        <v>13</v>
      </c>
      <c r="AD80">
        <v>853</v>
      </c>
      <c r="AE80" s="1">
        <v>93.6</v>
      </c>
      <c r="AF80" s="1">
        <f>SUMPRODUCT({449.5,349.5,249.5}, {0,0,0})</f>
        <v>0</v>
      </c>
      <c r="AG80" s="1">
        <v>97</v>
      </c>
      <c r="AH80" s="1">
        <v>0</v>
      </c>
      <c r="AI80">
        <v>730</v>
      </c>
      <c r="AJ80">
        <v>770</v>
      </c>
      <c r="AK80">
        <v>760</v>
      </c>
      <c r="AL80">
        <v>800</v>
      </c>
      <c r="AM80">
        <f>12+16+20</f>
        <v>48</v>
      </c>
      <c r="AN80">
        <f>9+12</f>
        <v>21</v>
      </c>
      <c r="AO80" s="7">
        <v>0</v>
      </c>
      <c r="AP80">
        <v>0</v>
      </c>
    </row>
    <row r="81" spans="1:42" ht="24" customHeight="1">
      <c r="A81" s="12">
        <v>2023</v>
      </c>
      <c r="B81" t="s">
        <v>45</v>
      </c>
      <c r="C81" s="12">
        <f>2447/31059</f>
        <v>7.8785537203387102E-2</v>
      </c>
      <c r="D81" s="12">
        <f>1125/31059</f>
        <v>3.6221385105766446E-2</v>
      </c>
      <c r="E81" s="12">
        <v>8556</v>
      </c>
      <c r="F81" s="12">
        <v>4574</v>
      </c>
      <c r="G81" s="12">
        <v>3982</v>
      </c>
      <c r="H81" s="12">
        <v>1052</v>
      </c>
      <c r="I81" s="12">
        <v>1422</v>
      </c>
      <c r="J81" s="9">
        <v>257</v>
      </c>
      <c r="K81" s="12">
        <v>982</v>
      </c>
      <c r="L81">
        <f t="shared" si="1"/>
        <v>8.7128309572301426</v>
      </c>
      <c r="M81">
        <v>2043</v>
      </c>
      <c r="N81">
        <v>41</v>
      </c>
      <c r="O81" s="12">
        <v>736</v>
      </c>
      <c r="P81" s="12">
        <v>1209</v>
      </c>
      <c r="Q81" s="12">
        <v>376</v>
      </c>
      <c r="R81">
        <v>1.4</v>
      </c>
      <c r="S81">
        <v>1.4</v>
      </c>
      <c r="T81" s="1">
        <f>13.2+14.4+8.3</f>
        <v>35.900000000000006</v>
      </c>
      <c r="U81" s="1">
        <v>3.8</v>
      </c>
      <c r="V81">
        <v>23</v>
      </c>
      <c r="W81" s="10">
        <f>280+429</f>
        <v>709</v>
      </c>
      <c r="X81" s="14">
        <v>59784</v>
      </c>
      <c r="Y81" s="1">
        <v>0</v>
      </c>
      <c r="Z81">
        <v>198</v>
      </c>
      <c r="AA81">
        <v>2066</v>
      </c>
      <c r="AB81" s="17">
        <v>60061.48</v>
      </c>
      <c r="AC81">
        <v>12</v>
      </c>
      <c r="AD81">
        <v>932</v>
      </c>
      <c r="AE81" s="1">
        <v>95.7</v>
      </c>
      <c r="AF81" s="1">
        <f>SUMPRODUCT({449.5,349.5,249.5}, {0,0,0})</f>
        <v>0</v>
      </c>
      <c r="AG81" s="1">
        <v>98</v>
      </c>
      <c r="AH81" s="1">
        <v>0.2</v>
      </c>
      <c r="AI81">
        <v>730</v>
      </c>
      <c r="AJ81">
        <v>760</v>
      </c>
      <c r="AK81">
        <v>770</v>
      </c>
      <c r="AL81">
        <v>800</v>
      </c>
    </row>
    <row r="82" spans="1:42" ht="24" customHeight="1">
      <c r="A82" s="12">
        <v>2014</v>
      </c>
      <c r="B82" t="s">
        <v>46</v>
      </c>
      <c r="C82" s="12">
        <f>15381/38785</f>
        <v>0.396570839241975</v>
      </c>
      <c r="D82" s="12">
        <f>7285/38785</f>
        <v>0.18783034678355034</v>
      </c>
      <c r="E82" s="12">
        <v>51313</v>
      </c>
      <c r="F82" s="12">
        <v>39523</v>
      </c>
      <c r="G82" s="12">
        <v>11790</v>
      </c>
      <c r="H82" s="12">
        <v>9482</v>
      </c>
      <c r="I82" s="12">
        <v>3148</v>
      </c>
      <c r="J82" s="9">
        <f>883+477</f>
        <v>1360</v>
      </c>
      <c r="K82" s="12">
        <v>3026</v>
      </c>
      <c r="L82">
        <f>E83/K82</f>
        <v>16.837409120951751</v>
      </c>
      <c r="M82">
        <v>12458</v>
      </c>
      <c r="N82">
        <v>2325</v>
      </c>
      <c r="O82" s="12">
        <v>8621</v>
      </c>
      <c r="P82" s="12">
        <v>18253</v>
      </c>
      <c r="Q82" s="12">
        <v>1622</v>
      </c>
      <c r="R82">
        <v>4.9000000000000004</v>
      </c>
      <c r="S82">
        <v>11.5</v>
      </c>
      <c r="T82" s="1">
        <f>2.7+11.8+2.5</f>
        <v>17</v>
      </c>
      <c r="U82" s="1">
        <v>3.1</v>
      </c>
      <c r="V82">
        <v>395</v>
      </c>
      <c r="W82" s="10">
        <f>221+1241</f>
        <v>1462</v>
      </c>
      <c r="X82" s="14">
        <v>9830</v>
      </c>
      <c r="Y82" s="1">
        <f>(15.2+16.8)/2</f>
        <v>16</v>
      </c>
      <c r="Z82">
        <v>4175</v>
      </c>
      <c r="AA82">
        <v>2566</v>
      </c>
      <c r="AB82" s="17">
        <v>9118</v>
      </c>
      <c r="AC82">
        <v>248</v>
      </c>
      <c r="AD82">
        <v>3487</v>
      </c>
      <c r="AE82" s="1">
        <v>80.599999999999994</v>
      </c>
      <c r="AF82" s="1">
        <f>SUMPRODUCT({449.5,349.5,249.5}, {0.033,0.002,0})</f>
        <v>15.532500000000001</v>
      </c>
      <c r="AG82" s="1">
        <v>90.3</v>
      </c>
      <c r="AH82" s="1">
        <v>0.2</v>
      </c>
      <c r="AI82">
        <v>570</v>
      </c>
      <c r="AJ82">
        <v>680</v>
      </c>
      <c r="AK82">
        <v>600</v>
      </c>
      <c r="AL82">
        <v>710</v>
      </c>
    </row>
    <row r="83" spans="1:42" ht="24" customHeight="1">
      <c r="A83" s="12">
        <v>2015</v>
      </c>
      <c r="B83" t="s">
        <v>46</v>
      </c>
      <c r="C83" s="12">
        <f>(7680+9326)/(21942+21650)</f>
        <v>0.39011745274362269</v>
      </c>
      <c r="D83" s="12">
        <f>(3428+99+4138+78)/(21942+21650)</f>
        <v>0.17762433474031933</v>
      </c>
      <c r="E83" s="12">
        <v>50950</v>
      </c>
      <c r="F83" s="12">
        <v>39619</v>
      </c>
      <c r="G83" s="12">
        <v>11331</v>
      </c>
      <c r="H83" s="12">
        <v>9503</v>
      </c>
      <c r="I83" s="12">
        <v>3188</v>
      </c>
      <c r="J83" s="9">
        <f>889+481</f>
        <v>1370</v>
      </c>
      <c r="K83" s="12">
        <v>3043</v>
      </c>
      <c r="L83">
        <f t="shared" si="1"/>
        <v>16.743345382845877</v>
      </c>
      <c r="M83">
        <v>11948</v>
      </c>
      <c r="N83">
        <v>2516</v>
      </c>
      <c r="O83" s="12">
        <v>8775</v>
      </c>
      <c r="P83" s="12">
        <v>17593</v>
      </c>
      <c r="Q83" s="12">
        <v>1647</v>
      </c>
      <c r="R83">
        <v>4.9000000000000004</v>
      </c>
      <c r="S83">
        <v>11.4</v>
      </c>
      <c r="T83">
        <f>4+11.8+2.7</f>
        <v>18.5</v>
      </c>
      <c r="U83">
        <v>3.4</v>
      </c>
      <c r="V83">
        <v>394</v>
      </c>
      <c r="W83">
        <f>251+1128</f>
        <v>1379</v>
      </c>
      <c r="X83" s="15">
        <v>9806</v>
      </c>
      <c r="Y83">
        <f>(15.4+18.3)/2</f>
        <v>16.850000000000001</v>
      </c>
      <c r="Z83">
        <v>4476</v>
      </c>
      <c r="AA83">
        <v>3224</v>
      </c>
      <c r="AB83" s="12">
        <v>9088</v>
      </c>
      <c r="AC83">
        <v>279</v>
      </c>
      <c r="AD83">
        <v>3746</v>
      </c>
      <c r="AE83">
        <v>80</v>
      </c>
      <c r="AF83" s="1">
        <f>SUMPRODUCT({449.5,349.5,249.5}, {0.098,0.01,0})</f>
        <v>47.545999999999999</v>
      </c>
      <c r="AG83">
        <v>91.7</v>
      </c>
      <c r="AH83">
        <v>0.2</v>
      </c>
      <c r="AI83">
        <v>570</v>
      </c>
      <c r="AJ83">
        <v>680</v>
      </c>
      <c r="AK83">
        <v>600</v>
      </c>
      <c r="AL83">
        <v>710</v>
      </c>
    </row>
    <row r="84" spans="1:42" ht="24" customHeight="1">
      <c r="A84" s="12">
        <v>2016</v>
      </c>
      <c r="B84" t="s">
        <v>46</v>
      </c>
      <c r="C84" s="12">
        <f>(8621+10561)/(23728+23783)</f>
        <v>0.40373808170739406</v>
      </c>
      <c r="D84" s="12">
        <f>(3921+69+4649+80)/(23728+23783)</f>
        <v>0.1835153964345099</v>
      </c>
      <c r="E84" s="12">
        <v>51331</v>
      </c>
      <c r="F84" s="12">
        <v>40168</v>
      </c>
      <c r="G84" s="12">
        <v>11163</v>
      </c>
      <c r="H84" s="12">
        <v>10165</v>
      </c>
      <c r="I84" s="12">
        <v>3229</v>
      </c>
      <c r="J84" s="9">
        <f>896+490</f>
        <v>1386</v>
      </c>
      <c r="K84" s="12">
        <v>3071</v>
      </c>
      <c r="L84">
        <f t="shared" si="1"/>
        <v>16.714750895473788</v>
      </c>
      <c r="M84">
        <v>11945</v>
      </c>
      <c r="N84">
        <v>2511</v>
      </c>
      <c r="O84" s="12">
        <v>9077</v>
      </c>
      <c r="P84" s="12">
        <v>17058</v>
      </c>
      <c r="Q84" s="12">
        <v>1672</v>
      </c>
      <c r="R84">
        <v>4.5999999999999996</v>
      </c>
      <c r="S84">
        <v>11.2</v>
      </c>
      <c r="T84" s="1">
        <f>4.6+11.8+2.7</f>
        <v>19.099999999999998</v>
      </c>
      <c r="U84" s="1">
        <v>3</v>
      </c>
      <c r="V84">
        <v>399</v>
      </c>
      <c r="W84" s="10">
        <f>225+1140</f>
        <v>1365</v>
      </c>
      <c r="X84" s="14">
        <v>10136</v>
      </c>
      <c r="Y84" s="1">
        <f>(15.4+17.9)/2</f>
        <v>16.649999999999999</v>
      </c>
      <c r="Z84">
        <v>3395</v>
      </c>
      <c r="AA84">
        <v>3210</v>
      </c>
      <c r="AB84" s="17">
        <v>9587</v>
      </c>
      <c r="AC84">
        <v>308</v>
      </c>
      <c r="AD84">
        <v>3986</v>
      </c>
      <c r="AE84" s="1">
        <v>81</v>
      </c>
      <c r="AF84" s="1">
        <f>SUMPRODUCT({449.5,349.5,249.5}, {0.053,0.005,0})</f>
        <v>25.570999999999998</v>
      </c>
      <c r="AG84" s="1">
        <v>91.7</v>
      </c>
      <c r="AH84" s="1">
        <v>0.3</v>
      </c>
      <c r="AI84">
        <v>560</v>
      </c>
      <c r="AJ84">
        <v>680</v>
      </c>
      <c r="AK84">
        <v>580</v>
      </c>
      <c r="AL84">
        <v>730</v>
      </c>
    </row>
    <row r="85" spans="1:42" ht="24" customHeight="1">
      <c r="A85" s="12">
        <v>2017</v>
      </c>
      <c r="B85" t="s">
        <v>46</v>
      </c>
      <c r="C85" s="12">
        <f>(8059+10561)/(25137+25896)</f>
        <v>0.36486195207022909</v>
      </c>
      <c r="D85" s="12">
        <f>(3591+62+4647+81)/(25137+25896)</f>
        <v>0.16422706875943016</v>
      </c>
      <c r="E85" s="12">
        <v>51525</v>
      </c>
      <c r="F85" s="12">
        <v>40492</v>
      </c>
      <c r="G85" s="12">
        <v>11033</v>
      </c>
      <c r="H85" s="12">
        <v>10105</v>
      </c>
      <c r="I85" s="12">
        <v>2976</v>
      </c>
      <c r="J85" s="9">
        <f>827+457</f>
        <v>1284</v>
      </c>
      <c r="K85" s="12">
        <v>3133</v>
      </c>
      <c r="L85">
        <f t="shared" si="1"/>
        <v>16.445898499840407</v>
      </c>
      <c r="M85">
        <v>12067</v>
      </c>
      <c r="N85">
        <v>2245</v>
      </c>
      <c r="O85" s="12">
        <v>9312</v>
      </c>
      <c r="P85" s="12">
        <v>16832</v>
      </c>
      <c r="Q85" s="12">
        <v>1632</v>
      </c>
      <c r="R85">
        <v>4.3</v>
      </c>
      <c r="S85">
        <v>11.6</v>
      </c>
      <c r="T85" s="1">
        <f>4.7+11.5+3.1</f>
        <v>19.3</v>
      </c>
      <c r="U85" s="1">
        <v>2.9</v>
      </c>
      <c r="V85">
        <v>398</v>
      </c>
      <c r="W85" s="10">
        <f>254+1126</f>
        <v>1380</v>
      </c>
      <c r="X85" s="14">
        <v>10398</v>
      </c>
      <c r="Y85" s="1">
        <f>(14.6+17.6)/2</f>
        <v>16.100000000000001</v>
      </c>
      <c r="Z85">
        <v>3618</v>
      </c>
      <c r="AA85">
        <v>3355</v>
      </c>
      <c r="AB85" s="17">
        <v>9457</v>
      </c>
      <c r="AC85">
        <v>208</v>
      </c>
      <c r="AD85">
        <v>4088</v>
      </c>
      <c r="AE85" s="1">
        <v>82.9</v>
      </c>
      <c r="AF85" s="1">
        <f>SUMPRODUCT({449.5,349.5,249.5}, {0.018,0.001,0})</f>
        <v>8.4405000000000001</v>
      </c>
      <c r="AG85" s="1">
        <v>95</v>
      </c>
      <c r="AH85" s="1">
        <v>0</v>
      </c>
      <c r="AI85">
        <v>620</v>
      </c>
      <c r="AJ85">
        <v>720</v>
      </c>
      <c r="AK85">
        <v>610</v>
      </c>
      <c r="AL85">
        <v>740</v>
      </c>
    </row>
    <row r="86" spans="1:42" ht="24" customHeight="1">
      <c r="A86" s="12">
        <v>2018</v>
      </c>
      <c r="B86" t="s">
        <v>46</v>
      </c>
      <c r="C86" s="12">
        <f>(8597+10885)/(24894+25681)</f>
        <v>0.38521008403361345</v>
      </c>
      <c r="D86" s="12">
        <f>(3885+54+4932+89)/(24894+25681)</f>
        <v>0.17716262975778546</v>
      </c>
      <c r="E86" s="12">
        <v>51832</v>
      </c>
      <c r="F86" s="12">
        <v>40804</v>
      </c>
      <c r="G86" s="12">
        <v>11028</v>
      </c>
      <c r="H86" s="12">
        <v>9888</v>
      </c>
      <c r="I86" s="12">
        <v>3079</v>
      </c>
      <c r="J86" s="9">
        <f>855+405</f>
        <v>1260</v>
      </c>
      <c r="K86" s="12">
        <v>2994</v>
      </c>
      <c r="L86">
        <f t="shared" si="1"/>
        <v>17.311957247828992</v>
      </c>
      <c r="M86">
        <v>11640</v>
      </c>
      <c r="N86">
        <v>1581</v>
      </c>
      <c r="O86" s="12">
        <v>9564</v>
      </c>
      <c r="P86" s="12">
        <v>16358</v>
      </c>
      <c r="Q86" s="12">
        <v>1712</v>
      </c>
      <c r="R86">
        <v>4.4000000000000004</v>
      </c>
      <c r="S86">
        <v>12.2</v>
      </c>
      <c r="T86" s="1">
        <f>4.3+12.8+2.9</f>
        <v>20</v>
      </c>
      <c r="U86" s="1">
        <v>2.6</v>
      </c>
      <c r="V86">
        <v>377</v>
      </c>
      <c r="W86" s="10">
        <f>358+1143</f>
        <v>1501</v>
      </c>
      <c r="X86" s="14">
        <v>10610</v>
      </c>
      <c r="Y86" s="1">
        <f>(13.3+20.4)/2</f>
        <v>16.850000000000001</v>
      </c>
      <c r="Z86">
        <v>4026</v>
      </c>
      <c r="AA86">
        <v>3322</v>
      </c>
      <c r="AB86" s="17">
        <v>9535</v>
      </c>
      <c r="AC86">
        <v>264</v>
      </c>
      <c r="AD86">
        <v>4892</v>
      </c>
      <c r="AE86" s="1">
        <v>82.8</v>
      </c>
      <c r="AF86" s="1">
        <f>SUMPRODUCT({449.5,349.5,249.5}, {0.017,0.001,0})</f>
        <v>7.9910000000000005</v>
      </c>
      <c r="AG86" s="1">
        <v>95.3</v>
      </c>
      <c r="AH86" s="1">
        <v>0.1</v>
      </c>
      <c r="AI86">
        <v>620</v>
      </c>
      <c r="AJ86">
        <v>720</v>
      </c>
      <c r="AK86">
        <v>610</v>
      </c>
      <c r="AL86">
        <v>760</v>
      </c>
    </row>
    <row r="87" spans="1:42" ht="24" customHeight="1">
      <c r="A87" s="12">
        <v>2019</v>
      </c>
      <c r="B87" t="s">
        <v>46</v>
      </c>
      <c r="C87" s="12">
        <f>(7374+9655)/(26394+27131)</f>
        <v>0.31815039701074266</v>
      </c>
      <c r="D87" s="12">
        <f>(3504+64+4503+99)/(26394+27131)</f>
        <v>0.15263895375992526</v>
      </c>
      <c r="E87" s="12">
        <v>51090</v>
      </c>
      <c r="F87" s="12">
        <v>40163</v>
      </c>
      <c r="G87" s="12">
        <v>10927</v>
      </c>
      <c r="H87" s="12">
        <v>10098</v>
      </c>
      <c r="I87" s="12">
        <v>2997</v>
      </c>
      <c r="J87" s="9">
        <f>873+429</f>
        <v>1302</v>
      </c>
      <c r="K87" s="12">
        <v>4037</v>
      </c>
      <c r="L87">
        <f t="shared" si="1"/>
        <v>12.655437205845924</v>
      </c>
      <c r="M87">
        <v>11894</v>
      </c>
      <c r="N87">
        <v>1681</v>
      </c>
      <c r="O87" s="12">
        <v>9800</v>
      </c>
      <c r="P87" s="12">
        <v>15565</v>
      </c>
      <c r="Q87" s="12">
        <v>1686</v>
      </c>
      <c r="R87">
        <v>4.8</v>
      </c>
      <c r="S87">
        <v>11.6</v>
      </c>
      <c r="T87" s="1">
        <f>3.6+12.7+2.9</f>
        <v>19.2</v>
      </c>
      <c r="U87" s="1">
        <v>3</v>
      </c>
      <c r="V87">
        <v>393</v>
      </c>
      <c r="W87" s="10">
        <f>398+1112</f>
        <v>1510</v>
      </c>
      <c r="X87" s="14">
        <v>10824</v>
      </c>
      <c r="Y87" s="1">
        <f>(13.2+17.2)/2</f>
        <v>15.2</v>
      </c>
      <c r="Z87">
        <v>7711</v>
      </c>
      <c r="AA87">
        <v>2697</v>
      </c>
      <c r="AB87" s="17">
        <v>9659</v>
      </c>
      <c r="AC87">
        <v>202</v>
      </c>
      <c r="AD87">
        <v>4675</v>
      </c>
      <c r="AE87" s="1">
        <v>85.6</v>
      </c>
      <c r="AF87" s="1">
        <f>SUMPRODUCT({449.5,349.5,249.5}, {0.02,0.001,0})</f>
        <v>9.339500000000001</v>
      </c>
      <c r="AG87" s="1">
        <v>96.2</v>
      </c>
      <c r="AH87" s="1">
        <v>0.2</v>
      </c>
      <c r="AI87">
        <v>620</v>
      </c>
      <c r="AJ87">
        <v>720</v>
      </c>
      <c r="AK87">
        <v>610</v>
      </c>
      <c r="AL87">
        <v>760</v>
      </c>
    </row>
    <row r="88" spans="1:42" ht="24" customHeight="1">
      <c r="A88" s="12">
        <v>2020</v>
      </c>
      <c r="B88" t="s">
        <v>46</v>
      </c>
      <c r="C88" s="12">
        <f>(7599+10692)/(27660+29581)</f>
        <v>0.31954368372320541</v>
      </c>
      <c r="D88" s="12">
        <f>(3442+37+4876+104)/(27660+29581)</f>
        <v>0.14777869009975367</v>
      </c>
      <c r="E88" s="12">
        <v>50476</v>
      </c>
      <c r="F88" s="12">
        <v>40048</v>
      </c>
      <c r="G88" s="12">
        <v>10428</v>
      </c>
      <c r="H88" s="12">
        <v>10815</v>
      </c>
      <c r="I88" s="12">
        <v>2996</v>
      </c>
      <c r="J88" s="9">
        <f>806+504</f>
        <v>1310</v>
      </c>
      <c r="K88" s="12">
        <v>3111</v>
      </c>
      <c r="L88">
        <f t="shared" si="1"/>
        <v>16.225008036001284</v>
      </c>
      <c r="M88">
        <v>11666</v>
      </c>
      <c r="N88">
        <v>1685</v>
      </c>
      <c r="O88" s="12">
        <v>10448</v>
      </c>
      <c r="P88" s="12">
        <v>14937</v>
      </c>
      <c r="Q88" s="12">
        <v>1796</v>
      </c>
      <c r="R88">
        <v>4.97</v>
      </c>
      <c r="S88">
        <v>11.58</v>
      </c>
      <c r="T88" s="1">
        <f>4.11+12.74+2.95</f>
        <v>19.8</v>
      </c>
      <c r="U88" s="1">
        <v>3.22</v>
      </c>
      <c r="V88">
        <v>267</v>
      </c>
      <c r="W88" s="10">
        <f>857+1774</f>
        <v>2631</v>
      </c>
      <c r="X88" s="14">
        <v>11448</v>
      </c>
      <c r="Y88" s="1">
        <f>(12+16)/2</f>
        <v>14</v>
      </c>
      <c r="Z88">
        <v>8905</v>
      </c>
      <c r="AA88">
        <v>2725</v>
      </c>
      <c r="AB88" s="17">
        <v>9342</v>
      </c>
      <c r="AC88">
        <v>170</v>
      </c>
      <c r="AD88">
        <v>4911</v>
      </c>
      <c r="AE88" s="1">
        <v>87.6</v>
      </c>
      <c r="AF88" s="1">
        <f>SUMPRODUCT({449.5,349.5,249.5}, {0.021,0.002,0})</f>
        <v>10.138500000000001</v>
      </c>
      <c r="AG88" s="1">
        <v>96.1</v>
      </c>
      <c r="AH88" s="1">
        <v>0</v>
      </c>
      <c r="AI88">
        <v>610</v>
      </c>
      <c r="AJ88">
        <v>720</v>
      </c>
      <c r="AK88">
        <v>600</v>
      </c>
      <c r="AL88">
        <v>750</v>
      </c>
      <c r="AM88">
        <f>30+9+24+9</f>
        <v>72</v>
      </c>
      <c r="AN88">
        <f>8+7+17</f>
        <v>32</v>
      </c>
      <c r="AO88" s="7">
        <v>7</v>
      </c>
      <c r="AP88">
        <v>5</v>
      </c>
    </row>
    <row r="89" spans="1:42" ht="24" customHeight="1">
      <c r="A89" s="12">
        <v>2021</v>
      </c>
      <c r="B89" t="s">
        <v>46</v>
      </c>
      <c r="C89" s="12">
        <f>(7756+11233)/(31417+34626)</f>
        <v>0.28752479445209939</v>
      </c>
      <c r="D89" s="12">
        <f>9060/66043</f>
        <v>0.13718335024150932</v>
      </c>
      <c r="E89" s="12">
        <v>51991</v>
      </c>
      <c r="F89" s="12">
        <v>40916</v>
      </c>
      <c r="G89" s="12">
        <v>11075</v>
      </c>
      <c r="H89" s="12">
        <v>10592</v>
      </c>
      <c r="I89" s="12">
        <v>3093</v>
      </c>
      <c r="J89" s="9">
        <f>733+557</f>
        <v>1290</v>
      </c>
      <c r="K89" s="12">
        <v>3206</v>
      </c>
      <c r="L89">
        <f t="shared" si="1"/>
        <v>16.216781035558327</v>
      </c>
      <c r="M89">
        <v>15725</v>
      </c>
      <c r="N89">
        <v>1756</v>
      </c>
      <c r="O89" s="12">
        <v>11087</v>
      </c>
      <c r="P89" s="12">
        <v>14357</v>
      </c>
      <c r="Q89" s="12">
        <v>1824</v>
      </c>
      <c r="R89">
        <v>5.72</v>
      </c>
      <c r="S89">
        <v>11.08</v>
      </c>
      <c r="T89" s="1">
        <f>4.14+12.23+2.85</f>
        <v>19.220000000000002</v>
      </c>
      <c r="U89" s="1">
        <v>3.73</v>
      </c>
      <c r="V89">
        <v>371</v>
      </c>
      <c r="W89" s="10">
        <f>430+1196</f>
        <v>1626</v>
      </c>
      <c r="X89" s="14">
        <v>11752</v>
      </c>
      <c r="Y89" s="1">
        <f>(11+17)/2</f>
        <v>14</v>
      </c>
      <c r="Z89">
        <v>10506</v>
      </c>
      <c r="AA89">
        <v>2809</v>
      </c>
      <c r="AB89" s="17">
        <v>12536</v>
      </c>
      <c r="AC89">
        <v>172</v>
      </c>
      <c r="AD89">
        <v>5285</v>
      </c>
      <c r="AE89" s="1">
        <v>87.7</v>
      </c>
      <c r="AF89" s="1">
        <f>SUMPRODUCT({449.5,349.5,249.5}, {0,0,0})</f>
        <v>0</v>
      </c>
      <c r="AM89">
        <f>16+14+4+27+12</f>
        <v>73</v>
      </c>
      <c r="AN89">
        <f>3+8+18</f>
        <v>29</v>
      </c>
      <c r="AO89" s="7">
        <v>12</v>
      </c>
      <c r="AP89">
        <v>5</v>
      </c>
    </row>
    <row r="90" spans="1:42" ht="24" customHeight="1">
      <c r="A90" s="12">
        <v>2022</v>
      </c>
      <c r="B90" t="s">
        <v>46</v>
      </c>
      <c r="C90" s="12">
        <f>(7598+11172)/(28507+31260)</f>
        <v>0.31405290544949555</v>
      </c>
      <c r="D90" s="12">
        <f>(3570+51+5409+79)/(28507+31260)</f>
        <v>0.15240851975170244</v>
      </c>
      <c r="E90" s="12">
        <v>52384</v>
      </c>
      <c r="F90" s="12">
        <v>41309</v>
      </c>
      <c r="G90" s="12">
        <v>11075</v>
      </c>
      <c r="H90" s="12">
        <v>10374</v>
      </c>
      <c r="I90" s="12">
        <v>2965</v>
      </c>
      <c r="J90" s="9">
        <f>809+451</f>
        <v>1260</v>
      </c>
      <c r="K90" s="12">
        <v>3254</v>
      </c>
      <c r="L90">
        <f t="shared" si="1"/>
        <v>16.098340503995082</v>
      </c>
      <c r="M90">
        <v>16236</v>
      </c>
      <c r="N90">
        <v>1739</v>
      </c>
      <c r="O90" s="12">
        <v>11538</v>
      </c>
      <c r="P90" s="12">
        <v>13732</v>
      </c>
      <c r="Q90" s="12">
        <v>1861</v>
      </c>
      <c r="R90">
        <v>5.33</v>
      </c>
      <c r="S90">
        <v>11.12</v>
      </c>
      <c r="T90" s="1">
        <f>4.4+12.16+3.45</f>
        <v>20.010000000000002</v>
      </c>
      <c r="U90" s="1">
        <v>4.04</v>
      </c>
      <c r="V90">
        <v>391</v>
      </c>
      <c r="W90" s="10">
        <f>495+1180</f>
        <v>1675</v>
      </c>
      <c r="X90" s="14">
        <v>11698</v>
      </c>
      <c r="Y90" s="1">
        <f>(13+15.4)/2</f>
        <v>14.2</v>
      </c>
      <c r="Z90">
        <v>1427</v>
      </c>
      <c r="AA90">
        <v>2882</v>
      </c>
      <c r="AB90" s="17">
        <v>13616</v>
      </c>
      <c r="AC90">
        <v>162</v>
      </c>
      <c r="AD90">
        <v>6191</v>
      </c>
      <c r="AE90" s="1">
        <v>87.8</v>
      </c>
      <c r="AF90" s="1"/>
      <c r="AM90">
        <f>23+13+15+17+17+3</f>
        <v>88</v>
      </c>
      <c r="AN90">
        <f>8+6+27</f>
        <v>41</v>
      </c>
      <c r="AO90" s="7">
        <v>58</v>
      </c>
      <c r="AP90">
        <v>1</v>
      </c>
    </row>
    <row r="91" spans="1:42" ht="24" customHeight="1">
      <c r="A91" s="12">
        <v>2023</v>
      </c>
      <c r="B91" t="s">
        <v>46</v>
      </c>
      <c r="C91" s="12">
        <f>19253/66109</f>
        <v>0.29123114855768506</v>
      </c>
      <c r="D91" s="12">
        <f>9385/66109</f>
        <v>0.14196251645010513</v>
      </c>
      <c r="E91" s="12">
        <f>42444+10638</f>
        <v>53082</v>
      </c>
      <c r="F91" s="12">
        <v>42444</v>
      </c>
      <c r="G91" s="12">
        <v>10638</v>
      </c>
      <c r="H91" s="12">
        <v>10094</v>
      </c>
      <c r="I91" s="12">
        <v>3390</v>
      </c>
      <c r="J91" s="9">
        <f>842+449</f>
        <v>1291</v>
      </c>
      <c r="K91" s="12">
        <v>3244</v>
      </c>
      <c r="L91">
        <f t="shared" si="1"/>
        <v>16.363131935881629</v>
      </c>
      <c r="M91">
        <v>16252</v>
      </c>
      <c r="N91">
        <v>1743</v>
      </c>
      <c r="O91" s="12">
        <v>11963</v>
      </c>
      <c r="P91" s="12">
        <v>13421</v>
      </c>
      <c r="Q91" s="12">
        <v>1978</v>
      </c>
      <c r="R91">
        <v>5.56</v>
      </c>
      <c r="S91">
        <v>11.62</v>
      </c>
      <c r="T91" s="1">
        <f>4.66+13.68+3.05</f>
        <v>21.39</v>
      </c>
      <c r="U91" s="1">
        <v>3.86</v>
      </c>
      <c r="V91">
        <v>400</v>
      </c>
      <c r="W91" s="10">
        <f>419+1161</f>
        <v>1580</v>
      </c>
      <c r="X91" s="14">
        <v>11678</v>
      </c>
      <c r="Y91" s="1">
        <f>(13+16)/2</f>
        <v>14.5</v>
      </c>
      <c r="Z91">
        <v>1383</v>
      </c>
      <c r="AA91">
        <v>2979</v>
      </c>
      <c r="AB91" s="17">
        <v>13930</v>
      </c>
      <c r="AC91">
        <v>198</v>
      </c>
      <c r="AD91">
        <v>6001</v>
      </c>
      <c r="AE91" s="1">
        <v>88</v>
      </c>
      <c r="AF91" s="1"/>
    </row>
  </sheetData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7f4b8a2-ad4f-41b5-9a91-284d2cc38f56}" enabled="1" method="Standard" siteId="{70de1992-07c6-480f-a318-a1afcba0398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Bayola, Dylan</dc:creator>
  <cp:lastModifiedBy>Bayola, Dylan</cp:lastModifiedBy>
  <dcterms:created xsi:type="dcterms:W3CDTF">2024-10-09T15:03:59Z</dcterms:created>
  <dcterms:modified xsi:type="dcterms:W3CDTF">2024-11-17T20:16:11Z</dcterms:modified>
</cp:coreProperties>
</file>