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ICARDO\Desktop\LORE DIC 2016\"/>
    </mc:Choice>
  </mc:AlternateContent>
  <bookViews>
    <workbookView xWindow="0" yWindow="465" windowWidth="38400" windowHeight="19545" activeTab="1"/>
  </bookViews>
  <sheets>
    <sheet name="CORPORATION_Simulador" sheetId="2" r:id="rId1"/>
    <sheet name="MMG EXPERTOS_Simulador" sheetId="3" r:id="rId2"/>
  </sheets>
  <calcPr calcId="152511"/>
</workbook>
</file>

<file path=xl/calcChain.xml><?xml version="1.0" encoding="utf-8"?>
<calcChain xmlns="http://schemas.openxmlformats.org/spreadsheetml/2006/main">
  <c r="G86" i="3" l="1"/>
  <c r="G61" i="3"/>
  <c r="G19" i="3"/>
  <c r="G69" i="3"/>
  <c r="H53" i="2"/>
  <c r="I32" i="2"/>
  <c r="I56" i="2"/>
  <c r="H32" i="2"/>
  <c r="G13" i="3"/>
  <c r="G77" i="3"/>
  <c r="G78" i="3"/>
  <c r="G79" i="3"/>
  <c r="G12" i="3"/>
  <c r="H80" i="3"/>
  <c r="G60" i="3"/>
  <c r="G50" i="3"/>
  <c r="I113" i="2"/>
  <c r="I98" i="2"/>
  <c r="I84" i="2"/>
  <c r="I70" i="2"/>
  <c r="I28" i="2"/>
  <c r="I21" i="2"/>
  <c r="H64" i="3"/>
  <c r="H54" i="3"/>
  <c r="H42" i="3"/>
  <c r="H34" i="3"/>
  <c r="H23" i="3"/>
  <c r="I115" i="2" l="1"/>
  <c r="I117" i="2" s="1"/>
  <c r="I121" i="2" s="1"/>
  <c r="H66" i="3"/>
  <c r="H82" i="3" s="1"/>
  <c r="H84" i="3" s="1"/>
  <c r="H105" i="3" s="1"/>
  <c r="G7" i="3"/>
  <c r="B64" i="2"/>
  <c r="H56" i="2"/>
  <c r="H113" i="2"/>
  <c r="H98" i="2"/>
  <c r="H84" i="2"/>
  <c r="H70" i="2"/>
  <c r="H28" i="2"/>
  <c r="H21" i="2"/>
  <c r="G64" i="3"/>
  <c r="G54" i="3"/>
  <c r="G42" i="3"/>
  <c r="G34" i="3"/>
  <c r="G23" i="3"/>
  <c r="H115" i="2" l="1"/>
  <c r="H117" i="2" s="1"/>
  <c r="H121" i="2" s="1"/>
  <c r="G66" i="3"/>
  <c r="F86" i="3"/>
  <c r="G7" i="2"/>
  <c r="G32" i="2"/>
  <c r="F78" i="3"/>
  <c r="F69" i="3"/>
  <c r="F60" i="3"/>
  <c r="F79" i="3"/>
  <c r="F73" i="3"/>
  <c r="F13" i="3"/>
  <c r="F12" i="3"/>
  <c r="F7" i="3"/>
  <c r="F8" i="3" l="1"/>
  <c r="F16" i="3"/>
  <c r="F102" i="3"/>
  <c r="G80" i="3" s="1"/>
  <c r="G82" i="3" s="1"/>
  <c r="G84" i="3" s="1"/>
  <c r="G105" i="3" s="1"/>
  <c r="F17" i="3"/>
  <c r="F103" i="3"/>
  <c r="F50" i="3"/>
  <c r="F52" i="3"/>
  <c r="C107" i="3" l="1"/>
  <c r="B107" i="3"/>
  <c r="E101" i="3"/>
  <c r="F77" i="3" s="1"/>
  <c r="E99" i="3"/>
  <c r="C92" i="3"/>
  <c r="C91" i="3"/>
  <c r="B89" i="3"/>
  <c r="C80" i="3"/>
  <c r="E79" i="3"/>
  <c r="D79" i="3"/>
  <c r="C79" i="3"/>
  <c r="B79" i="3"/>
  <c r="E78" i="3"/>
  <c r="C78" i="3"/>
  <c r="B78" i="3"/>
  <c r="F80" i="3"/>
  <c r="B77" i="3"/>
  <c r="B76" i="3"/>
  <c r="B73" i="3"/>
  <c r="B70" i="3"/>
  <c r="E69" i="3"/>
  <c r="E80" i="3" s="1"/>
  <c r="D69" i="3"/>
  <c r="D80" i="3" s="1"/>
  <c r="B69" i="3"/>
  <c r="F64" i="3"/>
  <c r="B63" i="3"/>
  <c r="C62" i="3"/>
  <c r="C64" i="3" s="1"/>
  <c r="B62" i="3"/>
  <c r="B64" i="3" s="1"/>
  <c r="E61" i="3"/>
  <c r="D61" i="3"/>
  <c r="D64" i="3" s="1"/>
  <c r="E60" i="3"/>
  <c r="E59" i="3"/>
  <c r="E58" i="3"/>
  <c r="E57" i="3"/>
  <c r="F54" i="3"/>
  <c r="D51" i="3"/>
  <c r="E50" i="3"/>
  <c r="E54" i="3" s="1"/>
  <c r="D50" i="3"/>
  <c r="C50" i="3"/>
  <c r="C54" i="3" s="1"/>
  <c r="B50" i="3"/>
  <c r="B54" i="3" s="1"/>
  <c r="F42" i="3"/>
  <c r="E42" i="3"/>
  <c r="D41" i="3"/>
  <c r="D40" i="3"/>
  <c r="C38" i="3"/>
  <c r="C42" i="3" s="1"/>
  <c r="B37" i="3"/>
  <c r="B42" i="3" s="1"/>
  <c r="F34" i="3"/>
  <c r="E34" i="3"/>
  <c r="D34" i="3"/>
  <c r="C34" i="3"/>
  <c r="B26" i="3"/>
  <c r="B34" i="3" s="1"/>
  <c r="F23" i="3"/>
  <c r="D21" i="3"/>
  <c r="E16" i="3"/>
  <c r="E13" i="3"/>
  <c r="D13" i="3"/>
  <c r="C13" i="3"/>
  <c r="B13" i="3"/>
  <c r="E12" i="3"/>
  <c r="E23" i="3" s="1"/>
  <c r="D12" i="3"/>
  <c r="C12" i="3"/>
  <c r="C23" i="3" s="1"/>
  <c r="B12" i="3"/>
  <c r="B23" i="3" s="1"/>
  <c r="E8" i="3"/>
  <c r="E7" i="3"/>
  <c r="C7" i="3"/>
  <c r="B7" i="3"/>
  <c r="G113" i="2"/>
  <c r="F113" i="2"/>
  <c r="E113" i="2"/>
  <c r="D113" i="2"/>
  <c r="C111" i="2"/>
  <c r="C107" i="2"/>
  <c r="E98" i="2"/>
  <c r="D95" i="2"/>
  <c r="D98" i="2" s="1"/>
  <c r="C95" i="2"/>
  <c r="C92" i="2"/>
  <c r="G98" i="2"/>
  <c r="F90" i="2"/>
  <c r="F98" i="2" s="1"/>
  <c r="C89" i="2"/>
  <c r="C87" i="2"/>
  <c r="C98" i="2" s="1"/>
  <c r="G84" i="2"/>
  <c r="F84" i="2"/>
  <c r="E84" i="2"/>
  <c r="C84" i="2"/>
  <c r="D83" i="2"/>
  <c r="D84" i="2" s="1"/>
  <c r="G70" i="2"/>
  <c r="F70" i="2"/>
  <c r="E70" i="2"/>
  <c r="D70" i="2"/>
  <c r="C68" i="2"/>
  <c r="C65" i="2"/>
  <c r="C64" i="2"/>
  <c r="B70" i="2"/>
  <c r="C62" i="2"/>
  <c r="C61" i="2"/>
  <c r="C60" i="2"/>
  <c r="C59" i="2"/>
  <c r="C55" i="2"/>
  <c r="F53" i="2"/>
  <c r="E53" i="2"/>
  <c r="D53" i="2"/>
  <c r="C53" i="2"/>
  <c r="E52" i="2"/>
  <c r="D51" i="2"/>
  <c r="C51" i="2"/>
  <c r="D46" i="2"/>
  <c r="C46" i="2"/>
  <c r="C44" i="2"/>
  <c r="C43" i="2"/>
  <c r="C38" i="2"/>
  <c r="C35" i="2"/>
  <c r="G56" i="2"/>
  <c r="F32" i="2"/>
  <c r="E32" i="2"/>
  <c r="D32" i="2"/>
  <c r="C32" i="2"/>
  <c r="G28" i="2"/>
  <c r="F28" i="2"/>
  <c r="E28" i="2"/>
  <c r="D28" i="2"/>
  <c r="C24" i="2"/>
  <c r="C28" i="2" s="1"/>
  <c r="G21" i="2"/>
  <c r="F21" i="2"/>
  <c r="E21" i="2"/>
  <c r="D21" i="2"/>
  <c r="C14" i="2"/>
  <c r="C13" i="2"/>
  <c r="C11" i="2"/>
  <c r="C10" i="2"/>
  <c r="E7" i="2"/>
  <c r="C6" i="2"/>
  <c r="D23" i="3" l="1"/>
  <c r="C113" i="2"/>
  <c r="F56" i="2"/>
  <c r="F115" i="2" s="1"/>
  <c r="F117" i="2" s="1"/>
  <c r="F121" i="2" s="1"/>
  <c r="C70" i="2"/>
  <c r="D56" i="2"/>
  <c r="G115" i="2"/>
  <c r="G117" i="2" s="1"/>
  <c r="G121" i="2" s="1"/>
  <c r="E56" i="2"/>
  <c r="E115" i="2" s="1"/>
  <c r="C56" i="2"/>
  <c r="C115" i="2" s="1"/>
  <c r="C117" i="2" s="1"/>
  <c r="C121" i="2" s="1"/>
  <c r="C124" i="2" s="1"/>
  <c r="C21" i="2"/>
  <c r="D54" i="3"/>
  <c r="B80" i="3"/>
  <c r="E64" i="3"/>
  <c r="E66" i="3" s="1"/>
  <c r="E82" i="3" s="1"/>
  <c r="E84" i="3" s="1"/>
  <c r="E105" i="3" s="1"/>
  <c r="E107" i="3" s="1"/>
  <c r="D42" i="3"/>
  <c r="F66" i="3"/>
  <c r="F82" i="3" s="1"/>
  <c r="B66" i="3"/>
  <c r="B82" i="3" s="1"/>
  <c r="B84" i="3" s="1"/>
  <c r="B105" i="3" s="1"/>
  <c r="B108" i="3" s="1"/>
  <c r="C6" i="3" s="1"/>
  <c r="C66" i="3"/>
  <c r="C82" i="3" s="1"/>
  <c r="D115" i="2"/>
  <c r="D117" i="2" s="1"/>
  <c r="D121" i="2" s="1"/>
  <c r="D66" i="3"/>
  <c r="D82" i="3" s="1"/>
  <c r="C84" i="3" l="1"/>
  <c r="C105" i="3" s="1"/>
  <c r="C108" i="3" s="1"/>
  <c r="D6" i="3" s="1"/>
  <c r="D84" i="3" s="1"/>
  <c r="D105" i="3" s="1"/>
  <c r="F84" i="3"/>
  <c r="F105" i="3" s="1"/>
  <c r="F108" i="3" s="1"/>
  <c r="E5" i="2"/>
  <c r="E117" i="2" s="1"/>
  <c r="E121" i="2" s="1"/>
  <c r="D124" i="2"/>
</calcChain>
</file>

<file path=xl/comments1.xml><?xml version="1.0" encoding="utf-8"?>
<comments xmlns="http://schemas.openxmlformats.org/spreadsheetml/2006/main">
  <authors>
    <author>Lorena P. Herrera Martínez</author>
    <author>Usuario</author>
    <author>.</author>
  </authors>
  <commentList>
    <comment ref="E7" authorId="0" shapeId="0">
      <text>
        <r>
          <rPr>
            <sz val="11"/>
            <color indexed="8"/>
            <rFont val="Helvetica Neue"/>
          </rPr>
          <t>Lorena P. Herrera Martínez:
Préstamos Magdu
$250,000 - 04 mar
$50,000 - 19 mar
MMG
$300,000 - 26 mar</t>
        </r>
      </text>
    </comment>
    <comment ref="G7" authorId="0" shapeId="0">
      <text>
        <r>
          <rPr>
            <b/>
            <sz val="9"/>
            <color rgb="FF000000"/>
            <rFont val="Tahoma"/>
            <family val="2"/>
          </rPr>
          <t xml:space="preserve">$65,932.70 - MMG mediante factura
</t>
        </r>
        <r>
          <rPr>
            <b/>
            <sz val="9"/>
            <color rgb="FF000000"/>
            <rFont val="Tahoma"/>
            <family val="2"/>
          </rPr>
          <t xml:space="preserve">$155,161.44 - MMG por fuera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C13" authorId="1" shapeId="0">
      <text>
        <r>
          <rPr>
            <sz val="11"/>
            <color indexed="8"/>
            <rFont val="Helvetica Neue"/>
          </rPr>
          <t xml:space="preserve">Usuario:
$30,000 - Emigdio
$18,000 - Lorena Herrera
$12,000 - Lorena Frias
</t>
        </r>
      </text>
    </comment>
    <comment ref="C24" authorId="1" shapeId="0">
      <text>
        <r>
          <rPr>
            <sz val="11"/>
            <color indexed="8"/>
            <rFont val="Helvetica Neue"/>
          </rPr>
          <t>Usuario:
$4,408 - Flete Coatza</t>
        </r>
      </text>
    </comment>
    <comment ref="C35" authorId="0" shapeId="0">
      <text>
        <r>
          <rPr>
            <sz val="11"/>
            <color indexed="8"/>
            <rFont val="Helvetica Neue"/>
          </rPr>
          <t xml:space="preserve">Lorena P. Herrera Martínez:
Pagos a Crsitóbal Sánchez
$20,000
$2,500
$3,100
</t>
        </r>
      </text>
    </comment>
    <comment ref="A36" authorId="0" shapeId="0">
      <text>
        <r>
          <rPr>
            <sz val="11"/>
            <color indexed="8"/>
            <rFont val="Helvetica Neue"/>
          </rPr>
          <t xml:space="preserve">Lorena P. Herrera Martínez:
Convenio para finiquitar demandas de INPRO dentro de la junta de cociliación y arbitraje. El acuerdo total para finiquitar a las __ personas fue dar un anticipo de $15mil pesos (dado el 11/ene y un finiquito de $5mil para el ___. El compromiso fue que en mayo las demandas estarán finiquitadas.
</t>
        </r>
      </text>
    </comment>
    <comment ref="C44" authorId="0" shapeId="0">
      <text>
        <r>
          <rPr>
            <sz val="11"/>
            <color indexed="8"/>
            <rFont val="Helvetica Neue"/>
          </rPr>
          <t>Lorena P. Herrera Martínez:
$3,450 - Mecánico Alfonso - Saveiro
$2,200 - Miguel Pulido (Refrendos)</t>
        </r>
      </text>
    </comment>
    <comment ref="C51" authorId="1" shapeId="0">
      <text>
        <r>
          <rPr>
            <sz val="11"/>
            <color indexed="8"/>
            <rFont val="Helvetica Neue"/>
          </rPr>
          <t xml:space="preserve">Usuario:
$3,000 - Emigdio Coatza
$12,964 - Guillermo Reyes
$1,500 - Comida RC y RP
$300 - Gasolina Saveiro TOSCA
</t>
        </r>
      </text>
    </comment>
    <comment ref="D51" authorId="0" shapeId="0">
      <text>
        <r>
          <rPr>
            <sz val="11"/>
            <color indexed="8"/>
            <rFont val="Helvetica Neue"/>
          </rPr>
          <t xml:space="preserve">Lorena P. Herrera Martínez:
$2,000 - Wilhelm (Limpieza oficina México)
$2,500 - Reembolso viáticos Lic. Palavicini
$1,500 - Emigdio (Comida RC y RP)
</t>
        </r>
      </text>
    </comment>
    <comment ref="C54" authorId="0" shapeId="0">
      <text>
        <r>
          <rPr>
            <sz val="11"/>
            <color rgb="FF000000"/>
            <rFont val="Helvetica Neue"/>
          </rPr>
          <t xml:space="preserve">Lorena P. Herrera Martínez:
</t>
        </r>
        <r>
          <rPr>
            <sz val="11"/>
            <color rgb="FF000000"/>
            <rFont val="Helvetica Neue"/>
          </rPr>
          <t xml:space="preserve">Renta Ene 19
</t>
        </r>
        <r>
          <rPr>
            <sz val="11"/>
            <color rgb="FF000000"/>
            <rFont val="Helvetica Neue"/>
          </rPr>
          <t xml:space="preserve">
</t>
        </r>
      </text>
    </comment>
    <comment ref="E54" authorId="0" shapeId="0">
      <text>
        <r>
          <rPr>
            <sz val="11"/>
            <color indexed="8"/>
            <rFont val="Helvetica Neue"/>
          </rPr>
          <t xml:space="preserve">Lorena P. Herrera Martínez:
Renta Feb 19
</t>
        </r>
      </text>
    </comment>
    <comment ref="C55" authorId="1" shapeId="0">
      <text>
        <r>
          <rPr>
            <sz val="11"/>
            <color indexed="8"/>
            <rFont val="Helvetica Neue"/>
          </rPr>
          <t xml:space="preserve">Usuario:
$379,500 - Magdu Santander
$485,000 - Noe Osorio
</t>
        </r>
      </text>
    </comment>
    <comment ref="A60" authorId="2" shapeId="0">
      <text>
        <r>
          <rPr>
            <sz val="11"/>
            <color indexed="8"/>
            <rFont val="Helvetica Neue"/>
          </rPr>
          <t>.:
Inversión de $1,600,000.00 al proyecto de Kimia</t>
        </r>
      </text>
    </comment>
    <comment ref="B60" authorId="0" shapeId="0">
      <text>
        <r>
          <rPr>
            <sz val="11"/>
            <color rgb="FF000000"/>
            <rFont val="Helvetica Neue"/>
          </rPr>
          <t xml:space="preserve">Lorena P. Herrera Martínez:
</t>
        </r>
        <r>
          <rPr>
            <sz val="11"/>
            <color rgb="FF000000"/>
            <rFont val="Helvetica Neue"/>
          </rPr>
          <t xml:space="preserve">SOLUNION
</t>
        </r>
        <r>
          <rPr>
            <sz val="11"/>
            <color rgb="FF000000"/>
            <rFont val="Helvetica Neue"/>
          </rPr>
          <t xml:space="preserve">Adeudo INICIAL: $2,824,407.77
</t>
        </r>
        <r>
          <rPr>
            <sz val="11"/>
            <color rgb="FF000000"/>
            <rFont val="Helvetica Neue"/>
          </rPr>
          <t>Se terminará de pagar en Julio 2019</t>
        </r>
      </text>
    </comment>
    <comment ref="C60" authorId="0" shapeId="0">
      <text>
        <r>
          <rPr>
            <sz val="11"/>
            <color indexed="8"/>
            <rFont val="Helvetica Neue"/>
          </rPr>
          <t xml:space="preserve">Lorena P. Herrera Martínez:
Dic 18 y Ene 19
</t>
        </r>
      </text>
    </comment>
    <comment ref="D60" authorId="0" shapeId="0">
      <text>
        <r>
          <rPr>
            <sz val="11"/>
            <color indexed="8"/>
            <rFont val="Helvetica Neue"/>
          </rPr>
          <t>Lorena P. Herrera Martínez:
Feb 19</t>
        </r>
      </text>
    </comment>
    <comment ref="E60" authorId="0" shapeId="0">
      <text>
        <r>
          <rPr>
            <sz val="11"/>
            <color indexed="8"/>
            <rFont val="Helvetica Neue"/>
          </rPr>
          <t xml:space="preserve">Lorena P. Herrera Martínez:
Mar 19
</t>
        </r>
      </text>
    </comment>
    <comment ref="B63" authorId="0" shapeId="0">
      <text>
        <r>
          <rPr>
            <sz val="11"/>
            <color rgb="FF000000"/>
            <rFont val="Helvetica Neue"/>
          </rPr>
          <t xml:space="preserve">Lorena P. Herrera Martínez:
</t>
        </r>
        <r>
          <rPr>
            <sz val="11"/>
            <color rgb="FF000000"/>
            <rFont val="Helvetica Neue"/>
          </rPr>
          <t xml:space="preserve">Convenio PENDIENTE
</t>
        </r>
      </text>
    </comment>
    <comment ref="A64" authorId="2" shapeId="0">
      <text>
        <r>
          <rPr>
            <sz val="11"/>
            <color indexed="8"/>
            <rFont val="Helvetica Neue"/>
          </rPr>
          <t xml:space="preserve">.:
Inversión en Invernadero Sonora
</t>
        </r>
      </text>
    </comment>
    <comment ref="B64" authorId="0" shapeId="0">
      <text>
        <r>
          <rPr>
            <sz val="11"/>
            <color rgb="FF000000"/>
            <rFont val="Helvetica Neue"/>
          </rPr>
          <t xml:space="preserve">Lorena P. Herrera Martínez:
</t>
        </r>
        <r>
          <rPr>
            <sz val="11"/>
            <color rgb="FF000000"/>
            <rFont val="Helvetica Neue"/>
          </rPr>
          <t xml:space="preserve">Adeudo INICIAL: $2,210,000.00
</t>
        </r>
        <r>
          <rPr>
            <sz val="11"/>
            <color rgb="FF000000"/>
            <rFont val="Helvetica Neue"/>
          </rPr>
          <t xml:space="preserve">Se han realizado 08 pagos (de ago a mar 19)
</t>
        </r>
      </text>
    </comment>
    <comment ref="A65" authorId="2" shapeId="0">
      <text>
        <r>
          <rPr>
            <sz val="11"/>
            <color indexed="8"/>
            <rFont val="Helvetica Neue"/>
          </rPr>
          <t xml:space="preserve">.:
Inversión en Invernadero Sonora
</t>
        </r>
      </text>
    </comment>
    <comment ref="B65" authorId="0" shapeId="0">
      <text>
        <r>
          <rPr>
            <sz val="11"/>
            <color rgb="FF000000"/>
            <rFont val="Helvetica Neue"/>
          </rPr>
          <t xml:space="preserve">Lorena P. Herrera Martínez:
</t>
        </r>
        <r>
          <rPr>
            <sz val="11"/>
            <color rgb="FF000000"/>
            <rFont val="Helvetica Neue"/>
          </rPr>
          <t xml:space="preserve">Adeudo INICIAL: $1,700,000.00
</t>
        </r>
        <r>
          <rPr>
            <sz val="11"/>
            <color rgb="FF000000"/>
            <rFont val="Helvetica Neue"/>
          </rPr>
          <t xml:space="preserve">Se terminará de pagar en Oct 2019
</t>
        </r>
      </text>
    </comment>
    <comment ref="B66" authorId="0" shapeId="0">
      <text>
        <r>
          <rPr>
            <sz val="11"/>
            <color rgb="FF000000"/>
            <rFont val="Helvetica Neue"/>
          </rPr>
          <t xml:space="preserve">Lorena P. Herrera Martínez:
</t>
        </r>
        <r>
          <rPr>
            <sz val="11"/>
            <color rgb="FF000000"/>
            <rFont val="Helvetica Neue"/>
          </rPr>
          <t xml:space="preserve">Saldo Inicial: $1,109,694.60
</t>
        </r>
        <r>
          <rPr>
            <sz val="11"/>
            <color rgb="FF000000"/>
            <rFont val="Helvetica Neue"/>
          </rPr>
          <t xml:space="preserve">PAGADO
</t>
        </r>
        <r>
          <rPr>
            <sz val="11"/>
            <color rgb="FF000000"/>
            <rFont val="Helvetica Neue"/>
          </rPr>
          <t xml:space="preserve">
</t>
        </r>
      </text>
    </comment>
    <comment ref="C68" authorId="0" shapeId="0">
      <text>
        <r>
          <rPr>
            <sz val="11"/>
            <color indexed="8"/>
            <rFont val="Helvetica Neue"/>
          </rPr>
          <t>Lorena P. Herrera Martínez:
Intereses Dic 18 y Ene 19</t>
        </r>
      </text>
    </comment>
    <comment ref="D68" authorId="0" shapeId="0">
      <text>
        <r>
          <rPr>
            <sz val="11"/>
            <color indexed="8"/>
            <rFont val="Helvetica Neue"/>
          </rPr>
          <t xml:space="preserve">Lorena P. Herrera Martínez:
Nov 18
</t>
        </r>
      </text>
    </comment>
    <comment ref="E68" authorId="0" shapeId="0">
      <text>
        <r>
          <rPr>
            <sz val="11"/>
            <color indexed="8"/>
            <rFont val="Helvetica Neue"/>
          </rPr>
          <t xml:space="preserve">Lorena P. Herrera Martínez:
Intereses Feb 19
</t>
        </r>
      </text>
    </comment>
    <comment ref="C83" authorId="0" shapeId="0">
      <text>
        <r>
          <rPr>
            <sz val="11"/>
            <color indexed="8"/>
            <rFont val="Helvetica Neue"/>
          </rPr>
          <t xml:space="preserve">Lorena P. Herrera Martínez:
Impuestos Dic 18
</t>
        </r>
      </text>
    </comment>
    <comment ref="D83" authorId="0" shapeId="0">
      <text>
        <r>
          <rPr>
            <sz val="11"/>
            <color indexed="8"/>
            <rFont val="Helvetica Neue"/>
          </rPr>
          <t xml:space="preserve">Lorena P. Herrera Martínez:
Impuestos Ene 19
</t>
        </r>
      </text>
    </comment>
    <comment ref="D95" authorId="0" shapeId="0">
      <text>
        <r>
          <rPr>
            <sz val="11"/>
            <color indexed="8"/>
            <rFont val="Helvetica Neue"/>
          </rPr>
          <t xml:space="preserve">Lorena P. Herrera Martínez:
Ene y Feb 19
</t>
        </r>
      </text>
    </comment>
  </commentList>
</comments>
</file>

<file path=xl/comments2.xml><?xml version="1.0" encoding="utf-8"?>
<comments xmlns="http://schemas.openxmlformats.org/spreadsheetml/2006/main">
  <authors>
    <author>Lorena P. Herrera Martínez</author>
    <author>Usuario</author>
  </authors>
  <commentList>
    <comment ref="C7" authorId="0" shapeId="0">
      <text>
        <r>
          <rPr>
            <sz val="11"/>
            <color indexed="8"/>
            <rFont val="Helvetica Neue"/>
          </rPr>
          <t xml:space="preserve">Lorena P. Herrera Martínez:
$1,740,000 - Servicios Feb 19
$231,242.19 - Compras PMI
</t>
        </r>
      </text>
    </comment>
    <comment ref="E8" authorId="0" shapeId="0">
      <text>
        <r>
          <rPr>
            <sz val="11"/>
            <color rgb="FF000000"/>
            <rFont val="Helvetica Neue"/>
          </rPr>
          <t xml:space="preserve">$93,000 - Tomado del crédito MMG Banorte
</t>
        </r>
        <r>
          <rPr>
            <sz val="11"/>
            <color rgb="FF000000"/>
            <rFont val="Helvetica Neue"/>
          </rPr>
          <t xml:space="preserve">$54,200 - Camioneta RAM
</t>
        </r>
      </text>
    </comment>
    <comment ref="F8" authorId="0" shapeId="0">
      <text>
        <r>
          <rPr>
            <b/>
            <sz val="9"/>
            <color rgb="FF000000"/>
            <rFont val="Tahoma"/>
            <family val="2"/>
          </rPr>
          <t>$316,000 - Tomados del crédito MMG Banorte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b/>
            <sz val="9"/>
            <color rgb="FF000000"/>
            <rFont val="Tahoma"/>
            <family val="2"/>
          </rPr>
          <t>$50,400 - Préstamo IGAM</t>
        </r>
      </text>
    </comment>
    <comment ref="G19" authorId="0" shapeId="0">
      <text>
        <r>
          <rPr>
            <sz val="9"/>
            <color indexed="81"/>
            <rFont val="Tahoma"/>
            <family val="2"/>
          </rPr>
          <t xml:space="preserve">Finiquito Alejandra Ramos
</t>
        </r>
      </text>
    </comment>
    <comment ref="D37" authorId="0" shapeId="0">
      <text>
        <r>
          <rPr>
            <sz val="11"/>
            <color indexed="8"/>
            <rFont val="Helvetica Neue"/>
          </rPr>
          <t xml:space="preserve">Lorena P. Herrera Martínez:
24,360 - Valiker México
</t>
        </r>
      </text>
    </comment>
    <comment ref="E37" authorId="0" shapeId="0">
      <text>
        <r>
          <rPr>
            <sz val="11"/>
            <color indexed="8"/>
            <rFont val="Helvetica Neue"/>
          </rPr>
          <t xml:space="preserve">Lorena P. Herrera Martínez:
24,360 - Valiker México
</t>
        </r>
      </text>
    </comment>
    <comment ref="F37" authorId="0" shapeId="0">
      <text>
        <r>
          <rPr>
            <b/>
            <sz val="9"/>
            <color rgb="FF000000"/>
            <rFont val="Tahoma"/>
            <family val="2"/>
          </rPr>
          <t xml:space="preserve">Valiker - May 19
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C38" authorId="0" shapeId="0">
      <text>
        <r>
          <rPr>
            <sz val="11"/>
            <color indexed="8"/>
            <rFont val="Helvetica Neue"/>
          </rPr>
          <t xml:space="preserve">Lorena P. Herrera Martínez:
Goles - Feb 19
</t>
        </r>
      </text>
    </comment>
    <comment ref="D40" authorId="0" shapeId="0">
      <text>
        <r>
          <rPr>
            <sz val="11"/>
            <color indexed="8"/>
            <rFont val="Helvetica Neue"/>
          </rPr>
          <t>Lorena P. Herrera Martínez:
6,859.42 - mensualidad
7,677.57 - seguro</t>
        </r>
      </text>
    </comment>
    <comment ref="D41" authorId="0" shapeId="0">
      <text>
        <r>
          <rPr>
            <sz val="11"/>
            <color indexed="8"/>
            <rFont val="Helvetica Neue"/>
          </rPr>
          <t xml:space="preserve">Lorena P. Herrera Martínez:
6,859.42 - mensualidad
7,677.57 - seguro
</t>
        </r>
      </text>
    </comment>
    <comment ref="D51" authorId="0" shapeId="0">
      <text>
        <r>
          <rPr>
            <sz val="11"/>
            <color indexed="8"/>
            <rFont val="Helvetica Neue"/>
          </rPr>
          <t xml:space="preserve">Lorena P. Herrera Martínez:
$23,200 - Mar 19
$25,520 - Años anteriores
</t>
        </r>
      </text>
    </comment>
    <comment ref="F52" authorId="0" shapeId="0">
      <text>
        <r>
          <rPr>
            <b/>
            <sz val="9"/>
            <color indexed="81"/>
            <rFont val="Tahoma"/>
            <family val="2"/>
          </rPr>
          <t>Lic. Cristobal Sánchez - Contratos MMG</t>
        </r>
      </text>
    </comment>
    <comment ref="E60" authorId="0" shapeId="0">
      <text>
        <r>
          <rPr>
            <sz val="11"/>
            <color indexed="8"/>
            <rFont val="Helvetica Neue"/>
          </rPr>
          <t xml:space="preserve">Lorena P. Herrera Martínez:
$2,298.06 - Licencia Adobe Acrobat
$5,000 - Basura niño artillero
</t>
        </r>
      </text>
    </comment>
    <comment ref="F60" authorId="0" shapeId="0">
      <text>
        <r>
          <rPr>
            <b/>
            <sz val="9"/>
            <color indexed="81"/>
            <rFont val="Tahoma"/>
            <family val="2"/>
          </rPr>
          <t xml:space="preserve">$6,002.80 - Papeleria Puerta Real
$1,295.89 - Arts. Limpieza y cafetería - Puerta Real
$1,045.90 -Papelería RMG
$2,010 - SIEM 
$2,500 - Lorena Frias (Apertura de cuenta)
$675 - Lorena Frias (Baja TIDA)
$599 - Lorena Frias (Pasajes)
$2,000 - Mantto Puerta Real
$5,000 - Lic. Cristobal - Demanda INPRO (ATW)
$2,262 - Mantto. cómputo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60" authorId="0" shapeId="0">
      <text>
        <r>
          <rPr>
            <b/>
            <sz val="9"/>
            <color indexed="81"/>
            <rFont val="Tahoma"/>
            <family val="2"/>
          </rPr>
          <t>$4,246.70 - Office Depot (Papelería y pizarrón)</t>
        </r>
        <r>
          <rPr>
            <sz val="9"/>
            <color indexed="81"/>
            <rFont val="Tahoma"/>
            <family val="2"/>
          </rPr>
          <t xml:space="preserve">
$2,995.60 - Comex (impermeabilización)
$3,920.80 - Facturador electrónico Contpaq</t>
        </r>
      </text>
    </comment>
    <comment ref="D61" authorId="0" shapeId="0">
      <text>
        <r>
          <rPr>
            <sz val="11"/>
            <color indexed="8"/>
            <rFont val="Helvetica Neue"/>
          </rPr>
          <t xml:space="preserve">Lorena P. Herrera Martínez:
9,864 - Mudanza
</t>
        </r>
      </text>
    </comment>
    <comment ref="E61" authorId="0" shapeId="0">
      <text>
        <r>
          <rPr>
            <sz val="11"/>
            <color indexed="8"/>
            <rFont val="Helvetica Neue"/>
          </rPr>
          <t>Lorena P. Herrera Martínez:
Oficina Virtual
$1,550 - Depósito
$1,550 - Renta Abr 19</t>
        </r>
      </text>
    </comment>
    <comment ref="G61" authorId="0" shapeId="0">
      <text>
        <r>
          <rPr>
            <b/>
            <sz val="9"/>
            <color indexed="81"/>
            <rFont val="Tahoma"/>
            <family val="2"/>
          </rPr>
          <t xml:space="preserve">$696 - Acceso API
$1,550 - Renta oficina virtual
$5,500 - Abogado GGV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2" authorId="0" shapeId="0">
      <text>
        <r>
          <rPr>
            <sz val="11"/>
            <color indexed="8"/>
            <rFont val="Helvetica Neue"/>
          </rPr>
          <t xml:space="preserve">Lorena P. Herrera Martínez:
$14,534.80 - HRCEGA
$3,000 - Servicio Veh. Tosca
$3,300 - Saveiro
$3,500 - Saveiro
$525 - Saveiro
</t>
        </r>
      </text>
    </comment>
    <comment ref="D62" authorId="0" shapeId="0">
      <text>
        <r>
          <rPr>
            <sz val="11"/>
            <color indexed="8"/>
            <rFont val="Helvetica Neue"/>
          </rPr>
          <t xml:space="preserve">Lorena P. Herrera Martínez:
Seguro vehículo Tosca
</t>
        </r>
      </text>
    </comment>
    <comment ref="E62" authorId="0" shapeId="0">
      <text>
        <r>
          <rPr>
            <sz val="11"/>
            <color indexed="8"/>
            <rFont val="Helvetica Neue"/>
          </rPr>
          <t xml:space="preserve">Lorena P. Herrera Martínez:
$600 - Rotulación Gol
</t>
        </r>
      </text>
    </comment>
    <comment ref="C69" authorId="0" shapeId="0">
      <text>
        <r>
          <rPr>
            <sz val="11"/>
            <color indexed="8"/>
            <rFont val="Helvetica Neue"/>
          </rPr>
          <t xml:space="preserve">Lorena P. Herrera Martínez:
$1,800 - Claudia Camas
</t>
        </r>
      </text>
    </comment>
    <comment ref="E69" authorId="0" shapeId="0">
      <text>
        <r>
          <rPr>
            <sz val="11"/>
            <color indexed="8"/>
            <rFont val="Helvetica Neue"/>
          </rPr>
          <t xml:space="preserve">Lorena P. Herrera Martínez:
$1,552.03 - Claudia Camas
$813 - ADO Cd. Carmen
$1,800 - Cp. Andrea - Cd. Carmen
$17,040 - Vuelos
$7,800 - Hotel Marriot
$18,666.22 - Cd. México
$6,828.85 - Vuelos
$6,000 - Xalapa, Veracruz
</t>
        </r>
      </text>
    </comment>
    <comment ref="F69" authorId="0" shapeId="0">
      <text>
        <r>
          <rPr>
            <b/>
            <sz val="9"/>
            <color indexed="81"/>
            <rFont val="Tahoma"/>
            <family val="2"/>
          </rPr>
          <t>$4,071.61 - Alimentos del personal (Capacitación)</t>
        </r>
        <r>
          <rPr>
            <sz val="9"/>
            <color indexed="81"/>
            <rFont val="Tahoma"/>
            <family val="2"/>
          </rPr>
          <t xml:space="preserve">
$1,595.80 - Claudia Camas
$2,000 - Lic. Cristobal - Viáticos Contratos
$1,000 - Lic. Cristobal - Viáticos Contratos
$1,048 - Claudia Camas
$183 - ADO Carmen - Lorena</t>
        </r>
      </text>
    </comment>
    <comment ref="G69" authorId="0" shapeId="0">
      <text>
        <r>
          <rPr>
            <b/>
            <sz val="9"/>
            <color indexed="81"/>
            <rFont val="Tahoma"/>
            <family val="2"/>
          </rPr>
          <t xml:space="preserve">$3,711.64 - Vuelo Claudia Camas
$3,700 - Viáticos México - Claudia Camas
$5,862.28 - Vuelo Carlos Tosca
$4,003.64 - Viáticos México - Claudia Camas
$1,352 - Viáticos Carmen - Claudia Camas
$1,500 - Viáticos Carlos Tosca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70" authorId="0" shapeId="0">
      <text>
        <r>
          <rPr>
            <sz val="9"/>
            <color indexed="81"/>
            <rFont val="Tahoma"/>
            <family val="2"/>
          </rPr>
          <t xml:space="preserve">Marzo y abril
</t>
        </r>
      </text>
    </comment>
    <comment ref="E72" authorId="0" shapeId="0">
      <text>
        <r>
          <rPr>
            <sz val="11"/>
            <color indexed="8"/>
            <rFont val="Helvetica Neue"/>
          </rPr>
          <t xml:space="preserve">Lorena P. Herrera Martínez:
PC Escritorio - A bordo
</t>
        </r>
      </text>
    </comment>
    <comment ref="B79" authorId="1" shapeId="0">
      <text>
        <r>
          <rPr>
            <sz val="11"/>
            <color indexed="8"/>
            <rFont val="Helvetica Neue"/>
          </rPr>
          <t xml:space="preserve">Usuario:
Capacitación
</t>
        </r>
      </text>
    </comment>
    <comment ref="C79" authorId="0" shapeId="0">
      <text>
        <r>
          <rPr>
            <sz val="11"/>
            <color indexed="8"/>
            <rFont val="Helvetica Neue"/>
          </rPr>
          <t xml:space="preserve">Lorena P. Herrera Martínez:
$9,860 - Nitrito
</t>
        </r>
      </text>
    </comment>
    <comment ref="D79" authorId="0" shapeId="0">
      <text>
        <r>
          <rPr>
            <sz val="11"/>
            <color indexed="8"/>
            <rFont val="Helvetica Neue"/>
          </rPr>
          <t>Lorena P. Herrera Martínez:
4,143.64 - Micrófono
75,168 - Capacitación
23,553.98 - Mantto radios</t>
        </r>
      </text>
    </comment>
    <comment ref="F79" authorId="0" shapeId="0">
      <text>
        <r>
          <rPr>
            <b/>
            <sz val="9"/>
            <color indexed="81"/>
            <rFont val="Tahoma"/>
            <family val="2"/>
          </rPr>
          <t>$18,386 - Totems</t>
        </r>
        <r>
          <rPr>
            <sz val="9"/>
            <color indexed="81"/>
            <rFont val="Tahoma"/>
            <family val="2"/>
          </rPr>
          <t xml:space="preserve">
$21,750 - Capacitación
$2,900 - Mantto. Equipo de cómputo
$13,109.02 - Válvula mingitorio
$50,112 - Capacitación</t>
        </r>
      </text>
    </comment>
    <comment ref="G79" authorId="0" shapeId="0">
      <text>
        <r>
          <rPr>
            <b/>
            <sz val="9"/>
            <color indexed="81"/>
            <rFont val="Tahoma"/>
            <family val="2"/>
          </rPr>
          <t xml:space="preserve">$37,120 - Calibración
$522 - Mantto radios
$578 - Toners
$1,963.07 - Bateria
$933.91 - Pilas
$1,734 - Toners
$20,358 - Capacitación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03" authorId="0" shapeId="0">
      <text>
        <r>
          <rPr>
            <b/>
            <sz val="9"/>
            <color rgb="FF000000"/>
            <rFont val="Tahoma"/>
            <family val="2"/>
          </rPr>
          <t xml:space="preserve">$6,960 - Precios Unitarios (Lic. Tosca)
</t>
        </r>
        <r>
          <rPr>
            <b/>
            <sz val="9"/>
            <color rgb="FF000000"/>
            <rFont val="Tahoma"/>
            <family val="2"/>
          </rPr>
          <t>$60,622.81 - Jeringas</t>
        </r>
        <r>
          <rPr>
            <sz val="9"/>
            <color rgb="FF000000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<sst xmlns="http://schemas.openxmlformats.org/spreadsheetml/2006/main" count="217" uniqueCount="185">
  <si>
    <t>P R E S U P U E S T O     2 0 1 9</t>
  </si>
  <si>
    <t>ENERO</t>
  </si>
  <si>
    <t>FEBRERO</t>
  </si>
  <si>
    <t>MARZO</t>
  </si>
  <si>
    <t>ABRIL</t>
  </si>
  <si>
    <t>MAYO</t>
  </si>
  <si>
    <t>Saldo Inicial Fiscal</t>
  </si>
  <si>
    <t>Saldo Inicial x fuera</t>
  </si>
  <si>
    <t>INGRESO MENSUAL FACTURADO</t>
  </si>
  <si>
    <t>OTROS INGRESOS</t>
  </si>
  <si>
    <t>SUPERVISIÓN</t>
  </si>
  <si>
    <t xml:space="preserve">Salario Fiscal </t>
  </si>
  <si>
    <t>Salario Efectivo</t>
  </si>
  <si>
    <t>Comisión 6% (salario efectivo)</t>
  </si>
  <si>
    <t>Aguinaldos</t>
  </si>
  <si>
    <t>Finiquitos</t>
  </si>
  <si>
    <t>Servicio de limpieza y retiro de basura</t>
  </si>
  <si>
    <t>Servicio integral sanitario</t>
  </si>
  <si>
    <t>Oficina móvil</t>
  </si>
  <si>
    <t>Arrendamiento Ing. Federico</t>
  </si>
  <si>
    <t>Articulos de papelería</t>
  </si>
  <si>
    <t>Artículos de limpieza</t>
  </si>
  <si>
    <t>Subtotal Supervisión</t>
  </si>
  <si>
    <t>OPERACIÓN</t>
  </si>
  <si>
    <t>Gastos de operación</t>
  </si>
  <si>
    <t>Servicio de internet RM</t>
  </si>
  <si>
    <t>Seguridad Física</t>
  </si>
  <si>
    <t>Sindicato</t>
  </si>
  <si>
    <t>Subtotal Operación</t>
  </si>
  <si>
    <t>OFICINA CENTRAL</t>
  </si>
  <si>
    <t>Salario Fiscal Administración</t>
  </si>
  <si>
    <t>Salario Efectivo Administración</t>
  </si>
  <si>
    <t>Capacitación</t>
  </si>
  <si>
    <t>Asesoría jurídica laboral</t>
  </si>
  <si>
    <t>Convenio demandas INPRO</t>
  </si>
  <si>
    <t>Lic. Palavicini</t>
  </si>
  <si>
    <t>Despacho Cabal</t>
  </si>
  <si>
    <t>Psicoterapia</t>
  </si>
  <si>
    <t>Ing. Eliseo González</t>
  </si>
  <si>
    <t>Seguro RC/Póliza 0104707000777000002</t>
  </si>
  <si>
    <t>Certificación</t>
  </si>
  <si>
    <t>Combustible</t>
  </si>
  <si>
    <t>Mantto. Vehicular</t>
  </si>
  <si>
    <t>Seguros vehiculares</t>
  </si>
  <si>
    <t>Acond. Oficina</t>
  </si>
  <si>
    <t>Papelería y consumibles</t>
  </si>
  <si>
    <t>Página Web</t>
  </si>
  <si>
    <t>Telefonía e Internet (Telmex)</t>
  </si>
  <si>
    <t>Luz (CFE)</t>
  </si>
  <si>
    <t>Viáticos</t>
  </si>
  <si>
    <t>Comisiones Bancarias</t>
  </si>
  <si>
    <t>Oficina México Valiker</t>
  </si>
  <si>
    <t>Devolución de préstamos</t>
  </si>
  <si>
    <t>Subtotal Oficina Central</t>
  </si>
  <si>
    <t>CRÉDITOS CORPORATION</t>
  </si>
  <si>
    <t>TCS 5474 8470 0028 5734</t>
  </si>
  <si>
    <t>Bx+ Factoraje 1525400083</t>
  </si>
  <si>
    <t>TC American Express</t>
  </si>
  <si>
    <t>TC Scotiabank ATW</t>
  </si>
  <si>
    <t>Bx+ Pulgar CO.</t>
  </si>
  <si>
    <t>MAGDU Santander</t>
  </si>
  <si>
    <t>MAGDU Banorte</t>
  </si>
  <si>
    <t>Reale KIMIA</t>
  </si>
  <si>
    <t>Reale Advisory</t>
  </si>
  <si>
    <t>Raul Palomera (Intereses)</t>
  </si>
  <si>
    <t>Raul Palomera (Capital)</t>
  </si>
  <si>
    <t>Subtotal Créditos</t>
  </si>
  <si>
    <t>IMPUESTOS</t>
  </si>
  <si>
    <t>IMSS</t>
  </si>
  <si>
    <t>RCV</t>
  </si>
  <si>
    <t>INFONAVIT Vivienda</t>
  </si>
  <si>
    <t>ISN (2.5% Estatal)</t>
  </si>
  <si>
    <t>Dec. Complementaria anual 2018</t>
  </si>
  <si>
    <t>Retenciones ISR / Salarios</t>
  </si>
  <si>
    <t>Retenciones ISR / Asimilados</t>
  </si>
  <si>
    <t>Retenciones ISR / Proveedores</t>
  </si>
  <si>
    <t>Retenciones IVA / Proveedores</t>
  </si>
  <si>
    <t>ISR Personas morales</t>
  </si>
  <si>
    <t>IVA</t>
  </si>
  <si>
    <t>Subtotal Impuestos</t>
  </si>
  <si>
    <t>EFECTIVO</t>
  </si>
  <si>
    <t>Casa Puerta Real</t>
  </si>
  <si>
    <t>Cuota de vigilancia / Puerta Real</t>
  </si>
  <si>
    <t>Oficina Niño Artillero</t>
  </si>
  <si>
    <t>Servicio de limpieza</t>
  </si>
  <si>
    <t>Vehiculo Ing. Guillermo</t>
  </si>
  <si>
    <t>Vehiculo Lic. Tosca</t>
  </si>
  <si>
    <t>Axtel Cd. México</t>
  </si>
  <si>
    <t>Bx+ INPRO Cambio obligado solidario</t>
  </si>
  <si>
    <t>Comisión Noe Osorio</t>
  </si>
  <si>
    <t>Renta vehículos / Miguel Pulido</t>
  </si>
  <si>
    <t>Comisión 6% (Total Efectivo)</t>
  </si>
  <si>
    <t>Subtotal Efectivo</t>
  </si>
  <si>
    <t>OTROS GASTOS / EFECTIVO</t>
  </si>
  <si>
    <t>Salario Bombas de lodo</t>
  </si>
  <si>
    <t>Terreno Bombas de lodo</t>
  </si>
  <si>
    <t>Comisión 6% (Otros Gtos. Efectivo)</t>
  </si>
  <si>
    <t>Union Torim Produce</t>
  </si>
  <si>
    <t>Victor Castro</t>
  </si>
  <si>
    <t>ATC</t>
  </si>
  <si>
    <t>ATW</t>
  </si>
  <si>
    <t>ENRIQUE</t>
  </si>
  <si>
    <t>SUPER</t>
  </si>
  <si>
    <t>MIGUEL</t>
  </si>
  <si>
    <t>Comisiones movimientos</t>
  </si>
  <si>
    <t>Trabajos subcontratados</t>
  </si>
  <si>
    <t>Subtotal Otros Gastos / Efectivo</t>
  </si>
  <si>
    <t>TOTALES</t>
  </si>
  <si>
    <t>SALDO</t>
  </si>
  <si>
    <t>Josep Ferrer - Ene 19</t>
  </si>
  <si>
    <t>FISCAL</t>
  </si>
  <si>
    <t>POR FUERA</t>
  </si>
  <si>
    <t>Saldo Inicial FISCAL</t>
  </si>
  <si>
    <t>Saldo Inicial x Fuera</t>
  </si>
  <si>
    <t>GASTOS FIJOS</t>
  </si>
  <si>
    <t>SUELDOS Y PRESTACIONES</t>
  </si>
  <si>
    <t>Salario Fiscal</t>
  </si>
  <si>
    <t>Comisión 6% (Salario Efectivo)</t>
  </si>
  <si>
    <t>IMSS e INFONAVIT</t>
  </si>
  <si>
    <t>Vacaciones</t>
  </si>
  <si>
    <t>FONACOT</t>
  </si>
  <si>
    <t>Comisión 6% (Otros Salarios)</t>
  </si>
  <si>
    <t>Subtotal Sueldos y Prestaciones</t>
  </si>
  <si>
    <t>IMPUESTOS FEDERALES</t>
  </si>
  <si>
    <t>IVA por pagar</t>
  </si>
  <si>
    <t>Impuestos años anteriores</t>
  </si>
  <si>
    <t>Declaración Anual 2018</t>
  </si>
  <si>
    <t>Subtotal Rentas</t>
  </si>
  <si>
    <t>RENTAS</t>
  </si>
  <si>
    <t>Oficinas</t>
  </si>
  <si>
    <t>Vehículos Miguel Pulido</t>
  </si>
  <si>
    <t>Camioneta Ram</t>
  </si>
  <si>
    <t>Arrendamiento Gol Sedan 1</t>
  </si>
  <si>
    <t>Arrendamiento Gol Sedán 2</t>
  </si>
  <si>
    <t>SERVICIOS</t>
  </si>
  <si>
    <t>Fianzas</t>
  </si>
  <si>
    <t>Trámites</t>
  </si>
  <si>
    <t>Seguro Resp. Civil y Ambiental</t>
  </si>
  <si>
    <t>Seguro Vida</t>
  </si>
  <si>
    <t>Asesoría Contable</t>
  </si>
  <si>
    <t>Página web / Correos electrónicos</t>
  </si>
  <si>
    <t>Subtotal Servicios</t>
  </si>
  <si>
    <t>GASTOS DE OFICINA</t>
  </si>
  <si>
    <t>Limpieza Cd. México</t>
  </si>
  <si>
    <t>Oficina Cd Carmen</t>
  </si>
  <si>
    <t>Operación Vehicular (Mantto/Lavado)</t>
  </si>
  <si>
    <t>Subtotal Gastos de Oficina</t>
  </si>
  <si>
    <t>Subtotal Gastos Fijos</t>
  </si>
  <si>
    <t>GASTOS OPERATIVOS</t>
  </si>
  <si>
    <t>Hotel Personal MMG</t>
  </si>
  <si>
    <t>Proveedor REMAISA</t>
  </si>
  <si>
    <t>Papelería</t>
  </si>
  <si>
    <t>Uniformes personal MMG</t>
  </si>
  <si>
    <t>Miguel Pulido</t>
  </si>
  <si>
    <t>Pagos Mexico</t>
  </si>
  <si>
    <t>Rubicel Mármol</t>
  </si>
  <si>
    <t>Comisiónes por movimientos</t>
  </si>
  <si>
    <t>Compras PMI (Adicionales)</t>
  </si>
  <si>
    <t>Subtotal Gastos Operativos</t>
  </si>
  <si>
    <t>SALDO MENSUAL</t>
  </si>
  <si>
    <t>Lic. Concepción</t>
  </si>
  <si>
    <t>Rafael Cabal</t>
  </si>
  <si>
    <t>Saveiro</t>
  </si>
  <si>
    <t>Cuenta Banorte MMG</t>
  </si>
  <si>
    <t>Magdu Banorte</t>
  </si>
  <si>
    <t>Magdu Santander</t>
  </si>
  <si>
    <t>Luis César (Comisión Préstamo)</t>
  </si>
  <si>
    <t>Trámites Gol (Ing. Pulido)</t>
  </si>
  <si>
    <t>Josep Ferrer</t>
  </si>
  <si>
    <t>Victor Orozco (Facturas)</t>
  </si>
  <si>
    <t>Reale INPRO</t>
  </si>
  <si>
    <t>Baja de placas SAVEIRO</t>
  </si>
  <si>
    <t>Carlos Mario</t>
  </si>
  <si>
    <t>RMG - Adelanto Mayo</t>
  </si>
  <si>
    <t>SALDO FISCAL</t>
  </si>
  <si>
    <t>SALDO POR FUERA</t>
  </si>
  <si>
    <t>RMG - Adelanto Junio</t>
  </si>
  <si>
    <t xml:space="preserve">Asesoría Legal </t>
  </si>
  <si>
    <t>Corporation</t>
  </si>
  <si>
    <t>Oficina Puerta Real</t>
  </si>
  <si>
    <t>Axtel (Oficina México)</t>
  </si>
  <si>
    <t>Reparto de Utilidades 2018</t>
  </si>
  <si>
    <t>JUNIO</t>
  </si>
  <si>
    <t xml:space="preserve">Proyecto IMSS 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</si>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</sst>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164" formatCode="&quot;$&quot;#,##0.00;&quot;$&quot;#,##0.00"/>
    <numFmt numFmtId="165" formatCode="&quot; &quot;&quot;$&quot;* #,##0.00&quot; &quot;;&quot;-&quot;&quot;$&quot;* #,##0.00&quot; &quot;;&quot; &quot;&quot;$&quot;* &quot;-&quot;??&quot; &quot;"/>
  </numFmts>
  <fonts count="21">
    <font>
      <sz val="11"/>
      <color indexed="8"/>
      <name val="Calibri"/>
    </font>
    <font>
      <sz val="11"/>
      <color indexed="8"/>
      <name val="Helvetica Neue"/>
    </font>
    <font>
      <b/>
      <sz val="16"/>
      <color indexed="12"/>
      <name val="Arial"/>
      <family val="2"/>
    </font>
    <font>
      <b/>
      <sz val="11"/>
      <color indexed="8"/>
      <name val="Arial"/>
      <family val="2"/>
    </font>
    <font>
      <sz val="11"/>
      <color indexed="8"/>
      <name val="Arial"/>
      <family val="2"/>
    </font>
    <font>
      <b/>
      <sz val="11"/>
      <color indexed="12"/>
      <name val="Arial"/>
      <family val="2"/>
    </font>
    <font>
      <b/>
      <sz val="12"/>
      <color indexed="12"/>
      <name val="Arial"/>
      <family val="2"/>
    </font>
    <font>
      <sz val="9"/>
      <color indexed="8"/>
      <name val="Arial"/>
      <family val="2"/>
    </font>
    <font>
      <b/>
      <sz val="11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8"/>
      <name val="Arial"/>
      <family val="2"/>
    </font>
    <font>
      <sz val="8"/>
      <color indexed="8"/>
      <name val="Arial"/>
      <family val="2"/>
    </font>
    <font>
      <sz val="11"/>
      <color rgb="FFFF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Helvetica Neue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8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0">
    <border>
      <left/>
      <right/>
      <top/>
      <bottom/>
      <diagonal/>
    </border>
    <border>
      <left style="thin">
        <color indexed="14"/>
      </left>
      <right/>
      <top style="thin">
        <color indexed="14"/>
      </top>
      <bottom/>
      <diagonal/>
    </border>
    <border>
      <left/>
      <right/>
      <top style="thin">
        <color indexed="14"/>
      </top>
      <bottom/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 style="thin">
        <color indexed="14"/>
      </right>
      <top/>
      <bottom style="medium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medium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4"/>
      </left>
      <right style="thin">
        <color indexed="14"/>
      </right>
      <top style="medium">
        <color indexed="8"/>
      </top>
      <bottom/>
      <diagonal/>
    </border>
    <border>
      <left style="thin">
        <color indexed="14"/>
      </left>
      <right style="thin">
        <color indexed="14"/>
      </right>
      <top style="medium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4"/>
      </left>
      <right style="thin">
        <color indexed="14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4"/>
      </right>
      <top style="medium">
        <color indexed="8"/>
      </top>
      <bottom style="medium">
        <color indexed="8"/>
      </bottom>
      <diagonal/>
    </border>
    <border>
      <left style="thin">
        <color indexed="14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/>
      <top/>
      <bottom/>
      <diagonal/>
    </border>
    <border>
      <left style="thin">
        <color indexed="14"/>
      </left>
      <right/>
      <top/>
      <bottom/>
      <diagonal/>
    </border>
    <border>
      <left style="thin">
        <color indexed="14"/>
      </left>
      <right/>
      <top/>
      <bottom style="thick">
        <color indexed="27"/>
      </bottom>
      <diagonal/>
    </border>
    <border>
      <left style="thin">
        <color indexed="14"/>
      </left>
      <right style="thin">
        <color indexed="1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14"/>
      </right>
      <top style="thin">
        <color indexed="14"/>
      </top>
      <bottom/>
      <diagonal/>
    </border>
    <border>
      <left style="medium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14"/>
      </left>
      <right style="thin">
        <color indexed="14"/>
      </right>
      <top style="thick">
        <color indexed="27"/>
      </top>
      <bottom/>
      <diagonal/>
    </border>
    <border>
      <left style="thin">
        <color indexed="14"/>
      </left>
      <right/>
      <top style="thin">
        <color indexed="14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</borders>
  <cellStyleXfs count="1">
    <xf numFmtId="0" fontId="0" fillId="0" borderId="0" applyNumberFormat="0" applyFill="0" applyBorder="0" applyProtection="0"/>
  </cellStyleXfs>
  <cellXfs count="177">
    <xf numFmtId="0" fontId="0" fillId="0" borderId="0" xfId="0" applyFont="1" applyAlignment="1"/>
    <xf numFmtId="0" fontId="0" fillId="0" borderId="0" xfId="0" applyNumberFormat="1" applyFont="1" applyAlignment="1"/>
    <xf numFmtId="0" fontId="0" fillId="3" borderId="3" xfId="0" applyFont="1" applyFill="1" applyBorder="1" applyAlignment="1"/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49" fontId="3" fillId="4" borderId="9" xfId="0" applyNumberFormat="1" applyFont="1" applyFill="1" applyBorder="1" applyAlignment="1">
      <alignment horizontal="center" vertical="center"/>
    </xf>
    <xf numFmtId="49" fontId="3" fillId="4" borderId="10" xfId="0" applyNumberFormat="1" applyFont="1" applyFill="1" applyBorder="1" applyAlignment="1">
      <alignment horizontal="center" vertical="center"/>
    </xf>
    <xf numFmtId="0" fontId="0" fillId="3" borderId="11" xfId="0" applyFont="1" applyFill="1" applyBorder="1" applyAlignment="1"/>
    <xf numFmtId="164" fontId="4" fillId="3" borderId="13" xfId="0" applyNumberFormat="1" applyFont="1" applyFill="1" applyBorder="1" applyAlignment="1">
      <alignment horizontal="center" vertical="center"/>
    </xf>
    <xf numFmtId="0" fontId="0" fillId="3" borderId="14" xfId="0" applyFont="1" applyFill="1" applyBorder="1" applyAlignment="1"/>
    <xf numFmtId="164" fontId="4" fillId="3" borderId="16" xfId="0" applyNumberFormat="1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vertical="center"/>
    </xf>
    <xf numFmtId="0" fontId="7" fillId="3" borderId="18" xfId="0" applyFont="1" applyFill="1" applyBorder="1" applyAlignment="1">
      <alignment horizontal="center" vertical="center" wrapText="1"/>
    </xf>
    <xf numFmtId="164" fontId="4" fillId="3" borderId="19" xfId="0" applyNumberFormat="1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vertical="center"/>
    </xf>
    <xf numFmtId="0" fontId="0" fillId="3" borderId="18" xfId="0" applyFont="1" applyFill="1" applyBorder="1" applyAlignment="1"/>
    <xf numFmtId="49" fontId="8" fillId="3" borderId="4" xfId="0" applyNumberFormat="1" applyFont="1" applyFill="1" applyBorder="1" applyAlignment="1">
      <alignment horizontal="center"/>
    </xf>
    <xf numFmtId="49" fontId="0" fillId="3" borderId="4" xfId="0" applyNumberFormat="1" applyFont="1" applyFill="1" applyBorder="1" applyAlignment="1"/>
    <xf numFmtId="164" fontId="4" fillId="3" borderId="4" xfId="0" applyNumberFormat="1" applyFont="1" applyFill="1" applyBorder="1" applyAlignment="1">
      <alignment horizontal="center" vertical="center"/>
    </xf>
    <xf numFmtId="165" fontId="4" fillId="3" borderId="4" xfId="0" applyNumberFormat="1" applyFont="1" applyFill="1" applyBorder="1" applyAlignment="1">
      <alignment horizontal="center"/>
    </xf>
    <xf numFmtId="49" fontId="0" fillId="3" borderId="14" xfId="0" applyNumberFormat="1" applyFont="1" applyFill="1" applyBorder="1" applyAlignment="1"/>
    <xf numFmtId="0" fontId="0" fillId="3" borderId="23" xfId="0" applyFont="1" applyFill="1" applyBorder="1" applyAlignment="1"/>
    <xf numFmtId="164" fontId="11" fillId="11" borderId="9" xfId="0" applyNumberFormat="1" applyFont="1" applyFill="1" applyBorder="1" applyAlignment="1">
      <alignment horizontal="center" vertical="center"/>
    </xf>
    <xf numFmtId="164" fontId="3" fillId="12" borderId="9" xfId="0" applyNumberFormat="1" applyFont="1" applyFill="1" applyBorder="1" applyAlignment="1">
      <alignment horizontal="center" vertical="center"/>
    </xf>
    <xf numFmtId="164" fontId="3" fillId="12" borderId="10" xfId="0" applyNumberFormat="1" applyFont="1" applyFill="1" applyBorder="1" applyAlignment="1">
      <alignment horizontal="center" vertical="center"/>
    </xf>
    <xf numFmtId="49" fontId="12" fillId="3" borderId="4" xfId="0" applyNumberFormat="1" applyFont="1" applyFill="1" applyBorder="1" applyAlignment="1">
      <alignment horizontal="right"/>
    </xf>
    <xf numFmtId="164" fontId="4" fillId="3" borderId="4" xfId="0" applyNumberFormat="1" applyFont="1" applyFill="1" applyBorder="1" applyAlignment="1">
      <alignment horizontal="center"/>
    </xf>
    <xf numFmtId="0" fontId="4" fillId="3" borderId="4" xfId="0" applyFont="1" applyFill="1" applyBorder="1" applyAlignment="1"/>
    <xf numFmtId="164" fontId="4" fillId="3" borderId="26" xfId="0" applyNumberFormat="1" applyFont="1" applyFill="1" applyBorder="1" applyAlignment="1">
      <alignment horizontal="center"/>
    </xf>
    <xf numFmtId="49" fontId="3" fillId="3" borderId="27" xfId="0" applyNumberFormat="1" applyFont="1" applyFill="1" applyBorder="1" applyAlignment="1">
      <alignment horizontal="right"/>
    </xf>
    <xf numFmtId="164" fontId="3" fillId="13" borderId="28" xfId="0" applyNumberFormat="1" applyFont="1" applyFill="1" applyBorder="1" applyAlignment="1">
      <alignment horizontal="center"/>
    </xf>
    <xf numFmtId="164" fontId="4" fillId="3" borderId="5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right"/>
    </xf>
    <xf numFmtId="164" fontId="0" fillId="3" borderId="4" xfId="0" applyNumberFormat="1" applyFont="1" applyFill="1" applyBorder="1" applyAlignment="1"/>
    <xf numFmtId="0" fontId="0" fillId="0" borderId="0" xfId="0" applyNumberFormat="1" applyFont="1" applyAlignment="1"/>
    <xf numFmtId="0" fontId="0" fillId="3" borderId="26" xfId="0" applyFont="1" applyFill="1" applyBorder="1" applyAlignment="1"/>
    <xf numFmtId="49" fontId="5" fillId="6" borderId="30" xfId="0" applyNumberFormat="1" applyFont="1" applyFill="1" applyBorder="1" applyAlignment="1">
      <alignment horizontal="left" vertical="center"/>
    </xf>
    <xf numFmtId="49" fontId="3" fillId="3" borderId="22" xfId="0" applyNumberFormat="1" applyFont="1" applyFill="1" applyBorder="1" applyAlignment="1">
      <alignment vertical="center"/>
    </xf>
    <xf numFmtId="0" fontId="4" fillId="3" borderId="18" xfId="0" applyFont="1" applyFill="1" applyBorder="1" applyAlignment="1">
      <alignment vertical="center"/>
    </xf>
    <xf numFmtId="0" fontId="4" fillId="3" borderId="23" xfId="0" applyFont="1" applyFill="1" applyBorder="1" applyAlignment="1">
      <alignment vertical="center"/>
    </xf>
    <xf numFmtId="164" fontId="3" fillId="15" borderId="9" xfId="0" applyNumberFormat="1" applyFont="1" applyFill="1" applyBorder="1" applyAlignment="1">
      <alignment horizontal="center" vertical="center"/>
    </xf>
    <xf numFmtId="0" fontId="0" fillId="3" borderId="17" xfId="0" applyFont="1" applyFill="1" applyBorder="1" applyAlignment="1"/>
    <xf numFmtId="164" fontId="8" fillId="3" borderId="4" xfId="0" applyNumberFormat="1" applyFont="1" applyFill="1" applyBorder="1" applyAlignment="1">
      <alignment horizontal="center"/>
    </xf>
    <xf numFmtId="0" fontId="0" fillId="3" borderId="4" xfId="0" applyFont="1" applyFill="1" applyBorder="1" applyAlignment="1">
      <alignment horizontal="left"/>
    </xf>
    <xf numFmtId="0" fontId="0" fillId="3" borderId="4" xfId="0" applyFont="1" applyFill="1" applyBorder="1" applyAlignment="1">
      <alignment horizontal="center"/>
    </xf>
    <xf numFmtId="49" fontId="3" fillId="3" borderId="22" xfId="0" applyNumberFormat="1" applyFont="1" applyFill="1" applyBorder="1" applyAlignment="1">
      <alignment horizontal="right" vertical="center"/>
    </xf>
    <xf numFmtId="49" fontId="5" fillId="5" borderId="22" xfId="0" applyNumberFormat="1" applyFont="1" applyFill="1" applyBorder="1" applyAlignment="1">
      <alignment horizontal="right" vertical="center"/>
    </xf>
    <xf numFmtId="0" fontId="4" fillId="3" borderId="18" xfId="0" applyFont="1" applyFill="1" applyBorder="1" applyAlignment="1"/>
    <xf numFmtId="49" fontId="4" fillId="3" borderId="4" xfId="0" applyNumberFormat="1" applyFont="1" applyFill="1" applyBorder="1" applyAlignment="1">
      <alignment horizontal="right"/>
    </xf>
    <xf numFmtId="49" fontId="0" fillId="3" borderId="3" xfId="0" applyNumberFormat="1" applyFont="1" applyFill="1" applyBorder="1" applyAlignment="1"/>
    <xf numFmtId="0" fontId="4" fillId="3" borderId="4" xfId="0" applyFont="1" applyFill="1" applyBorder="1" applyAlignment="1">
      <alignment horizontal="right"/>
    </xf>
    <xf numFmtId="0" fontId="0" fillId="0" borderId="0" xfId="0" applyFont="1" applyAlignment="1"/>
    <xf numFmtId="0" fontId="13" fillId="3" borderId="14" xfId="0" applyFont="1" applyFill="1" applyBorder="1" applyAlignment="1"/>
    <xf numFmtId="0" fontId="13" fillId="3" borderId="4" xfId="0" applyFont="1" applyFill="1" applyBorder="1" applyAlignment="1"/>
    <xf numFmtId="0" fontId="13" fillId="3" borderId="4" xfId="0" applyFont="1" applyFill="1" applyBorder="1" applyAlignment="1">
      <alignment horizontal="center"/>
    </xf>
    <xf numFmtId="49" fontId="4" fillId="3" borderId="31" xfId="0" applyNumberFormat="1" applyFont="1" applyFill="1" applyBorder="1" applyAlignment="1">
      <alignment horizontal="right"/>
    </xf>
    <xf numFmtId="0" fontId="13" fillId="3" borderId="3" xfId="0" applyFont="1" applyFill="1" applyBorder="1" applyAlignment="1"/>
    <xf numFmtId="164" fontId="4" fillId="3" borderId="28" xfId="0" applyNumberFormat="1" applyFont="1" applyFill="1" applyBorder="1" applyAlignment="1">
      <alignment horizontal="center" vertical="center"/>
    </xf>
    <xf numFmtId="0" fontId="0" fillId="3" borderId="33" xfId="0" applyFont="1" applyFill="1" applyBorder="1" applyAlignment="1"/>
    <xf numFmtId="0" fontId="0" fillId="0" borderId="28" xfId="0" applyNumberFormat="1" applyFont="1" applyBorder="1" applyAlignment="1"/>
    <xf numFmtId="49" fontId="3" fillId="3" borderId="26" xfId="0" applyNumberFormat="1" applyFont="1" applyFill="1" applyBorder="1" applyAlignment="1">
      <alignment horizontal="left" vertical="center"/>
    </xf>
    <xf numFmtId="49" fontId="3" fillId="3" borderId="34" xfId="0" applyNumberFormat="1" applyFont="1" applyFill="1" applyBorder="1" applyAlignment="1">
      <alignment vertical="center"/>
    </xf>
    <xf numFmtId="164" fontId="3" fillId="7" borderId="35" xfId="0" applyNumberFormat="1" applyFont="1" applyFill="1" applyBorder="1" applyAlignment="1">
      <alignment horizontal="center" vertical="center"/>
    </xf>
    <xf numFmtId="164" fontId="4" fillId="3" borderId="32" xfId="0" applyNumberFormat="1" applyFont="1" applyFill="1" applyBorder="1" applyAlignment="1">
      <alignment horizontal="center" vertical="center"/>
    </xf>
    <xf numFmtId="49" fontId="4" fillId="3" borderId="36" xfId="0" applyNumberFormat="1" applyFont="1" applyFill="1" applyBorder="1" applyAlignment="1">
      <alignment vertical="center"/>
    </xf>
    <xf numFmtId="164" fontId="4" fillId="3" borderId="37" xfId="0" applyNumberFormat="1" applyFont="1" applyFill="1" applyBorder="1" applyAlignment="1">
      <alignment horizontal="center" vertical="center"/>
    </xf>
    <xf numFmtId="164" fontId="4" fillId="3" borderId="38" xfId="0" applyNumberFormat="1" applyFont="1" applyFill="1" applyBorder="1" applyAlignment="1">
      <alignment horizontal="center" vertical="center"/>
    </xf>
    <xf numFmtId="49" fontId="4" fillId="3" borderId="39" xfId="0" applyNumberFormat="1" applyFont="1" applyFill="1" applyBorder="1" applyAlignment="1">
      <alignment vertical="center"/>
    </xf>
    <xf numFmtId="164" fontId="4" fillId="3" borderId="40" xfId="0" applyNumberFormat="1" applyFont="1" applyFill="1" applyBorder="1" applyAlignment="1">
      <alignment horizontal="center" vertical="center"/>
    </xf>
    <xf numFmtId="49" fontId="4" fillId="3" borderId="41" xfId="0" applyNumberFormat="1" applyFont="1" applyFill="1" applyBorder="1" applyAlignment="1">
      <alignment vertical="center"/>
    </xf>
    <xf numFmtId="164" fontId="4" fillId="3" borderId="42" xfId="0" applyNumberFormat="1" applyFont="1" applyFill="1" applyBorder="1" applyAlignment="1">
      <alignment horizontal="center" vertical="center"/>
    </xf>
    <xf numFmtId="164" fontId="4" fillId="3" borderId="43" xfId="0" applyNumberFormat="1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/>
    </xf>
    <xf numFmtId="49" fontId="8" fillId="3" borderId="3" xfId="0" applyNumberFormat="1" applyFont="1" applyFill="1" applyBorder="1" applyAlignment="1">
      <alignment horizontal="left"/>
    </xf>
    <xf numFmtId="49" fontId="0" fillId="3" borderId="3" xfId="0" applyNumberFormat="1" applyFont="1" applyFill="1" applyBorder="1" applyAlignment="1">
      <alignment horizontal="center"/>
    </xf>
    <xf numFmtId="49" fontId="5" fillId="6" borderId="29" xfId="0" applyNumberFormat="1" applyFont="1" applyFill="1" applyBorder="1" applyAlignment="1">
      <alignment horizontal="left" vertical="center"/>
    </xf>
    <xf numFmtId="164" fontId="3" fillId="15" borderId="35" xfId="0" applyNumberFormat="1" applyFont="1" applyFill="1" applyBorder="1" applyAlignment="1">
      <alignment horizontal="center" vertical="center"/>
    </xf>
    <xf numFmtId="49" fontId="3" fillId="3" borderId="44" xfId="0" applyNumberFormat="1" applyFont="1" applyFill="1" applyBorder="1" applyAlignment="1">
      <alignment horizontal="left" vertical="center"/>
    </xf>
    <xf numFmtId="49" fontId="8" fillId="3" borderId="27" xfId="0" applyNumberFormat="1" applyFont="1" applyFill="1" applyBorder="1" applyAlignment="1">
      <alignment horizontal="right" vertical="center"/>
    </xf>
    <xf numFmtId="49" fontId="8" fillId="3" borderId="45" xfId="0" applyNumberFormat="1" applyFont="1" applyFill="1" applyBorder="1" applyAlignment="1">
      <alignment horizontal="right" vertical="center"/>
    </xf>
    <xf numFmtId="0" fontId="5" fillId="6" borderId="28" xfId="0" applyFont="1" applyFill="1" applyBorder="1" applyAlignment="1">
      <alignment horizontal="left" vertical="center"/>
    </xf>
    <xf numFmtId="0" fontId="0" fillId="3" borderId="31" xfId="0" applyFont="1" applyFill="1" applyBorder="1" applyAlignment="1"/>
    <xf numFmtId="49" fontId="5" fillId="5" borderId="49" xfId="0" applyNumberFormat="1" applyFont="1" applyFill="1" applyBorder="1" applyAlignment="1">
      <alignment vertical="center"/>
    </xf>
    <xf numFmtId="49" fontId="5" fillId="5" borderId="46" xfId="0" applyNumberFormat="1" applyFont="1" applyFill="1" applyBorder="1" applyAlignment="1">
      <alignment vertical="center"/>
    </xf>
    <xf numFmtId="164" fontId="3" fillId="14" borderId="41" xfId="0" applyNumberFormat="1" applyFont="1" applyFill="1" applyBorder="1" applyAlignment="1">
      <alignment horizontal="center" vertical="center"/>
    </xf>
    <xf numFmtId="164" fontId="3" fillId="14" borderId="42" xfId="0" applyNumberFormat="1" applyFont="1" applyFill="1" applyBorder="1" applyAlignment="1">
      <alignment horizontal="center" vertical="center"/>
    </xf>
    <xf numFmtId="164" fontId="3" fillId="14" borderId="43" xfId="0" applyNumberFormat="1" applyFont="1" applyFill="1" applyBorder="1" applyAlignment="1">
      <alignment horizontal="center" vertical="center"/>
    </xf>
    <xf numFmtId="0" fontId="0" fillId="3" borderId="27" xfId="0" applyFont="1" applyFill="1" applyBorder="1" applyAlignment="1"/>
    <xf numFmtId="164" fontId="3" fillId="3" borderId="50" xfId="0" applyNumberFormat="1" applyFont="1" applyFill="1" applyBorder="1" applyAlignment="1">
      <alignment horizontal="center" vertical="center"/>
    </xf>
    <xf numFmtId="164" fontId="3" fillId="3" borderId="51" xfId="0" applyNumberFormat="1" applyFont="1" applyFill="1" applyBorder="1" applyAlignment="1">
      <alignment horizontal="center" vertical="center"/>
    </xf>
    <xf numFmtId="164" fontId="3" fillId="3" borderId="52" xfId="0" applyNumberFormat="1" applyFont="1" applyFill="1" applyBorder="1" applyAlignment="1">
      <alignment horizontal="center" vertical="center"/>
    </xf>
    <xf numFmtId="49" fontId="3" fillId="4" borderId="53" xfId="0" applyNumberFormat="1" applyFont="1" applyFill="1" applyBorder="1" applyAlignment="1">
      <alignment horizontal="center" vertical="center"/>
    </xf>
    <xf numFmtId="49" fontId="3" fillId="4" borderId="54" xfId="0" applyNumberFormat="1" applyFont="1" applyFill="1" applyBorder="1" applyAlignment="1">
      <alignment horizontal="center" vertical="center"/>
    </xf>
    <xf numFmtId="49" fontId="3" fillId="4" borderId="55" xfId="0" applyNumberFormat="1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vertical="center"/>
    </xf>
    <xf numFmtId="0" fontId="0" fillId="3" borderId="32" xfId="0" applyFont="1" applyFill="1" applyBorder="1" applyAlignment="1"/>
    <xf numFmtId="0" fontId="0" fillId="3" borderId="40" xfId="0" applyFont="1" applyFill="1" applyBorder="1" applyAlignment="1"/>
    <xf numFmtId="165" fontId="0" fillId="3" borderId="3" xfId="0" applyNumberFormat="1" applyFont="1" applyFill="1" applyBorder="1" applyAlignment="1"/>
    <xf numFmtId="49" fontId="3" fillId="7" borderId="34" xfId="0" applyNumberFormat="1" applyFont="1" applyFill="1" applyBorder="1" applyAlignment="1">
      <alignment vertical="center"/>
    </xf>
    <xf numFmtId="164" fontId="10" fillId="9" borderId="56" xfId="0" applyNumberFormat="1" applyFont="1" applyFill="1" applyBorder="1" applyAlignment="1">
      <alignment vertical="center"/>
    </xf>
    <xf numFmtId="164" fontId="3" fillId="7" borderId="34" xfId="0" applyNumberFormat="1" applyFont="1" applyFill="1" applyBorder="1" applyAlignment="1">
      <alignment horizontal="center" vertical="center"/>
    </xf>
    <xf numFmtId="164" fontId="9" fillId="3" borderId="32" xfId="0" applyNumberFormat="1" applyFont="1" applyFill="1" applyBorder="1" applyAlignment="1">
      <alignment vertical="center"/>
    </xf>
    <xf numFmtId="164" fontId="9" fillId="3" borderId="37" xfId="0" applyNumberFormat="1" applyFont="1" applyFill="1" applyBorder="1" applyAlignment="1">
      <alignment vertical="center"/>
    </xf>
    <xf numFmtId="49" fontId="4" fillId="8" borderId="39" xfId="0" applyNumberFormat="1" applyFont="1" applyFill="1" applyBorder="1" applyAlignment="1">
      <alignment vertical="center"/>
    </xf>
    <xf numFmtId="164" fontId="9" fillId="3" borderId="42" xfId="0" applyNumberFormat="1" applyFont="1" applyFill="1" applyBorder="1" applyAlignment="1">
      <alignment vertical="center"/>
    </xf>
    <xf numFmtId="49" fontId="4" fillId="3" borderId="39" xfId="0" applyNumberFormat="1" applyFont="1" applyFill="1" applyBorder="1" applyAlignment="1">
      <alignment horizontal="left" vertical="center"/>
    </xf>
    <xf numFmtId="0" fontId="0" fillId="16" borderId="4" xfId="0" applyFont="1" applyFill="1" applyBorder="1" applyAlignment="1"/>
    <xf numFmtId="3" fontId="0" fillId="3" borderId="4" xfId="0" applyNumberFormat="1" applyFont="1" applyFill="1" applyBorder="1" applyAlignment="1"/>
    <xf numFmtId="44" fontId="0" fillId="0" borderId="3" xfId="0" applyNumberFormat="1" applyFont="1" applyFill="1" applyBorder="1" applyAlignment="1"/>
    <xf numFmtId="49" fontId="4" fillId="3" borderId="39" xfId="0" applyNumberFormat="1" applyFont="1" applyFill="1" applyBorder="1" applyAlignment="1">
      <alignment horizontal="left" vertical="center"/>
    </xf>
    <xf numFmtId="49" fontId="4" fillId="3" borderId="32" xfId="0" applyNumberFormat="1" applyFont="1" applyFill="1" applyBorder="1" applyAlignment="1">
      <alignment horizontal="left" vertical="center"/>
    </xf>
    <xf numFmtId="49" fontId="4" fillId="3" borderId="41" xfId="0" applyNumberFormat="1" applyFont="1" applyFill="1" applyBorder="1" applyAlignment="1">
      <alignment horizontal="left" vertical="center"/>
    </xf>
    <xf numFmtId="49" fontId="4" fillId="3" borderId="42" xfId="0" applyNumberFormat="1" applyFont="1" applyFill="1" applyBorder="1" applyAlignment="1">
      <alignment horizontal="left" vertical="center"/>
    </xf>
    <xf numFmtId="0" fontId="4" fillId="3" borderId="19" xfId="0" applyFont="1" applyFill="1" applyBorder="1" applyAlignment="1">
      <alignment horizontal="left" vertical="center"/>
    </xf>
    <xf numFmtId="0" fontId="4" fillId="3" borderId="32" xfId="0" applyFont="1" applyFill="1" applyBorder="1" applyAlignment="1">
      <alignment horizontal="left" vertical="center"/>
    </xf>
    <xf numFmtId="0" fontId="4" fillId="3" borderId="42" xfId="0" applyFont="1" applyFill="1" applyBorder="1" applyAlignment="1">
      <alignment horizontal="left" vertical="center"/>
    </xf>
    <xf numFmtId="49" fontId="3" fillId="7" borderId="47" xfId="0" applyNumberFormat="1" applyFont="1" applyFill="1" applyBorder="1" applyAlignment="1">
      <alignment horizontal="left" vertical="center"/>
    </xf>
    <xf numFmtId="0" fontId="3" fillId="7" borderId="48" xfId="0" applyFont="1" applyFill="1" applyBorder="1" applyAlignment="1">
      <alignment horizontal="left" vertical="center"/>
    </xf>
    <xf numFmtId="49" fontId="4" fillId="3" borderId="36" xfId="0" applyNumberFormat="1" applyFont="1" applyFill="1" applyBorder="1" applyAlignment="1">
      <alignment horizontal="left" vertical="center"/>
    </xf>
    <xf numFmtId="0" fontId="4" fillId="3" borderId="37" xfId="0" applyFont="1" applyFill="1" applyBorder="1" applyAlignment="1">
      <alignment horizontal="left" vertical="center"/>
    </xf>
    <xf numFmtId="49" fontId="5" fillId="5" borderId="20" xfId="0" applyNumberFormat="1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4" fillId="10" borderId="19" xfId="0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5" fillId="5" borderId="15" xfId="0" applyNumberFormat="1" applyFont="1" applyFill="1" applyBorder="1" applyAlignment="1">
      <alignment horizontal="center" vertical="center"/>
    </xf>
    <xf numFmtId="0" fontId="5" fillId="5" borderId="16" xfId="0" applyFont="1" applyFill="1" applyBorder="1" applyAlignment="1">
      <alignment horizontal="center" vertical="center"/>
    </xf>
    <xf numFmtId="49" fontId="3" fillId="3" borderId="12" xfId="0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right" vertical="center"/>
    </xf>
    <xf numFmtId="49" fontId="3" fillId="3" borderId="15" xfId="0" applyNumberFormat="1" applyFont="1" applyFill="1" applyBorder="1" applyAlignment="1">
      <alignment horizontal="right" vertical="center"/>
    </xf>
    <xf numFmtId="0" fontId="3" fillId="3" borderId="16" xfId="0" applyFont="1" applyFill="1" applyBorder="1" applyAlignment="1">
      <alignment horizontal="right" vertical="center"/>
    </xf>
    <xf numFmtId="49" fontId="5" fillId="5" borderId="12" xfId="0" applyNumberFormat="1" applyFont="1" applyFill="1" applyBorder="1" applyAlignment="1">
      <alignment horizontal="center" vertical="center"/>
    </xf>
    <xf numFmtId="0" fontId="5" fillId="5" borderId="13" xfId="0" applyFont="1" applyFill="1" applyBorder="1" applyAlignment="1">
      <alignment horizontal="center" vertical="center"/>
    </xf>
    <xf numFmtId="49" fontId="4" fillId="3" borderId="37" xfId="0" applyNumberFormat="1" applyFont="1" applyFill="1" applyBorder="1" applyAlignment="1">
      <alignment horizontal="left" vertical="center"/>
    </xf>
    <xf numFmtId="49" fontId="2" fillId="2" borderId="29" xfId="0" applyNumberFormat="1" applyFont="1" applyFill="1" applyBorder="1" applyAlignment="1">
      <alignment horizontal="center" vertical="center"/>
    </xf>
    <xf numFmtId="164" fontId="4" fillId="17" borderId="40" xfId="0" applyNumberFormat="1" applyFont="1" applyFill="1" applyBorder="1" applyAlignment="1">
      <alignment horizontal="center" vertical="center"/>
    </xf>
    <xf numFmtId="164" fontId="4" fillId="17" borderId="43" xfId="0" applyNumberFormat="1" applyFont="1" applyFill="1" applyBorder="1" applyAlignment="1">
      <alignment horizontal="center" vertical="center"/>
    </xf>
    <xf numFmtId="164" fontId="4" fillId="17" borderId="4" xfId="0" applyNumberFormat="1" applyFont="1" applyFill="1" applyBorder="1" applyAlignment="1">
      <alignment horizontal="center"/>
    </xf>
    <xf numFmtId="0" fontId="0" fillId="17" borderId="4" xfId="0" applyFont="1" applyFill="1" applyBorder="1" applyAlignment="1"/>
    <xf numFmtId="49" fontId="0" fillId="17" borderId="4" xfId="0" applyNumberFormat="1" applyFont="1" applyFill="1" applyBorder="1" applyAlignment="1"/>
    <xf numFmtId="49" fontId="0" fillId="0" borderId="3" xfId="0" applyNumberFormat="1" applyFont="1" applyFill="1" applyBorder="1" applyAlignment="1"/>
    <xf numFmtId="164" fontId="4" fillId="0" borderId="40" xfId="0" applyNumberFormat="1" applyFont="1" applyFill="1" applyBorder="1" applyAlignment="1">
      <alignment horizontal="center" vertical="center"/>
    </xf>
    <xf numFmtId="0" fontId="0" fillId="0" borderId="3" xfId="0" applyFont="1" applyFill="1" applyBorder="1" applyAlignment="1"/>
    <xf numFmtId="164" fontId="20" fillId="0" borderId="40" xfId="0" applyNumberFormat="1" applyFont="1" applyFill="1" applyBorder="1" applyAlignment="1">
      <alignment horizontal="center" vertical="center"/>
    </xf>
    <xf numFmtId="49" fontId="19" fillId="0" borderId="3" xfId="0" applyNumberFormat="1" applyFont="1" applyFill="1" applyBorder="1" applyAlignment="1"/>
    <xf numFmtId="164" fontId="4" fillId="0" borderId="19" xfId="0" applyNumberFormat="1" applyFont="1" applyFill="1" applyBorder="1" applyAlignment="1">
      <alignment horizontal="center" vertical="center"/>
    </xf>
    <xf numFmtId="164" fontId="4" fillId="0" borderId="4" xfId="0" applyNumberFormat="1" applyFont="1" applyFill="1" applyBorder="1" applyAlignment="1">
      <alignment horizontal="center"/>
    </xf>
    <xf numFmtId="164" fontId="4" fillId="0" borderId="32" xfId="0" applyNumberFormat="1" applyFont="1" applyFill="1" applyBorder="1" applyAlignment="1">
      <alignment horizontal="center" vertical="center"/>
    </xf>
    <xf numFmtId="164" fontId="3" fillId="3" borderId="57" xfId="0" applyNumberFormat="1" applyFont="1" applyFill="1" applyBorder="1" applyAlignment="1">
      <alignment horizontal="center" vertical="center"/>
    </xf>
    <xf numFmtId="164" fontId="3" fillId="3" borderId="58" xfId="0" applyNumberFormat="1" applyFont="1" applyFill="1" applyBorder="1" applyAlignment="1">
      <alignment horizontal="center" vertical="center"/>
    </xf>
    <xf numFmtId="164" fontId="3" fillId="3" borderId="59" xfId="0" applyNumberFormat="1" applyFont="1" applyFill="1" applyBorder="1" applyAlignment="1">
      <alignment horizontal="center" vertical="center"/>
    </xf>
    <xf numFmtId="164" fontId="3" fillId="14" borderId="36" xfId="0" applyNumberFormat="1" applyFont="1" applyFill="1" applyBorder="1" applyAlignment="1">
      <alignment horizontal="center" vertical="center"/>
    </xf>
    <xf numFmtId="164" fontId="3" fillId="14" borderId="37" xfId="0" applyNumberFormat="1" applyFont="1" applyFill="1" applyBorder="1" applyAlignment="1">
      <alignment horizontal="center" vertical="center"/>
    </xf>
    <xf numFmtId="164" fontId="3" fillId="14" borderId="38" xfId="0" applyNumberFormat="1" applyFont="1" applyFill="1" applyBorder="1" applyAlignment="1">
      <alignment horizontal="center" vertical="center"/>
    </xf>
    <xf numFmtId="49" fontId="2" fillId="2" borderId="28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164" fontId="20" fillId="0" borderId="32" xfId="0" applyNumberFormat="1" applyFont="1" applyFill="1" applyBorder="1" applyAlignment="1">
      <alignment horizontal="center" vertical="center"/>
    </xf>
    <xf numFmtId="49" fontId="4" fillId="3" borderId="60" xfId="0" applyNumberFormat="1" applyFont="1" applyFill="1" applyBorder="1" applyAlignment="1">
      <alignment horizontal="left" vertical="center"/>
    </xf>
    <xf numFmtId="0" fontId="4" fillId="3" borderId="61" xfId="0" applyFont="1" applyFill="1" applyBorder="1" applyAlignment="1">
      <alignment horizontal="left" vertical="center"/>
    </xf>
    <xf numFmtId="164" fontId="4" fillId="3" borderId="61" xfId="0" applyNumberFormat="1" applyFont="1" applyFill="1" applyBorder="1" applyAlignment="1">
      <alignment horizontal="center" vertical="center"/>
    </xf>
    <xf numFmtId="164" fontId="4" fillId="3" borderId="62" xfId="0" applyNumberFormat="1" applyFont="1" applyFill="1" applyBorder="1" applyAlignment="1">
      <alignment horizontal="center" vertical="center"/>
    </xf>
    <xf numFmtId="49" fontId="4" fillId="3" borderId="63" xfId="0" applyNumberFormat="1" applyFont="1" applyFill="1" applyBorder="1" applyAlignment="1">
      <alignment horizontal="left" vertical="center"/>
    </xf>
    <xf numFmtId="164" fontId="4" fillId="3" borderId="64" xfId="0" applyNumberFormat="1" applyFont="1" applyFill="1" applyBorder="1" applyAlignment="1">
      <alignment horizontal="center" vertical="center"/>
    </xf>
    <xf numFmtId="49" fontId="4" fillId="3" borderId="65" xfId="0" applyNumberFormat="1" applyFont="1" applyFill="1" applyBorder="1" applyAlignment="1">
      <alignment horizontal="left" vertical="center"/>
    </xf>
    <xf numFmtId="0" fontId="4" fillId="3" borderId="66" xfId="0" applyFont="1" applyFill="1" applyBorder="1" applyAlignment="1">
      <alignment horizontal="left" vertical="center"/>
    </xf>
    <xf numFmtId="164" fontId="4" fillId="3" borderId="66" xfId="0" applyNumberFormat="1" applyFont="1" applyFill="1" applyBorder="1" applyAlignment="1">
      <alignment horizontal="center" vertical="center"/>
    </xf>
    <xf numFmtId="164" fontId="4" fillId="3" borderId="67" xfId="0" applyNumberFormat="1" applyFont="1" applyFill="1" applyBorder="1" applyAlignment="1">
      <alignment horizontal="center" vertical="center"/>
    </xf>
    <xf numFmtId="164" fontId="4" fillId="0" borderId="64" xfId="0" applyNumberFormat="1" applyFont="1" applyFill="1" applyBorder="1" applyAlignment="1">
      <alignment horizontal="center" vertical="center"/>
    </xf>
    <xf numFmtId="164" fontId="4" fillId="0" borderId="61" xfId="0" applyNumberFormat="1" applyFont="1" applyFill="1" applyBorder="1" applyAlignment="1">
      <alignment horizontal="center" vertical="center"/>
    </xf>
    <xf numFmtId="164" fontId="4" fillId="0" borderId="62" xfId="0" applyNumberFormat="1" applyFont="1" applyFill="1" applyBorder="1" applyAlignment="1">
      <alignment horizontal="center" vertical="center"/>
    </xf>
    <xf numFmtId="49" fontId="4" fillId="10" borderId="63" xfId="0" applyNumberFormat="1" applyFont="1" applyFill="1" applyBorder="1" applyAlignment="1">
      <alignment horizontal="left" vertical="center"/>
    </xf>
    <xf numFmtId="49" fontId="4" fillId="3" borderId="68" xfId="0" applyNumberFormat="1" applyFont="1" applyFill="1" applyBorder="1" applyAlignment="1">
      <alignment horizontal="left" vertical="center"/>
    </xf>
    <xf numFmtId="49" fontId="4" fillId="3" borderId="69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27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2D4D6A"/>
      <rgbColor rgb="FFAAAAAA"/>
      <rgbColor rgb="FFFF0000"/>
      <rgbColor rgb="FFBFBFBF"/>
      <rgbColor rgb="FF335593"/>
      <rgbColor rgb="FF7F7F7F"/>
      <rgbColor rgb="FFDEEAF6"/>
      <rgbColor rgb="FF4472C4"/>
      <rgbColor rgb="FFFFE598"/>
      <rgbColor rgb="FFBDD6EE"/>
      <rgbColor rgb="FFA5A5A5"/>
      <rgbColor rgb="FFA9CD90"/>
      <rgbColor rgb="FFFFFF00"/>
      <rgbColor rgb="FFD9E2F3"/>
      <rgbColor rgb="FF222A35"/>
      <rgbColor rgb="FF9CC2E5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126"/>
  <sheetViews>
    <sheetView showGridLines="0" topLeftCell="A82" zoomScale="77" zoomScaleNormal="77" workbookViewId="0">
      <selection activeCell="M96" sqref="M96"/>
    </sheetView>
  </sheetViews>
  <sheetFormatPr baseColWidth="10" defaultColWidth="10.85546875" defaultRowHeight="15" customHeight="1"/>
  <cols>
    <col min="1" max="1" width="27.28515625" style="1" customWidth="1"/>
    <col min="2" max="2" width="16" style="1" customWidth="1"/>
    <col min="3" max="7" width="20.42578125" style="1" customWidth="1"/>
    <col min="8" max="9" width="20.42578125" style="37" customWidth="1"/>
    <col min="10" max="10" width="13.28515625" style="1" customWidth="1"/>
    <col min="11" max="12" width="10.85546875" style="1" customWidth="1"/>
    <col min="13" max="13" width="18.42578125" style="1" customWidth="1"/>
    <col min="14" max="258" width="10.85546875" style="1" customWidth="1"/>
  </cols>
  <sheetData>
    <row r="1" spans="1:15" ht="23.25" customHeight="1">
      <c r="A1" s="128" t="s">
        <v>0</v>
      </c>
      <c r="B1" s="159"/>
      <c r="C1" s="159"/>
      <c r="D1" s="159"/>
      <c r="E1" s="159"/>
      <c r="F1" s="159"/>
      <c r="G1" s="159"/>
      <c r="H1" s="159"/>
      <c r="I1" s="159"/>
      <c r="J1" s="2"/>
      <c r="K1" s="3"/>
      <c r="L1" s="3"/>
      <c r="M1" s="3"/>
      <c r="N1" s="3"/>
      <c r="O1" s="3"/>
    </row>
    <row r="2" spans="1:15" ht="15.75" customHeight="1" thickBot="1">
      <c r="A2" s="4"/>
      <c r="B2" s="4"/>
      <c r="C2" s="5"/>
      <c r="D2" s="5"/>
      <c r="E2" s="5"/>
      <c r="F2" s="5"/>
      <c r="G2" s="5"/>
      <c r="H2" s="5"/>
      <c r="I2" s="5"/>
      <c r="J2" s="3"/>
      <c r="K2" s="3"/>
      <c r="L2" s="3"/>
      <c r="M2" s="3"/>
      <c r="N2" s="3"/>
      <c r="O2" s="3"/>
    </row>
    <row r="3" spans="1:15" ht="21" customHeight="1" thickBot="1">
      <c r="A3" s="6"/>
      <c r="B3" s="7"/>
      <c r="C3" s="8" t="s">
        <v>1</v>
      </c>
      <c r="D3" s="8" t="s">
        <v>2</v>
      </c>
      <c r="E3" s="8" t="s">
        <v>3</v>
      </c>
      <c r="F3" s="8" t="s">
        <v>4</v>
      </c>
      <c r="G3" s="9" t="s">
        <v>5</v>
      </c>
      <c r="H3" s="9" t="s">
        <v>182</v>
      </c>
      <c r="I3" s="9" t="s">
        <v>184</v>
      </c>
      <c r="J3" s="10"/>
      <c r="K3" s="3"/>
      <c r="L3" s="3"/>
      <c r="M3" s="3"/>
      <c r="N3" s="3"/>
      <c r="O3" s="3"/>
    </row>
    <row r="4" spans="1:15" ht="21" customHeight="1">
      <c r="A4" s="131" t="s">
        <v>6</v>
      </c>
      <c r="B4" s="132"/>
      <c r="C4" s="11"/>
      <c r="D4" s="11">
        <v>40212.18</v>
      </c>
      <c r="E4" s="11">
        <v>10191.39</v>
      </c>
      <c r="F4" s="11"/>
      <c r="G4" s="11"/>
      <c r="H4" s="11"/>
      <c r="I4" s="11"/>
      <c r="J4" s="12"/>
      <c r="K4" s="3"/>
      <c r="L4" s="3"/>
      <c r="M4" s="3"/>
      <c r="N4" s="3"/>
      <c r="O4" s="3"/>
    </row>
    <row r="5" spans="1:15" ht="21" customHeight="1" thickBot="1">
      <c r="A5" s="133" t="s">
        <v>7</v>
      </c>
      <c r="B5" s="134"/>
      <c r="C5" s="13"/>
      <c r="D5" s="13">
        <v>304827.52000000002</v>
      </c>
      <c r="E5" s="13">
        <f>D121-E4</f>
        <v>207101.90999999992</v>
      </c>
      <c r="F5" s="13"/>
      <c r="G5" s="13"/>
      <c r="H5" s="13"/>
      <c r="I5" s="13"/>
      <c r="J5" s="12"/>
      <c r="K5" s="3"/>
      <c r="L5" s="3"/>
      <c r="M5" s="3"/>
      <c r="N5" s="3"/>
      <c r="O5" s="3"/>
    </row>
    <row r="6" spans="1:15" ht="27" customHeight="1">
      <c r="A6" s="135" t="s">
        <v>8</v>
      </c>
      <c r="B6" s="136"/>
      <c r="C6" s="11">
        <f>2115541.53+709702.3</f>
        <v>2825243.83</v>
      </c>
      <c r="D6" s="11"/>
      <c r="E6" s="11"/>
      <c r="F6" s="11"/>
      <c r="G6" s="11"/>
      <c r="H6" s="11"/>
      <c r="I6" s="11"/>
      <c r="J6" s="12"/>
      <c r="K6" s="3"/>
      <c r="L6" s="3"/>
      <c r="M6" s="3"/>
      <c r="N6" s="3"/>
      <c r="O6" s="3"/>
    </row>
    <row r="7" spans="1:15" ht="27" customHeight="1" thickBot="1">
      <c r="A7" s="129" t="s">
        <v>9</v>
      </c>
      <c r="B7" s="130"/>
      <c r="C7" s="13">
        <v>282000</v>
      </c>
      <c r="D7" s="13">
        <v>282000</v>
      </c>
      <c r="E7" s="13">
        <f>250000+50000+300000</f>
        <v>600000</v>
      </c>
      <c r="F7" s="13">
        <v>170000</v>
      </c>
      <c r="G7" s="13">
        <f>65932.7+59201.44+50400+45560</f>
        <v>221094.14</v>
      </c>
      <c r="H7" s="13"/>
      <c r="I7" s="13"/>
      <c r="J7" s="12"/>
      <c r="K7" s="3"/>
      <c r="L7" s="3"/>
      <c r="M7" s="3"/>
      <c r="N7" s="3"/>
      <c r="O7" s="3"/>
    </row>
    <row r="8" spans="1:15" ht="18" customHeight="1">
      <c r="A8" s="14"/>
      <c r="B8" s="14"/>
      <c r="C8" s="15"/>
      <c r="D8" s="15"/>
      <c r="E8" s="15"/>
      <c r="F8" s="15"/>
      <c r="G8" s="15"/>
      <c r="H8" s="15"/>
      <c r="I8" s="15"/>
      <c r="J8" s="3"/>
      <c r="K8" s="3"/>
      <c r="L8" s="3"/>
      <c r="M8" s="3"/>
      <c r="N8" s="3"/>
      <c r="O8" s="3"/>
    </row>
    <row r="9" spans="1:15" ht="18" customHeight="1" thickBot="1">
      <c r="A9" s="78" t="s">
        <v>10</v>
      </c>
      <c r="B9" s="83"/>
      <c r="C9" s="61"/>
      <c r="D9" s="38"/>
      <c r="E9" s="38"/>
      <c r="F9" s="38"/>
      <c r="G9" s="38"/>
      <c r="H9" s="38"/>
      <c r="I9" s="38"/>
      <c r="J9" s="3"/>
      <c r="K9" s="3"/>
      <c r="L9" s="3"/>
      <c r="M9" s="3"/>
      <c r="N9" s="3"/>
      <c r="O9" s="3"/>
    </row>
    <row r="10" spans="1:15" ht="15" customHeight="1">
      <c r="A10" s="121" t="s">
        <v>11</v>
      </c>
      <c r="B10" s="122"/>
      <c r="C10" s="68">
        <f>2630.98</f>
        <v>2630.98</v>
      </c>
      <c r="D10" s="68"/>
      <c r="E10" s="68"/>
      <c r="F10" s="68"/>
      <c r="G10" s="68"/>
      <c r="H10" s="68"/>
      <c r="I10" s="69"/>
      <c r="J10" s="2"/>
      <c r="K10" s="3"/>
      <c r="L10" s="3"/>
      <c r="M10" s="3"/>
      <c r="N10" s="3"/>
      <c r="O10" s="3"/>
    </row>
    <row r="11" spans="1:15" ht="15" customHeight="1">
      <c r="A11" s="112" t="s">
        <v>12</v>
      </c>
      <c r="B11" s="117"/>
      <c r="C11" s="66">
        <f>2000+12035.1</f>
        <v>14035.1</v>
      </c>
      <c r="D11" s="66"/>
      <c r="E11" s="66"/>
      <c r="F11" s="98"/>
      <c r="G11" s="98"/>
      <c r="H11" s="98"/>
      <c r="I11" s="99"/>
      <c r="J11" s="2"/>
      <c r="K11" s="3"/>
      <c r="L11" s="3"/>
      <c r="M11" s="3"/>
      <c r="N11" s="3"/>
      <c r="O11" s="3"/>
    </row>
    <row r="12" spans="1:15" ht="15" customHeight="1">
      <c r="A12" s="112" t="s">
        <v>13</v>
      </c>
      <c r="B12" s="117"/>
      <c r="C12" s="66"/>
      <c r="D12" s="66"/>
      <c r="E12" s="66"/>
      <c r="F12" s="66"/>
      <c r="G12" s="66"/>
      <c r="H12" s="66"/>
      <c r="I12" s="71"/>
      <c r="J12" s="2"/>
      <c r="K12" s="3"/>
      <c r="L12" s="3"/>
      <c r="M12" s="3"/>
      <c r="N12" s="3"/>
      <c r="O12" s="3"/>
    </row>
    <row r="13" spans="1:15" ht="15" customHeight="1">
      <c r="A13" s="112" t="s">
        <v>14</v>
      </c>
      <c r="B13" s="117"/>
      <c r="C13" s="66">
        <f>30000+18000+12000</f>
        <v>60000</v>
      </c>
      <c r="D13" s="66"/>
      <c r="E13" s="66"/>
      <c r="F13" s="66"/>
      <c r="G13" s="66"/>
      <c r="H13" s="66"/>
      <c r="I13" s="71"/>
      <c r="J13" s="2"/>
      <c r="K13" s="3"/>
      <c r="L13" s="3"/>
      <c r="M13" s="3"/>
      <c r="N13" s="3"/>
      <c r="O13" s="3"/>
    </row>
    <row r="14" spans="1:15" ht="15" customHeight="1">
      <c r="A14" s="112" t="s">
        <v>15</v>
      </c>
      <c r="B14" s="117"/>
      <c r="C14" s="66">
        <f>6424.13+17925.64+5333.32+10735.15+5333.32+4412.92+1333.32+5862.08+8589.87+4637.84+7636.71+5862.08+7577.27+8099.61+8884.78+7818.61+8105.71+6758.13+6806.35+4535.08+5862.08</f>
        <v>148534</v>
      </c>
      <c r="D14" s="66"/>
      <c r="E14" s="66"/>
      <c r="F14" s="66"/>
      <c r="G14" s="66"/>
      <c r="H14" s="66"/>
      <c r="I14" s="71"/>
      <c r="J14" s="2"/>
      <c r="K14" s="3"/>
      <c r="L14" s="3"/>
      <c r="M14" s="3"/>
      <c r="N14" s="3"/>
      <c r="O14" s="3"/>
    </row>
    <row r="15" spans="1:15" ht="15" customHeight="1">
      <c r="A15" s="112" t="s">
        <v>16</v>
      </c>
      <c r="B15" s="117"/>
      <c r="C15" s="66">
        <v>1945.9</v>
      </c>
      <c r="D15" s="66"/>
      <c r="E15" s="66"/>
      <c r="F15" s="66"/>
      <c r="G15" s="66"/>
      <c r="H15" s="66"/>
      <c r="I15" s="71"/>
      <c r="J15" s="2"/>
      <c r="K15" s="3"/>
      <c r="L15" s="3"/>
      <c r="M15" s="3"/>
      <c r="N15" s="3"/>
      <c r="O15" s="3"/>
    </row>
    <row r="16" spans="1:15" ht="15" customHeight="1">
      <c r="A16" s="112" t="s">
        <v>17</v>
      </c>
      <c r="B16" s="117"/>
      <c r="C16" s="66"/>
      <c r="D16" s="66"/>
      <c r="E16" s="66"/>
      <c r="F16" s="66"/>
      <c r="G16" s="66"/>
      <c r="H16" s="66"/>
      <c r="I16" s="71"/>
      <c r="J16" s="2"/>
      <c r="K16" s="3"/>
      <c r="L16" s="3"/>
      <c r="M16" s="3"/>
      <c r="N16" s="3"/>
      <c r="O16" s="3"/>
    </row>
    <row r="17" spans="1:15" ht="15" customHeight="1">
      <c r="A17" s="112" t="s">
        <v>18</v>
      </c>
      <c r="B17" s="117"/>
      <c r="C17" s="66"/>
      <c r="D17" s="66"/>
      <c r="E17" s="66"/>
      <c r="F17" s="66"/>
      <c r="G17" s="66"/>
      <c r="H17" s="66"/>
      <c r="I17" s="71"/>
      <c r="J17" s="2"/>
      <c r="K17" s="3"/>
      <c r="L17" s="3"/>
      <c r="M17" s="3"/>
      <c r="N17" s="3"/>
      <c r="O17" s="3"/>
    </row>
    <row r="18" spans="1:15" ht="15" customHeight="1">
      <c r="A18" s="112" t="s">
        <v>19</v>
      </c>
      <c r="B18" s="117"/>
      <c r="C18" s="66">
        <v>2163.34</v>
      </c>
      <c r="D18" s="66"/>
      <c r="E18" s="66"/>
      <c r="F18" s="66"/>
      <c r="G18" s="66"/>
      <c r="H18" s="66"/>
      <c r="I18" s="71"/>
      <c r="J18" s="2"/>
      <c r="K18" s="3"/>
      <c r="L18" s="3"/>
      <c r="M18" s="3"/>
      <c r="N18" s="3"/>
      <c r="O18" s="3"/>
    </row>
    <row r="19" spans="1:15" ht="15" customHeight="1">
      <c r="A19" s="112" t="s">
        <v>20</v>
      </c>
      <c r="B19" s="117"/>
      <c r="C19" s="66"/>
      <c r="D19" s="66"/>
      <c r="E19" s="66"/>
      <c r="F19" s="66"/>
      <c r="G19" s="66"/>
      <c r="H19" s="66"/>
      <c r="I19" s="71"/>
      <c r="J19" s="2"/>
      <c r="K19" s="3"/>
      <c r="L19" s="3"/>
      <c r="M19" s="3"/>
      <c r="N19" s="3"/>
      <c r="O19" s="3"/>
    </row>
    <row r="20" spans="1:15" ht="15" customHeight="1" thickBot="1">
      <c r="A20" s="114" t="s">
        <v>21</v>
      </c>
      <c r="B20" s="118"/>
      <c r="C20" s="73"/>
      <c r="D20" s="73"/>
      <c r="E20" s="73"/>
      <c r="F20" s="73"/>
      <c r="G20" s="73"/>
      <c r="H20" s="73"/>
      <c r="I20" s="74"/>
      <c r="J20" s="2"/>
      <c r="K20" s="3"/>
      <c r="L20" s="3"/>
      <c r="M20" s="3"/>
      <c r="N20" s="3"/>
      <c r="O20" s="3"/>
    </row>
    <row r="21" spans="1:15" ht="18" customHeight="1" thickBot="1">
      <c r="A21" s="119" t="s">
        <v>22</v>
      </c>
      <c r="B21" s="120"/>
      <c r="C21" s="65">
        <f t="shared" ref="C21:H21" si="0">SUM(C10:C20)</f>
        <v>229309.32</v>
      </c>
      <c r="D21" s="65">
        <f t="shared" si="0"/>
        <v>0</v>
      </c>
      <c r="E21" s="65">
        <f t="shared" si="0"/>
        <v>0</v>
      </c>
      <c r="F21" s="65">
        <f t="shared" si="0"/>
        <v>0</v>
      </c>
      <c r="G21" s="65">
        <f t="shared" si="0"/>
        <v>0</v>
      </c>
      <c r="H21" s="65">
        <f t="shared" si="0"/>
        <v>0</v>
      </c>
      <c r="I21" s="65">
        <f t="shared" ref="I21" si="1">SUM(I10:I20)</f>
        <v>0</v>
      </c>
      <c r="J21" s="12"/>
      <c r="K21" s="3"/>
      <c r="L21" s="3"/>
      <c r="M21" s="3"/>
      <c r="N21" s="3"/>
      <c r="O21" s="3"/>
    </row>
    <row r="22" spans="1:15" ht="18" customHeight="1">
      <c r="A22" s="17"/>
      <c r="B22" s="17"/>
      <c r="C22" s="18"/>
      <c r="D22" s="18"/>
      <c r="E22" s="18"/>
      <c r="F22" s="18"/>
      <c r="G22" s="18"/>
      <c r="H22" s="18"/>
      <c r="I22" s="18"/>
      <c r="J22" s="3"/>
      <c r="K22" s="3"/>
      <c r="L22" s="3"/>
      <c r="M22" s="3"/>
      <c r="N22" s="3"/>
      <c r="O22" s="3"/>
    </row>
    <row r="23" spans="1:15" ht="18" customHeight="1" thickBot="1">
      <c r="A23" s="78" t="s">
        <v>23</v>
      </c>
      <c r="B23" s="83"/>
      <c r="C23" s="61"/>
      <c r="D23" s="38"/>
      <c r="E23" s="38"/>
      <c r="F23" s="38"/>
      <c r="G23" s="38"/>
      <c r="H23" s="38"/>
      <c r="I23" s="38"/>
      <c r="J23" s="3"/>
      <c r="K23" s="3"/>
      <c r="L23" s="3"/>
      <c r="M23" s="3"/>
      <c r="N23" s="3"/>
      <c r="O23" s="3"/>
    </row>
    <row r="24" spans="1:15" ht="15" customHeight="1">
      <c r="A24" s="121" t="s">
        <v>24</v>
      </c>
      <c r="B24" s="122"/>
      <c r="C24" s="68">
        <f>4408</f>
        <v>4408</v>
      </c>
      <c r="D24" s="68"/>
      <c r="E24" s="68"/>
      <c r="F24" s="68"/>
      <c r="G24" s="68"/>
      <c r="H24" s="68"/>
      <c r="I24" s="69"/>
      <c r="J24" s="2"/>
      <c r="K24" s="3"/>
      <c r="L24" s="3"/>
      <c r="M24" s="3"/>
      <c r="N24" s="3"/>
      <c r="O24" s="3"/>
    </row>
    <row r="25" spans="1:15" ht="15" customHeight="1">
      <c r="A25" s="112" t="s">
        <v>25</v>
      </c>
      <c r="B25" s="117"/>
      <c r="C25" s="66"/>
      <c r="D25" s="66"/>
      <c r="E25" s="66"/>
      <c r="F25" s="66"/>
      <c r="G25" s="66"/>
      <c r="H25" s="66"/>
      <c r="I25" s="71"/>
      <c r="J25" s="2"/>
      <c r="K25" s="3"/>
      <c r="L25" s="3"/>
      <c r="M25" s="3"/>
      <c r="N25" s="3"/>
      <c r="O25" s="3"/>
    </row>
    <row r="26" spans="1:15" ht="15" customHeight="1">
      <c r="A26" s="112" t="s">
        <v>26</v>
      </c>
      <c r="B26" s="117"/>
      <c r="C26" s="66">
        <v>50344</v>
      </c>
      <c r="D26" s="66"/>
      <c r="E26" s="66"/>
      <c r="F26" s="66"/>
      <c r="G26" s="66"/>
      <c r="H26" s="66"/>
      <c r="I26" s="71"/>
      <c r="J26" s="2"/>
      <c r="K26" s="3"/>
      <c r="L26" s="3"/>
      <c r="M26" s="3"/>
      <c r="N26" s="3"/>
      <c r="O26" s="3"/>
    </row>
    <row r="27" spans="1:15" ht="15.75" customHeight="1" thickBot="1">
      <c r="A27" s="114" t="s">
        <v>27</v>
      </c>
      <c r="B27" s="118"/>
      <c r="C27" s="73"/>
      <c r="D27" s="73"/>
      <c r="E27" s="73"/>
      <c r="F27" s="73"/>
      <c r="G27" s="73"/>
      <c r="H27" s="73"/>
      <c r="I27" s="74"/>
      <c r="J27" s="2"/>
      <c r="K27" s="3"/>
      <c r="L27" s="3"/>
      <c r="M27" s="3"/>
      <c r="N27" s="3"/>
      <c r="O27" s="3"/>
    </row>
    <row r="28" spans="1:15" ht="18" customHeight="1" thickBot="1">
      <c r="A28" s="119" t="s">
        <v>28</v>
      </c>
      <c r="B28" s="120"/>
      <c r="C28" s="65">
        <f t="shared" ref="C28:H28" si="2">SUM(C24:C27)</f>
        <v>54752</v>
      </c>
      <c r="D28" s="65">
        <f t="shared" si="2"/>
        <v>0</v>
      </c>
      <c r="E28" s="65">
        <f t="shared" si="2"/>
        <v>0</v>
      </c>
      <c r="F28" s="65">
        <f t="shared" si="2"/>
        <v>0</v>
      </c>
      <c r="G28" s="65">
        <f t="shared" si="2"/>
        <v>0</v>
      </c>
      <c r="H28" s="65">
        <f t="shared" si="2"/>
        <v>0</v>
      </c>
      <c r="I28" s="65">
        <f t="shared" ref="I28" si="3">SUM(I24:I27)</f>
        <v>0</v>
      </c>
      <c r="J28" s="12"/>
      <c r="K28" s="3"/>
      <c r="L28" s="3"/>
      <c r="M28" s="3"/>
      <c r="N28" s="3"/>
      <c r="O28" s="3"/>
    </row>
    <row r="29" spans="1:15" ht="18" customHeight="1">
      <c r="A29" s="17"/>
      <c r="B29" s="17"/>
      <c r="C29" s="18"/>
      <c r="D29" s="18"/>
      <c r="E29" s="18"/>
      <c r="F29" s="18"/>
      <c r="G29" s="18"/>
      <c r="H29" s="18"/>
      <c r="I29" s="18"/>
      <c r="J29" s="3"/>
      <c r="K29" s="3"/>
      <c r="L29" s="3"/>
      <c r="M29" s="3"/>
      <c r="N29" s="3"/>
      <c r="O29" s="3"/>
    </row>
    <row r="30" spans="1:15" ht="18" customHeight="1" thickBot="1">
      <c r="A30" s="78" t="s">
        <v>29</v>
      </c>
      <c r="B30" s="83"/>
      <c r="C30" s="61"/>
      <c r="D30" s="38"/>
      <c r="E30" s="38"/>
      <c r="F30" s="38"/>
      <c r="G30" s="38"/>
      <c r="H30" s="38"/>
      <c r="I30" s="38"/>
      <c r="J30" s="3"/>
      <c r="K30" s="3"/>
      <c r="L30" s="3"/>
      <c r="M30" s="3"/>
      <c r="N30" s="3"/>
      <c r="O30" s="3"/>
    </row>
    <row r="31" spans="1:15" ht="15" customHeight="1">
      <c r="A31" s="121" t="s">
        <v>30</v>
      </c>
      <c r="B31" s="137"/>
      <c r="C31" s="68"/>
      <c r="D31" s="68"/>
      <c r="E31" s="68"/>
      <c r="F31" s="68"/>
      <c r="G31" s="68"/>
      <c r="H31" s="68"/>
      <c r="I31" s="69"/>
      <c r="J31" s="2"/>
      <c r="K31" s="3"/>
      <c r="L31" s="3"/>
      <c r="M31" s="3"/>
      <c r="N31" s="3"/>
      <c r="O31" s="3"/>
    </row>
    <row r="32" spans="1:15" ht="15" customHeight="1">
      <c r="A32" s="70" t="s">
        <v>31</v>
      </c>
      <c r="B32" s="97"/>
      <c r="C32" s="66">
        <f>30000+12000+2310+2310+2520+2520+15000+9000+6000+2310+2310</f>
        <v>86280</v>
      </c>
      <c r="D32" s="66">
        <f t="shared" ref="D32:E32" si="4">30000+18000+12000+8400</f>
        <v>68400</v>
      </c>
      <c r="E32" s="66">
        <f t="shared" si="4"/>
        <v>68400</v>
      </c>
      <c r="F32" s="66">
        <f>15000+15000+9000+9000+6000+6000+2310+2310+2310+2310+6000+2310</f>
        <v>77550</v>
      </c>
      <c r="G32" s="66">
        <f>15000+9000+6000+6000+2310+2310+2310+43560</f>
        <v>86490</v>
      </c>
      <c r="H32" s="151">
        <f>(11100*2)+(8100*2)+(15000*2)</f>
        <v>68400</v>
      </c>
      <c r="I32" s="145">
        <f>(11100*2)+(8100*2)+(15000*2)+1200+600</f>
        <v>70200</v>
      </c>
      <c r="J32" s="146"/>
      <c r="K32" s="3"/>
      <c r="L32" s="3"/>
      <c r="M32" s="3"/>
      <c r="N32" s="3"/>
      <c r="O32" s="3"/>
    </row>
    <row r="33" spans="1:15" ht="15" customHeight="1">
      <c r="A33" s="70" t="s">
        <v>13</v>
      </c>
      <c r="B33" s="97"/>
      <c r="C33" s="66"/>
      <c r="D33" s="66"/>
      <c r="E33" s="66"/>
      <c r="F33" s="66"/>
      <c r="G33" s="66"/>
      <c r="H33" s="151"/>
      <c r="I33" s="145"/>
      <c r="J33" s="146"/>
      <c r="K33" s="3"/>
      <c r="L33" s="3"/>
      <c r="M33" s="3"/>
      <c r="N33" s="3"/>
      <c r="O33" s="3"/>
    </row>
    <row r="34" spans="1:15" ht="15" customHeight="1">
      <c r="A34" s="112" t="s">
        <v>32</v>
      </c>
      <c r="B34" s="113"/>
      <c r="C34" s="66"/>
      <c r="D34" s="66"/>
      <c r="E34" s="66"/>
      <c r="F34" s="66"/>
      <c r="G34" s="66"/>
      <c r="H34" s="151"/>
      <c r="I34" s="145"/>
      <c r="J34" s="146"/>
      <c r="K34" s="3"/>
      <c r="L34" s="3"/>
      <c r="M34" s="3"/>
      <c r="N34" s="3"/>
      <c r="O34" s="3"/>
    </row>
    <row r="35" spans="1:15" ht="15" customHeight="1">
      <c r="A35" s="112" t="s">
        <v>33</v>
      </c>
      <c r="B35" s="113"/>
      <c r="C35" s="66">
        <f>20000+2500+3100</f>
        <v>25600</v>
      </c>
      <c r="D35" s="66"/>
      <c r="E35" s="66"/>
      <c r="F35" s="66"/>
      <c r="G35" s="66"/>
      <c r="H35" s="151"/>
      <c r="I35" s="145"/>
      <c r="J35" s="146"/>
      <c r="K35" s="3"/>
      <c r="L35" s="3"/>
      <c r="M35" s="3"/>
      <c r="N35" s="3"/>
      <c r="O35" s="3"/>
    </row>
    <row r="36" spans="1:15" ht="15" customHeight="1">
      <c r="A36" s="112" t="s">
        <v>34</v>
      </c>
      <c r="B36" s="117"/>
      <c r="C36" s="66"/>
      <c r="D36" s="66"/>
      <c r="E36" s="66"/>
      <c r="F36" s="66"/>
      <c r="G36" s="66"/>
      <c r="H36" s="151"/>
      <c r="I36" s="145"/>
      <c r="J36" s="146"/>
      <c r="K36" s="3"/>
      <c r="L36" s="3"/>
      <c r="M36" s="3"/>
      <c r="N36" s="3"/>
      <c r="O36" s="3"/>
    </row>
    <row r="37" spans="1:15" ht="15" customHeight="1">
      <c r="A37" s="112" t="s">
        <v>35</v>
      </c>
      <c r="B37" s="113"/>
      <c r="C37" s="66">
        <v>10000</v>
      </c>
      <c r="D37" s="66"/>
      <c r="E37" s="66"/>
      <c r="F37" s="66"/>
      <c r="G37" s="66"/>
      <c r="H37" s="66"/>
      <c r="I37" s="71"/>
      <c r="J37" s="2"/>
      <c r="K37" s="3"/>
      <c r="L37" s="3"/>
      <c r="M37" s="3"/>
      <c r="N37" s="3"/>
      <c r="O37" s="3"/>
    </row>
    <row r="38" spans="1:15" ht="15" customHeight="1">
      <c r="A38" s="112" t="s">
        <v>36</v>
      </c>
      <c r="B38" s="113"/>
      <c r="C38" s="66">
        <f>14036</f>
        <v>14036</v>
      </c>
      <c r="D38" s="66"/>
      <c r="E38" s="66"/>
      <c r="F38" s="66"/>
      <c r="G38" s="66"/>
      <c r="H38" s="66"/>
      <c r="I38" s="71"/>
      <c r="J38" s="2"/>
      <c r="K38" s="3"/>
      <c r="L38" s="3"/>
      <c r="M38" s="3"/>
      <c r="N38" s="3"/>
      <c r="O38" s="3"/>
    </row>
    <row r="39" spans="1:15" ht="15" customHeight="1">
      <c r="A39" s="112" t="s">
        <v>37</v>
      </c>
      <c r="B39" s="113"/>
      <c r="C39" s="66"/>
      <c r="D39" s="66"/>
      <c r="E39" s="66"/>
      <c r="F39" s="66"/>
      <c r="G39" s="66"/>
      <c r="H39" s="66"/>
      <c r="I39" s="71"/>
      <c r="J39" s="2"/>
      <c r="K39" s="3"/>
      <c r="L39" s="3"/>
      <c r="M39" s="3"/>
      <c r="N39" s="3"/>
      <c r="O39" s="3"/>
    </row>
    <row r="40" spans="1:15" ht="15" customHeight="1">
      <c r="A40" s="112" t="s">
        <v>38</v>
      </c>
      <c r="B40" s="113"/>
      <c r="C40" s="66"/>
      <c r="D40" s="66"/>
      <c r="E40" s="66"/>
      <c r="F40" s="66"/>
      <c r="G40" s="66"/>
      <c r="H40" s="66"/>
      <c r="I40" s="71"/>
      <c r="J40" s="2"/>
      <c r="K40" s="3"/>
      <c r="L40" s="3"/>
      <c r="M40" s="3"/>
      <c r="N40" s="3"/>
      <c r="O40" s="3"/>
    </row>
    <row r="41" spans="1:15" ht="15" customHeight="1">
      <c r="A41" s="112" t="s">
        <v>39</v>
      </c>
      <c r="B41" s="113"/>
      <c r="C41" s="66">
        <v>87047.55</v>
      </c>
      <c r="D41" s="66"/>
      <c r="E41" s="66"/>
      <c r="F41" s="66"/>
      <c r="G41" s="66"/>
      <c r="H41" s="66"/>
      <c r="I41" s="71"/>
      <c r="J41" s="2"/>
      <c r="K41" s="3"/>
      <c r="L41" s="3"/>
      <c r="M41" s="3"/>
      <c r="N41" s="3"/>
      <c r="O41" s="3"/>
    </row>
    <row r="42" spans="1:15" ht="15" customHeight="1">
      <c r="A42" s="112" t="s">
        <v>40</v>
      </c>
      <c r="B42" s="113"/>
      <c r="C42" s="66"/>
      <c r="D42" s="66"/>
      <c r="E42" s="66"/>
      <c r="F42" s="66"/>
      <c r="G42" s="66"/>
      <c r="H42" s="66"/>
      <c r="I42" s="71"/>
      <c r="J42" s="2"/>
      <c r="K42" s="3"/>
      <c r="L42" s="3"/>
      <c r="M42" s="3"/>
      <c r="N42" s="3"/>
      <c r="O42" s="3"/>
    </row>
    <row r="43" spans="1:15" ht="15" customHeight="1">
      <c r="A43" s="112" t="s">
        <v>41</v>
      </c>
      <c r="B43" s="113"/>
      <c r="C43" s="66">
        <f>10000+10000</f>
        <v>20000</v>
      </c>
      <c r="D43" s="66">
        <v>10000</v>
      </c>
      <c r="E43" s="66">
        <v>10000</v>
      </c>
      <c r="F43" s="66">
        <v>10000</v>
      </c>
      <c r="G43" s="66"/>
      <c r="H43" s="66"/>
      <c r="I43" s="71"/>
      <c r="J43" s="2"/>
      <c r="K43" s="3"/>
      <c r="L43" s="3"/>
      <c r="M43" s="3"/>
      <c r="N43" s="3"/>
      <c r="O43" s="3"/>
    </row>
    <row r="44" spans="1:15" ht="15" customHeight="1">
      <c r="A44" s="112" t="s">
        <v>42</v>
      </c>
      <c r="B44" s="113"/>
      <c r="C44" s="66">
        <f>1725+1725+2200</f>
        <v>5650</v>
      </c>
      <c r="D44" s="66"/>
      <c r="E44" s="66"/>
      <c r="F44" s="66"/>
      <c r="G44" s="66"/>
      <c r="H44" s="66"/>
      <c r="I44" s="71"/>
      <c r="J44" s="2"/>
      <c r="K44" s="3"/>
      <c r="L44" s="3"/>
      <c r="M44" s="3"/>
      <c r="N44" s="3"/>
      <c r="O44" s="3"/>
    </row>
    <row r="45" spans="1:15" ht="15" customHeight="1">
      <c r="A45" s="112" t="s">
        <v>43</v>
      </c>
      <c r="B45" s="113"/>
      <c r="C45" s="66"/>
      <c r="D45" s="66"/>
      <c r="E45" s="66"/>
      <c r="F45" s="66"/>
      <c r="G45" s="66"/>
      <c r="H45" s="66"/>
      <c r="I45" s="71"/>
      <c r="J45" s="2"/>
      <c r="K45" s="3"/>
      <c r="L45" s="3"/>
      <c r="M45" s="3"/>
      <c r="N45" s="3"/>
      <c r="O45" s="3"/>
    </row>
    <row r="46" spans="1:15" ht="15" customHeight="1">
      <c r="A46" s="112" t="s">
        <v>44</v>
      </c>
      <c r="B46" s="113"/>
      <c r="C46" s="66">
        <f>3425.17+377</f>
        <v>3802.17</v>
      </c>
      <c r="D46" s="66">
        <f>980.08</f>
        <v>980.08</v>
      </c>
      <c r="E46" s="66"/>
      <c r="F46" s="66"/>
      <c r="G46" s="66"/>
      <c r="H46" s="66"/>
      <c r="I46" s="71"/>
      <c r="J46" s="2"/>
      <c r="K46" s="3"/>
      <c r="L46" s="3"/>
      <c r="M46" s="3"/>
      <c r="N46" s="3"/>
      <c r="O46" s="3"/>
    </row>
    <row r="47" spans="1:15" ht="15" customHeight="1">
      <c r="A47" s="112" t="s">
        <v>45</v>
      </c>
      <c r="B47" s="113"/>
      <c r="C47" s="66"/>
      <c r="D47" s="66"/>
      <c r="E47" s="66">
        <v>5048</v>
      </c>
      <c r="F47" s="66"/>
      <c r="G47" s="66"/>
      <c r="H47" s="66"/>
      <c r="I47" s="71"/>
      <c r="J47" s="2"/>
      <c r="K47" s="3"/>
      <c r="L47" s="3"/>
      <c r="M47" s="3"/>
      <c r="N47" s="3"/>
      <c r="O47" s="3"/>
    </row>
    <row r="48" spans="1:15" ht="15" customHeight="1">
      <c r="A48" s="112" t="s">
        <v>46</v>
      </c>
      <c r="B48" s="113"/>
      <c r="C48" s="66"/>
      <c r="D48" s="66"/>
      <c r="E48" s="66"/>
      <c r="F48" s="66"/>
      <c r="G48" s="66"/>
      <c r="H48" s="66"/>
      <c r="I48" s="71"/>
      <c r="J48" s="2"/>
      <c r="K48" s="3"/>
      <c r="L48" s="3"/>
      <c r="M48" s="3"/>
      <c r="N48" s="3"/>
      <c r="O48" s="3"/>
    </row>
    <row r="49" spans="1:15" ht="15" customHeight="1">
      <c r="A49" s="112" t="s">
        <v>47</v>
      </c>
      <c r="B49" s="113"/>
      <c r="C49" s="66">
        <v>1499</v>
      </c>
      <c r="D49" s="66">
        <v>1499</v>
      </c>
      <c r="E49" s="66"/>
      <c r="F49" s="66"/>
      <c r="G49" s="66"/>
      <c r="H49" s="66"/>
      <c r="I49" s="71"/>
      <c r="J49" s="2"/>
      <c r="K49" s="3"/>
      <c r="L49" s="3"/>
      <c r="M49" s="3"/>
      <c r="N49" s="3"/>
      <c r="O49" s="3"/>
    </row>
    <row r="50" spans="1:15" ht="15" customHeight="1">
      <c r="A50" s="112" t="s">
        <v>48</v>
      </c>
      <c r="B50" s="113"/>
      <c r="C50" s="66">
        <v>1644</v>
      </c>
      <c r="D50" s="66"/>
      <c r="E50" s="66"/>
      <c r="F50" s="66"/>
      <c r="G50" s="66"/>
      <c r="H50" s="66"/>
      <c r="I50" s="71"/>
      <c r="J50" s="2"/>
      <c r="K50" s="3"/>
      <c r="L50" s="3"/>
      <c r="M50" s="3"/>
      <c r="N50" s="3"/>
      <c r="O50" s="3"/>
    </row>
    <row r="51" spans="1:15" ht="15" customHeight="1">
      <c r="A51" s="112" t="s">
        <v>49</v>
      </c>
      <c r="B51" s="113"/>
      <c r="C51" s="66">
        <f>3000+12964+1500+300</f>
        <v>17764</v>
      </c>
      <c r="D51" s="66">
        <f>2000+2500+1500</f>
        <v>6000</v>
      </c>
      <c r="E51" s="66"/>
      <c r="F51" s="66"/>
      <c r="G51" s="66"/>
      <c r="H51" s="66"/>
      <c r="I51" s="71"/>
      <c r="J51" s="2"/>
      <c r="K51" s="3"/>
      <c r="L51" s="3"/>
      <c r="M51" s="3"/>
      <c r="N51" s="3"/>
      <c r="O51" s="3"/>
    </row>
    <row r="52" spans="1:15" ht="15" customHeight="1">
      <c r="A52" s="112" t="s">
        <v>21</v>
      </c>
      <c r="B52" s="113"/>
      <c r="C52" s="66"/>
      <c r="D52" s="66"/>
      <c r="E52" s="66">
        <f>1653.52+1392</f>
        <v>3045.52</v>
      </c>
      <c r="F52" s="66"/>
      <c r="G52" s="66"/>
      <c r="H52" s="66"/>
      <c r="I52" s="71"/>
      <c r="J52" s="2"/>
      <c r="K52" s="3"/>
      <c r="L52" s="3"/>
      <c r="M52" s="3"/>
      <c r="N52" s="3"/>
      <c r="O52" s="3"/>
    </row>
    <row r="53" spans="1:15" ht="15" customHeight="1">
      <c r="A53" s="112" t="s">
        <v>50</v>
      </c>
      <c r="B53" s="113"/>
      <c r="C53" s="66">
        <f>1014.88+132.8+830+31.3+195.65+56.32+352</f>
        <v>2612.9500000000003</v>
      </c>
      <c r="D53" s="66">
        <f>352+56.32+195.65+31.3+830+132.8</f>
        <v>1598.07</v>
      </c>
      <c r="E53" s="66">
        <f>16+2.56+21.95+3.51+830+132.8+203.02+32.48</f>
        <v>1242.32</v>
      </c>
      <c r="F53" s="66">
        <f>132.8+830+7.18+44.9</f>
        <v>1014.8799999999999</v>
      </c>
      <c r="G53" s="66">
        <v>1200</v>
      </c>
      <c r="H53" s="66">
        <f>6.96+830+132.8+291+46.56</f>
        <v>1307.32</v>
      </c>
      <c r="I53" s="71">
        <v>1200</v>
      </c>
      <c r="J53" s="2"/>
      <c r="K53" s="3"/>
      <c r="L53" s="3"/>
      <c r="M53" s="3"/>
      <c r="N53" s="3"/>
      <c r="O53" s="3"/>
    </row>
    <row r="54" spans="1:15" ht="15" customHeight="1">
      <c r="A54" s="112" t="s">
        <v>51</v>
      </c>
      <c r="B54" s="113"/>
      <c r="C54" s="66">
        <v>24360</v>
      </c>
      <c r="D54" s="66"/>
      <c r="E54" s="66">
        <v>24360</v>
      </c>
      <c r="F54" s="66"/>
      <c r="G54" s="66"/>
      <c r="H54" s="66"/>
      <c r="I54" s="71"/>
      <c r="J54" s="2"/>
      <c r="K54" s="3"/>
      <c r="L54" s="3"/>
      <c r="M54" s="3"/>
      <c r="N54" s="3"/>
      <c r="O54" s="3"/>
    </row>
    <row r="55" spans="1:15" ht="15" customHeight="1" thickBot="1">
      <c r="A55" s="114" t="s">
        <v>52</v>
      </c>
      <c r="B55" s="115"/>
      <c r="C55" s="73">
        <f>379500+485000</f>
        <v>864500</v>
      </c>
      <c r="D55" s="73"/>
      <c r="E55" s="73">
        <v>50000</v>
      </c>
      <c r="F55" s="73"/>
      <c r="G55" s="73"/>
      <c r="H55" s="73"/>
      <c r="I55" s="74"/>
      <c r="J55" s="2"/>
      <c r="K55" s="3"/>
      <c r="L55" s="3"/>
      <c r="M55" s="3"/>
      <c r="N55" s="3"/>
      <c r="O55" s="3"/>
    </row>
    <row r="56" spans="1:15" ht="18" customHeight="1" thickBot="1">
      <c r="A56" s="119" t="s">
        <v>53</v>
      </c>
      <c r="B56" s="120"/>
      <c r="C56" s="65">
        <f t="shared" ref="C56:H56" si="5">SUM(C31:C55)</f>
        <v>1164795.67</v>
      </c>
      <c r="D56" s="65">
        <f t="shared" si="5"/>
        <v>88477.150000000009</v>
      </c>
      <c r="E56" s="65">
        <f t="shared" si="5"/>
        <v>162095.84000000003</v>
      </c>
      <c r="F56" s="65">
        <f t="shared" si="5"/>
        <v>88564.88</v>
      </c>
      <c r="G56" s="65">
        <f t="shared" si="5"/>
        <v>87690</v>
      </c>
      <c r="H56" s="65">
        <f t="shared" si="5"/>
        <v>69707.320000000007</v>
      </c>
      <c r="I56" s="65">
        <f t="shared" ref="I56" si="6">SUM(I31:I55)</f>
        <v>71400</v>
      </c>
      <c r="J56" s="12"/>
      <c r="K56" s="3"/>
      <c r="L56" s="3"/>
      <c r="M56" s="3"/>
      <c r="N56" s="3"/>
      <c r="O56" s="3"/>
    </row>
    <row r="57" spans="1:15" ht="18" customHeight="1">
      <c r="A57" s="17"/>
      <c r="B57" s="17"/>
      <c r="C57" s="18"/>
      <c r="D57" s="18"/>
      <c r="E57" s="18"/>
      <c r="F57" s="18"/>
      <c r="G57" s="18"/>
      <c r="H57" s="18"/>
      <c r="I57" s="18"/>
      <c r="J57" s="3"/>
      <c r="K57" s="3"/>
      <c r="L57" s="3"/>
      <c r="M57" s="3"/>
      <c r="N57" s="3"/>
      <c r="O57" s="3"/>
    </row>
    <row r="58" spans="1:15" ht="18" customHeight="1" thickBot="1">
      <c r="A58" s="78" t="s">
        <v>54</v>
      </c>
      <c r="B58" s="83"/>
      <c r="C58" s="61"/>
      <c r="D58" s="38"/>
      <c r="E58" s="38"/>
      <c r="F58" s="38"/>
      <c r="G58" s="38"/>
      <c r="H58" s="38"/>
      <c r="I58" s="38"/>
      <c r="J58" s="19"/>
      <c r="K58" s="3"/>
      <c r="L58" s="3"/>
      <c r="M58" s="3"/>
      <c r="N58" s="3"/>
      <c r="O58" s="3"/>
    </row>
    <row r="59" spans="1:15" ht="15" customHeight="1">
      <c r="A59" s="67" t="s">
        <v>55</v>
      </c>
      <c r="B59" s="105">
        <v>644723.4</v>
      </c>
      <c r="C59" s="68">
        <f>40000+10000</f>
        <v>50000</v>
      </c>
      <c r="D59" s="68"/>
      <c r="E59" s="68">
        <v>30000</v>
      </c>
      <c r="F59" s="68"/>
      <c r="G59" s="68"/>
      <c r="H59" s="68"/>
      <c r="I59" s="69"/>
      <c r="J59" s="100"/>
      <c r="K59" s="20"/>
      <c r="L59" s="3"/>
      <c r="M59" s="3"/>
      <c r="N59" s="3"/>
      <c r="O59" s="3"/>
    </row>
    <row r="60" spans="1:15" ht="15" customHeight="1">
      <c r="A60" s="106" t="s">
        <v>56</v>
      </c>
      <c r="B60" s="104">
        <v>229265.38</v>
      </c>
      <c r="C60" s="66">
        <f>56911.54*2</f>
        <v>113823.08</v>
      </c>
      <c r="D60" s="66">
        <v>56911.54</v>
      </c>
      <c r="E60" s="66">
        <v>56911.54</v>
      </c>
      <c r="F60" s="66"/>
      <c r="G60" s="66"/>
      <c r="H60" s="66">
        <v>56911.54</v>
      </c>
      <c r="I60" s="71"/>
      <c r="J60" s="100"/>
      <c r="K60" s="20"/>
      <c r="L60" s="3"/>
      <c r="M60" s="21"/>
      <c r="N60" s="3"/>
      <c r="O60" s="3"/>
    </row>
    <row r="61" spans="1:15" ht="15" customHeight="1">
      <c r="A61" s="70" t="s">
        <v>57</v>
      </c>
      <c r="B61" s="104"/>
      <c r="C61" s="66">
        <f>80000+95000</f>
        <v>175000</v>
      </c>
      <c r="D61" s="66"/>
      <c r="E61" s="66">
        <v>120000</v>
      </c>
      <c r="F61" s="66">
        <v>87000</v>
      </c>
      <c r="G61" s="66">
        <v>24846.47</v>
      </c>
      <c r="H61" s="66">
        <v>10905.1</v>
      </c>
      <c r="I61" s="71"/>
      <c r="J61" s="2"/>
      <c r="K61" s="3"/>
      <c r="L61" s="3"/>
      <c r="M61" s="3"/>
      <c r="N61" s="3"/>
      <c r="O61" s="3"/>
    </row>
    <row r="62" spans="1:15" ht="15" customHeight="1">
      <c r="A62" s="70" t="s">
        <v>58</v>
      </c>
      <c r="B62" s="104"/>
      <c r="C62" s="66">
        <f>20000+10000</f>
        <v>30000</v>
      </c>
      <c r="D62" s="66">
        <v>10000</v>
      </c>
      <c r="E62" s="66"/>
      <c r="F62" s="66"/>
      <c r="G62" s="66"/>
      <c r="H62" s="66"/>
      <c r="I62" s="71"/>
      <c r="J62" s="2"/>
      <c r="K62" s="3"/>
      <c r="L62" s="3"/>
      <c r="M62" s="3"/>
      <c r="N62" s="3"/>
      <c r="O62" s="3"/>
    </row>
    <row r="63" spans="1:15" ht="15" customHeight="1">
      <c r="A63" s="70" t="s">
        <v>59</v>
      </c>
      <c r="B63" s="104">
        <v>2164164.71</v>
      </c>
      <c r="C63" s="66"/>
      <c r="D63" s="66"/>
      <c r="E63" s="66"/>
      <c r="F63" s="66"/>
      <c r="G63" s="66"/>
      <c r="H63" s="66"/>
      <c r="I63" s="71"/>
      <c r="J63" s="2"/>
      <c r="K63" s="3"/>
      <c r="L63" s="3"/>
      <c r="M63" s="22"/>
      <c r="N63" s="3"/>
      <c r="O63" s="3"/>
    </row>
    <row r="64" spans="1:15" ht="15" customHeight="1">
      <c r="A64" s="106" t="s">
        <v>60</v>
      </c>
      <c r="B64" s="104">
        <f>1349583.3-300000</f>
        <v>1049583.3</v>
      </c>
      <c r="C64" s="66">
        <f>55681.61+55120.13</f>
        <v>110801.73999999999</v>
      </c>
      <c r="D64" s="66"/>
      <c r="E64" s="66"/>
      <c r="F64" s="66"/>
      <c r="G64" s="66"/>
      <c r="H64" s="66"/>
      <c r="I64" s="71"/>
      <c r="J64" s="2"/>
      <c r="K64" s="3"/>
      <c r="L64" s="3"/>
      <c r="M64" s="22"/>
      <c r="N64" s="3"/>
      <c r="O64" s="3"/>
    </row>
    <row r="65" spans="1:15" ht="15" customHeight="1">
      <c r="A65" s="106" t="s">
        <v>61</v>
      </c>
      <c r="B65" s="104">
        <v>283333.33</v>
      </c>
      <c r="C65" s="66">
        <f>71156.34+70663.33</f>
        <v>141819.66999999998</v>
      </c>
      <c r="D65" s="66"/>
      <c r="E65" s="66"/>
      <c r="F65" s="66"/>
      <c r="G65" s="66"/>
      <c r="H65" s="66"/>
      <c r="I65" s="71"/>
      <c r="J65" s="2"/>
      <c r="K65" s="3"/>
      <c r="L65" s="3"/>
      <c r="M65" s="3"/>
      <c r="N65" s="3"/>
      <c r="O65" s="3"/>
    </row>
    <row r="66" spans="1:15" ht="15" customHeight="1">
      <c r="A66" s="70" t="s">
        <v>62</v>
      </c>
      <c r="B66" s="104">
        <v>0</v>
      </c>
      <c r="C66" s="66"/>
      <c r="D66" s="66"/>
      <c r="E66" s="66"/>
      <c r="F66" s="66"/>
      <c r="G66" s="66"/>
      <c r="H66" s="66"/>
      <c r="I66" s="71"/>
      <c r="J66" s="2"/>
      <c r="K66" s="3"/>
      <c r="L66" s="3"/>
      <c r="M66" s="3"/>
      <c r="N66" s="3"/>
      <c r="O66" s="3"/>
    </row>
    <row r="67" spans="1:15" ht="15" customHeight="1">
      <c r="A67" s="70" t="s">
        <v>63</v>
      </c>
      <c r="B67" s="104">
        <v>1111899.4099999999</v>
      </c>
      <c r="C67" s="66"/>
      <c r="D67" s="66"/>
      <c r="E67" s="66"/>
      <c r="F67" s="66"/>
      <c r="G67" s="66"/>
      <c r="H67" s="66"/>
      <c r="I67" s="71"/>
      <c r="J67" s="2"/>
      <c r="K67" s="3"/>
      <c r="L67" s="3"/>
      <c r="M67" s="3"/>
      <c r="N67" s="3"/>
      <c r="O67" s="3"/>
    </row>
    <row r="68" spans="1:15" ht="15" customHeight="1">
      <c r="A68" s="70" t="s">
        <v>64</v>
      </c>
      <c r="B68" s="104"/>
      <c r="C68" s="66">
        <f>20000+20000</f>
        <v>40000</v>
      </c>
      <c r="D68" s="66">
        <v>20000</v>
      </c>
      <c r="E68" s="66">
        <v>20000</v>
      </c>
      <c r="F68" s="66">
        <v>20000</v>
      </c>
      <c r="G68" s="66">
        <v>20000</v>
      </c>
      <c r="H68" s="160">
        <v>20000</v>
      </c>
      <c r="I68" s="147">
        <v>20000</v>
      </c>
      <c r="J68" s="148"/>
      <c r="K68" s="56"/>
      <c r="L68" s="3"/>
      <c r="M68" s="3"/>
      <c r="N68" s="3"/>
      <c r="O68" s="3"/>
    </row>
    <row r="69" spans="1:15" ht="15.75" customHeight="1" thickBot="1">
      <c r="A69" s="72" t="s">
        <v>65</v>
      </c>
      <c r="B69" s="107">
        <v>2000000</v>
      </c>
      <c r="C69" s="73"/>
      <c r="D69" s="73"/>
      <c r="E69" s="73"/>
      <c r="F69" s="73"/>
      <c r="G69" s="73"/>
      <c r="H69" s="73"/>
      <c r="I69" s="74"/>
      <c r="J69" s="2"/>
      <c r="K69" s="3"/>
      <c r="L69" s="3"/>
      <c r="M69" s="3"/>
      <c r="N69" s="3"/>
      <c r="O69" s="3"/>
    </row>
    <row r="70" spans="1:15" ht="18" customHeight="1" thickBot="1">
      <c r="A70" s="101" t="s">
        <v>66</v>
      </c>
      <c r="B70" s="102">
        <f t="shared" ref="B70:G70" si="7">SUM(B59:B69)</f>
        <v>7482969.5300000003</v>
      </c>
      <c r="C70" s="103">
        <f t="shared" si="7"/>
        <v>661444.49</v>
      </c>
      <c r="D70" s="65">
        <f t="shared" si="7"/>
        <v>86911.540000000008</v>
      </c>
      <c r="E70" s="65">
        <f t="shared" si="7"/>
        <v>226911.54</v>
      </c>
      <c r="F70" s="65">
        <f t="shared" si="7"/>
        <v>107000</v>
      </c>
      <c r="G70" s="65">
        <f t="shared" si="7"/>
        <v>44846.47</v>
      </c>
      <c r="H70" s="65">
        <f t="shared" ref="H70:I70" si="8">SUM(H59:H69)</f>
        <v>87816.639999999999</v>
      </c>
      <c r="I70" s="65">
        <f t="shared" si="8"/>
        <v>20000</v>
      </c>
      <c r="J70" s="12"/>
      <c r="K70" s="3"/>
      <c r="L70" s="3"/>
      <c r="M70" s="3"/>
      <c r="N70" s="3"/>
      <c r="O70" s="3"/>
    </row>
    <row r="71" spans="1:15" ht="18" customHeight="1">
      <c r="A71" s="17"/>
      <c r="B71" s="17"/>
      <c r="C71" s="18"/>
      <c r="D71" s="18"/>
      <c r="E71" s="18"/>
      <c r="F71" s="18"/>
      <c r="G71" s="18"/>
      <c r="H71" s="18"/>
      <c r="I71" s="18"/>
      <c r="J71" s="3"/>
      <c r="K71" s="3"/>
      <c r="L71" s="3"/>
      <c r="M71" s="3"/>
      <c r="N71" s="3"/>
      <c r="O71" s="3"/>
    </row>
    <row r="72" spans="1:15" ht="18" customHeight="1" thickBot="1">
      <c r="A72" s="78" t="s">
        <v>67</v>
      </c>
      <c r="B72" s="83"/>
      <c r="C72" s="61"/>
      <c r="D72" s="38"/>
      <c r="E72" s="38"/>
      <c r="F72" s="38"/>
      <c r="G72" s="38"/>
      <c r="H72" s="38"/>
      <c r="I72" s="38"/>
      <c r="J72" s="3"/>
      <c r="K72" s="3"/>
      <c r="L72" s="3"/>
      <c r="M72" s="3"/>
      <c r="N72" s="3"/>
      <c r="O72" s="3"/>
    </row>
    <row r="73" spans="1:15" ht="15" customHeight="1">
      <c r="A73" s="161" t="s">
        <v>68</v>
      </c>
      <c r="B73" s="162"/>
      <c r="C73" s="163">
        <v>126404.46</v>
      </c>
      <c r="D73" s="163">
        <v>16753.71</v>
      </c>
      <c r="E73" s="163">
        <v>62304.19</v>
      </c>
      <c r="F73" s="163">
        <v>6198.46</v>
      </c>
      <c r="G73" s="163">
        <v>16799.849999999999</v>
      </c>
      <c r="H73" s="163">
        <v>2421.39</v>
      </c>
      <c r="I73" s="164">
        <v>2500</v>
      </c>
      <c r="J73" s="2"/>
      <c r="K73" s="3"/>
      <c r="L73" s="3"/>
      <c r="M73" s="3"/>
      <c r="N73" s="3"/>
      <c r="O73" s="3"/>
    </row>
    <row r="74" spans="1:15" ht="15" customHeight="1">
      <c r="A74" s="165" t="s">
        <v>69</v>
      </c>
      <c r="B74" s="116"/>
      <c r="C74" s="16"/>
      <c r="D74" s="16"/>
      <c r="E74" s="16"/>
      <c r="F74" s="16"/>
      <c r="G74" s="16"/>
      <c r="H74" s="16"/>
      <c r="I74" s="166"/>
      <c r="J74" s="2"/>
      <c r="K74" s="3"/>
      <c r="L74" s="3"/>
      <c r="M74" s="3"/>
      <c r="N74" s="3"/>
      <c r="O74" s="3"/>
    </row>
    <row r="75" spans="1:15" ht="15" customHeight="1">
      <c r="A75" s="165" t="s">
        <v>70</v>
      </c>
      <c r="B75" s="116"/>
      <c r="C75" s="16"/>
      <c r="D75" s="16"/>
      <c r="E75" s="16"/>
      <c r="F75" s="16"/>
      <c r="G75" s="16"/>
      <c r="H75" s="16"/>
      <c r="I75" s="166"/>
      <c r="J75" s="2"/>
      <c r="K75" s="3"/>
      <c r="L75" s="3"/>
      <c r="M75" s="3"/>
      <c r="N75" s="3"/>
      <c r="O75" s="3"/>
    </row>
    <row r="76" spans="1:15" ht="15" customHeight="1">
      <c r="A76" s="165" t="s">
        <v>71</v>
      </c>
      <c r="B76" s="116"/>
      <c r="C76" s="16">
        <v>5168</v>
      </c>
      <c r="D76" s="16">
        <v>1287</v>
      </c>
      <c r="E76" s="16"/>
      <c r="F76" s="16"/>
      <c r="G76" s="16"/>
      <c r="H76" s="16"/>
      <c r="I76" s="166"/>
      <c r="J76" s="2"/>
      <c r="K76" s="3"/>
      <c r="L76" s="3"/>
      <c r="M76" s="3"/>
      <c r="N76" s="3"/>
      <c r="O76" s="3"/>
    </row>
    <row r="77" spans="1:15" ht="15" customHeight="1">
      <c r="A77" s="165" t="s">
        <v>72</v>
      </c>
      <c r="B77" s="116"/>
      <c r="C77" s="16"/>
      <c r="D77" s="16"/>
      <c r="E77" s="16">
        <v>142929</v>
      </c>
      <c r="F77" s="16"/>
      <c r="G77" s="16"/>
      <c r="H77" s="16"/>
      <c r="I77" s="166"/>
      <c r="J77" s="2"/>
      <c r="K77" s="3"/>
      <c r="L77" s="3"/>
      <c r="M77" s="3"/>
      <c r="N77" s="3"/>
      <c r="O77" s="3"/>
    </row>
    <row r="78" spans="1:15" ht="15" customHeight="1">
      <c r="A78" s="165" t="s">
        <v>73</v>
      </c>
      <c r="B78" s="116"/>
      <c r="C78" s="16"/>
      <c r="D78" s="16"/>
      <c r="E78" s="16"/>
      <c r="F78" s="16"/>
      <c r="G78" s="16"/>
      <c r="H78" s="16"/>
      <c r="I78" s="166"/>
      <c r="J78" s="2"/>
      <c r="K78" s="3"/>
      <c r="L78" s="3"/>
      <c r="M78" s="3"/>
      <c r="N78" s="3"/>
      <c r="O78" s="3"/>
    </row>
    <row r="79" spans="1:15" ht="15" customHeight="1">
      <c r="A79" s="165" t="s">
        <v>74</v>
      </c>
      <c r="B79" s="116"/>
      <c r="C79" s="16"/>
      <c r="D79" s="16"/>
      <c r="E79" s="16"/>
      <c r="F79" s="16"/>
      <c r="G79" s="16"/>
      <c r="H79" s="16"/>
      <c r="I79" s="166"/>
      <c r="J79" s="2"/>
      <c r="K79" s="3"/>
      <c r="L79" s="3"/>
      <c r="M79" s="3"/>
      <c r="N79" s="3"/>
      <c r="O79" s="3"/>
    </row>
    <row r="80" spans="1:15" ht="15" customHeight="1">
      <c r="A80" s="165" t="s">
        <v>75</v>
      </c>
      <c r="B80" s="116"/>
      <c r="C80" s="16"/>
      <c r="D80" s="16"/>
      <c r="E80" s="16"/>
      <c r="F80" s="16"/>
      <c r="G80" s="16"/>
      <c r="H80" s="16"/>
      <c r="I80" s="166"/>
      <c r="J80" s="2"/>
      <c r="K80" s="3"/>
      <c r="L80" s="3"/>
      <c r="M80" s="3"/>
      <c r="N80" s="3"/>
      <c r="O80" s="3"/>
    </row>
    <row r="81" spans="1:15" ht="15" customHeight="1">
      <c r="A81" s="165" t="s">
        <v>76</v>
      </c>
      <c r="B81" s="116"/>
      <c r="C81" s="16"/>
      <c r="D81" s="16"/>
      <c r="E81" s="16"/>
      <c r="F81" s="16"/>
      <c r="G81" s="16"/>
      <c r="H81" s="16"/>
      <c r="I81" s="166"/>
      <c r="J81" s="2"/>
      <c r="K81" s="3"/>
      <c r="L81" s="3"/>
      <c r="M81" s="3"/>
      <c r="N81" s="3"/>
      <c r="O81" s="3"/>
    </row>
    <row r="82" spans="1:15" ht="15" customHeight="1">
      <c r="A82" s="165" t="s">
        <v>77</v>
      </c>
      <c r="B82" s="116"/>
      <c r="C82" s="16"/>
      <c r="D82" s="16"/>
      <c r="E82" s="16"/>
      <c r="F82" s="16"/>
      <c r="G82" s="16"/>
      <c r="H82" s="16"/>
      <c r="I82" s="166"/>
      <c r="J82" s="2"/>
      <c r="K82" s="3"/>
      <c r="L82" s="3"/>
      <c r="M82" s="3"/>
      <c r="N82" s="3"/>
      <c r="O82" s="3"/>
    </row>
    <row r="83" spans="1:15" ht="15.75" customHeight="1" thickBot="1">
      <c r="A83" s="167" t="s">
        <v>78</v>
      </c>
      <c r="B83" s="168"/>
      <c r="C83" s="169">
        <v>5831</v>
      </c>
      <c r="D83" s="169">
        <f>148958+2359</f>
        <v>151317</v>
      </c>
      <c r="E83" s="169"/>
      <c r="F83" s="169">
        <v>10736</v>
      </c>
      <c r="G83" s="169">
        <v>19172</v>
      </c>
      <c r="H83" s="169">
        <v>879</v>
      </c>
      <c r="I83" s="170"/>
      <c r="J83" s="2"/>
      <c r="K83" s="3"/>
      <c r="L83" s="3"/>
      <c r="M83" s="3"/>
      <c r="N83" s="3"/>
      <c r="O83" s="3"/>
    </row>
    <row r="84" spans="1:15" ht="15.75" customHeight="1" thickBot="1">
      <c r="A84" s="119" t="s">
        <v>79</v>
      </c>
      <c r="B84" s="120"/>
      <c r="C84" s="65">
        <f t="shared" ref="C84:H84" si="9">SUM(C73:C83)</f>
        <v>137403.46000000002</v>
      </c>
      <c r="D84" s="65">
        <f t="shared" si="9"/>
        <v>169357.71</v>
      </c>
      <c r="E84" s="65">
        <f t="shared" si="9"/>
        <v>205233.19</v>
      </c>
      <c r="F84" s="65">
        <f t="shared" si="9"/>
        <v>16934.46</v>
      </c>
      <c r="G84" s="65">
        <f t="shared" si="9"/>
        <v>35971.85</v>
      </c>
      <c r="H84" s="65">
        <f t="shared" si="9"/>
        <v>3300.39</v>
      </c>
      <c r="I84" s="65">
        <f t="shared" ref="I84" si="10">SUM(I73:I83)</f>
        <v>2500</v>
      </c>
      <c r="J84" s="23"/>
      <c r="K84" s="56"/>
      <c r="L84" s="3"/>
      <c r="M84" s="3"/>
      <c r="N84" s="3"/>
      <c r="O84" s="3"/>
    </row>
    <row r="85" spans="1:15" ht="15" customHeight="1">
      <c r="A85" s="17"/>
      <c r="B85" s="17"/>
      <c r="C85" s="18"/>
      <c r="D85" s="18"/>
      <c r="E85" s="18"/>
      <c r="F85" s="18"/>
      <c r="G85" s="18"/>
      <c r="H85" s="18"/>
      <c r="I85" s="18"/>
      <c r="J85" s="3"/>
      <c r="K85" s="3"/>
      <c r="L85" s="3"/>
      <c r="M85" s="3"/>
      <c r="N85" s="3"/>
      <c r="O85" s="3"/>
    </row>
    <row r="86" spans="1:15" ht="18" customHeight="1" thickBot="1">
      <c r="A86" s="78" t="s">
        <v>80</v>
      </c>
      <c r="B86" s="83"/>
      <c r="C86" s="61"/>
      <c r="D86" s="38"/>
      <c r="E86" s="38"/>
      <c r="F86" s="38"/>
      <c r="G86" s="38"/>
      <c r="H86" s="38"/>
      <c r="I86" s="38"/>
      <c r="J86" s="3"/>
      <c r="K86" s="3"/>
      <c r="L86" s="3"/>
      <c r="M86" s="3"/>
      <c r="N86" s="3"/>
      <c r="O86" s="3"/>
    </row>
    <row r="87" spans="1:15" ht="15" customHeight="1">
      <c r="A87" s="161" t="s">
        <v>81</v>
      </c>
      <c r="B87" s="162"/>
      <c r="C87" s="163">
        <f>16000*2</f>
        <v>32000</v>
      </c>
      <c r="D87" s="163">
        <v>16000</v>
      </c>
      <c r="E87" s="163">
        <v>16000</v>
      </c>
      <c r="F87" s="163">
        <v>16000</v>
      </c>
      <c r="G87" s="163">
        <v>16000</v>
      </c>
      <c r="H87" s="163">
        <v>16000</v>
      </c>
      <c r="I87" s="164">
        <v>16000</v>
      </c>
      <c r="J87" s="146"/>
      <c r="K87" s="3"/>
      <c r="L87" s="3"/>
      <c r="M87" s="3"/>
      <c r="N87" s="3"/>
      <c r="O87" s="3"/>
    </row>
    <row r="88" spans="1:15" ht="15" customHeight="1">
      <c r="A88" s="165" t="s">
        <v>82</v>
      </c>
      <c r="B88" s="116"/>
      <c r="C88" s="16">
        <v>2000</v>
      </c>
      <c r="D88" s="16"/>
      <c r="E88" s="16">
        <v>2000</v>
      </c>
      <c r="F88" s="16"/>
      <c r="G88" s="16"/>
      <c r="H88" s="16"/>
      <c r="I88" s="166"/>
      <c r="J88" s="146"/>
      <c r="K88" s="3"/>
      <c r="L88" s="3"/>
      <c r="M88" s="3"/>
      <c r="N88" s="3"/>
      <c r="O88" s="3"/>
    </row>
    <row r="89" spans="1:15" ht="15" customHeight="1">
      <c r="A89" s="165" t="s">
        <v>83</v>
      </c>
      <c r="B89" s="116"/>
      <c r="C89" s="16">
        <f>5000*2</f>
        <v>10000</v>
      </c>
      <c r="D89" s="16">
        <v>5000</v>
      </c>
      <c r="E89" s="16">
        <v>5000</v>
      </c>
      <c r="F89" s="16">
        <v>5000</v>
      </c>
      <c r="G89" s="16">
        <v>5000</v>
      </c>
      <c r="H89" s="16">
        <v>5000</v>
      </c>
      <c r="I89" s="166">
        <v>5000</v>
      </c>
      <c r="J89" s="146"/>
      <c r="K89" s="3"/>
      <c r="L89" s="3"/>
      <c r="M89" s="3"/>
      <c r="N89" s="3"/>
      <c r="O89" s="3"/>
    </row>
    <row r="90" spans="1:15" ht="15" customHeight="1">
      <c r="A90" s="165" t="s">
        <v>84</v>
      </c>
      <c r="B90" s="116"/>
      <c r="C90" s="16"/>
      <c r="D90" s="16"/>
      <c r="E90" s="16"/>
      <c r="F90" s="16">
        <f t="shared" ref="F90" si="11">8*200</f>
        <v>1600</v>
      </c>
      <c r="G90" s="16">
        <v>1400</v>
      </c>
      <c r="H90" s="149">
        <v>1600</v>
      </c>
      <c r="I90" s="171">
        <v>1800</v>
      </c>
      <c r="J90" s="146"/>
      <c r="K90" s="3"/>
      <c r="L90" s="3"/>
      <c r="M90" s="3"/>
      <c r="N90" s="3"/>
      <c r="O90" s="3"/>
    </row>
    <row r="91" spans="1:15" ht="15" customHeight="1">
      <c r="A91" s="165" t="s">
        <v>85</v>
      </c>
      <c r="B91" s="116"/>
      <c r="C91" s="16"/>
      <c r="D91" s="16"/>
      <c r="E91" s="16"/>
      <c r="F91" s="16"/>
      <c r="G91" s="16"/>
      <c r="H91" s="149"/>
      <c r="I91" s="171"/>
      <c r="J91" s="146"/>
      <c r="K91" s="3"/>
      <c r="L91" s="3"/>
      <c r="M91" s="3"/>
      <c r="N91" s="3"/>
      <c r="O91" s="3"/>
    </row>
    <row r="92" spans="1:15" ht="15" customHeight="1">
      <c r="A92" s="165" t="s">
        <v>86</v>
      </c>
      <c r="B92" s="116"/>
      <c r="C92" s="16">
        <f>7000*2</f>
        <v>14000</v>
      </c>
      <c r="D92" s="16">
        <v>14000</v>
      </c>
      <c r="E92" s="16"/>
      <c r="F92" s="16">
        <v>7000</v>
      </c>
      <c r="G92" s="16">
        <v>7000</v>
      </c>
      <c r="H92" s="16">
        <v>7000</v>
      </c>
      <c r="I92" s="166">
        <v>7000</v>
      </c>
      <c r="J92" s="146"/>
      <c r="K92" s="3"/>
      <c r="L92" s="3"/>
      <c r="M92" s="3"/>
      <c r="N92" s="3"/>
      <c r="O92" s="3"/>
    </row>
    <row r="93" spans="1:15" ht="15" customHeight="1">
      <c r="A93" s="165" t="s">
        <v>87</v>
      </c>
      <c r="B93" s="116"/>
      <c r="C93" s="16"/>
      <c r="D93" s="16"/>
      <c r="E93" s="16"/>
      <c r="F93" s="16"/>
      <c r="G93" s="16"/>
      <c r="H93" s="16"/>
      <c r="I93" s="166"/>
      <c r="J93" s="146"/>
      <c r="K93" s="3"/>
      <c r="L93" s="3"/>
      <c r="M93" s="3"/>
      <c r="N93" s="3"/>
      <c r="O93" s="3"/>
    </row>
    <row r="94" spans="1:15" ht="15" customHeight="1">
      <c r="A94" s="165" t="s">
        <v>88</v>
      </c>
      <c r="B94" s="116"/>
      <c r="C94" s="16"/>
      <c r="D94" s="16"/>
      <c r="E94" s="16"/>
      <c r="F94" s="16"/>
      <c r="G94" s="16"/>
      <c r="H94" s="16"/>
      <c r="I94" s="166"/>
      <c r="J94" s="146"/>
      <c r="K94" s="3"/>
      <c r="L94" s="3"/>
      <c r="M94" s="3"/>
      <c r="N94" s="3"/>
      <c r="O94" s="3"/>
    </row>
    <row r="95" spans="1:15" ht="15.75" customHeight="1">
      <c r="A95" s="165" t="s">
        <v>89</v>
      </c>
      <c r="B95" s="116"/>
      <c r="C95" s="16">
        <f>14000+10000</f>
        <v>24000</v>
      </c>
      <c r="D95" s="16">
        <f>20000</f>
        <v>20000</v>
      </c>
      <c r="E95" s="16">
        <v>10000</v>
      </c>
      <c r="F95" s="16">
        <v>10000</v>
      </c>
      <c r="G95" s="16">
        <v>10000</v>
      </c>
      <c r="H95" s="16">
        <v>10000</v>
      </c>
      <c r="I95" s="166">
        <v>10000</v>
      </c>
      <c r="J95" s="146"/>
      <c r="K95" s="3"/>
      <c r="L95" s="3"/>
      <c r="M95" s="3"/>
      <c r="N95" s="3"/>
      <c r="O95" s="3"/>
    </row>
    <row r="96" spans="1:15" ht="15.75" customHeight="1">
      <c r="A96" s="165" t="s">
        <v>90</v>
      </c>
      <c r="B96" s="116"/>
      <c r="C96" s="16"/>
      <c r="D96" s="16"/>
      <c r="E96" s="16"/>
      <c r="F96" s="16"/>
      <c r="G96" s="16"/>
      <c r="H96" s="16"/>
      <c r="I96" s="166"/>
      <c r="J96" s="2"/>
      <c r="K96" s="3"/>
      <c r="L96" s="3"/>
      <c r="M96" s="3"/>
      <c r="N96" s="3"/>
      <c r="O96" s="3"/>
    </row>
    <row r="97" spans="1:15" ht="15" customHeight="1" thickBot="1">
      <c r="A97" s="167" t="s">
        <v>91</v>
      </c>
      <c r="B97" s="168"/>
      <c r="C97" s="169"/>
      <c r="D97" s="169"/>
      <c r="E97" s="169"/>
      <c r="F97" s="169"/>
      <c r="G97" s="169"/>
      <c r="H97" s="169"/>
      <c r="I97" s="170"/>
      <c r="J97" s="2"/>
      <c r="K97" s="3"/>
      <c r="L97" s="3"/>
      <c r="M97" s="3"/>
      <c r="N97" s="3"/>
      <c r="O97" s="3"/>
    </row>
    <row r="98" spans="1:15" ht="18" customHeight="1" thickBot="1">
      <c r="A98" s="119" t="s">
        <v>92</v>
      </c>
      <c r="B98" s="120"/>
      <c r="C98" s="65">
        <f t="shared" ref="C98:H98" si="12">SUM(C87:C97)</f>
        <v>82000</v>
      </c>
      <c r="D98" s="65">
        <f t="shared" si="12"/>
        <v>55000</v>
      </c>
      <c r="E98" s="65">
        <f t="shared" si="12"/>
        <v>33000</v>
      </c>
      <c r="F98" s="65">
        <f t="shared" si="12"/>
        <v>39600</v>
      </c>
      <c r="G98" s="65">
        <f t="shared" si="12"/>
        <v>39400</v>
      </c>
      <c r="H98" s="65">
        <f t="shared" si="12"/>
        <v>39600</v>
      </c>
      <c r="I98" s="65">
        <f t="shared" ref="I98" si="13">SUM(I87:I97)</f>
        <v>39800</v>
      </c>
      <c r="J98" s="23"/>
      <c r="K98" s="3"/>
      <c r="L98" s="56"/>
      <c r="M98" s="3"/>
      <c r="N98" s="3"/>
      <c r="O98" s="3"/>
    </row>
    <row r="99" spans="1:15" ht="18" customHeight="1">
      <c r="A99" s="17"/>
      <c r="B99" s="17"/>
      <c r="C99" s="18"/>
      <c r="D99" s="18"/>
      <c r="E99" s="18"/>
      <c r="F99" s="18"/>
      <c r="G99" s="18"/>
      <c r="H99" s="18"/>
      <c r="I99" s="18"/>
      <c r="J99" s="3"/>
      <c r="K99" s="3"/>
      <c r="L99" s="3"/>
      <c r="M99" s="3"/>
      <c r="N99" s="3"/>
      <c r="O99" s="3"/>
    </row>
    <row r="100" spans="1:15" ht="15.75" customHeight="1" thickBot="1">
      <c r="A100" s="78" t="s">
        <v>93</v>
      </c>
      <c r="B100" s="83"/>
      <c r="C100" s="61"/>
      <c r="D100" s="38"/>
      <c r="E100" s="38"/>
      <c r="F100" s="38"/>
      <c r="G100" s="38"/>
      <c r="H100" s="38"/>
      <c r="I100" s="38"/>
      <c r="J100" s="3"/>
      <c r="K100" s="3"/>
      <c r="L100" s="3"/>
      <c r="M100" s="3"/>
      <c r="N100" s="3"/>
      <c r="O100" s="3"/>
    </row>
    <row r="101" spans="1:15" ht="15" customHeight="1">
      <c r="A101" s="161" t="s">
        <v>94</v>
      </c>
      <c r="B101" s="162"/>
      <c r="C101" s="163">
        <v>14000</v>
      </c>
      <c r="D101" s="163">
        <v>10000</v>
      </c>
      <c r="E101" s="163">
        <v>8000</v>
      </c>
      <c r="F101" s="163">
        <v>8000</v>
      </c>
      <c r="G101" s="163">
        <v>10000</v>
      </c>
      <c r="H101" s="172">
        <v>8000</v>
      </c>
      <c r="I101" s="173">
        <v>10000</v>
      </c>
      <c r="J101" s="144"/>
      <c r="K101" s="3"/>
      <c r="L101" s="3"/>
      <c r="M101" s="3"/>
      <c r="N101" s="3"/>
      <c r="O101" s="3"/>
    </row>
    <row r="102" spans="1:15" ht="15" customHeight="1">
      <c r="A102" s="165" t="s">
        <v>95</v>
      </c>
      <c r="B102" s="116"/>
      <c r="C102" s="16"/>
      <c r="D102" s="16"/>
      <c r="E102" s="16"/>
      <c r="F102" s="16"/>
      <c r="G102" s="16"/>
      <c r="H102" s="149"/>
      <c r="I102" s="171"/>
      <c r="J102" s="146"/>
      <c r="K102" s="3"/>
      <c r="L102" s="3"/>
      <c r="M102" s="3"/>
      <c r="N102" s="3"/>
      <c r="O102" s="3"/>
    </row>
    <row r="103" spans="1:15" ht="15" customHeight="1">
      <c r="A103" s="165" t="s">
        <v>96</v>
      </c>
      <c r="B103" s="116"/>
      <c r="C103" s="16"/>
      <c r="D103" s="16"/>
      <c r="E103" s="16"/>
      <c r="F103" s="16"/>
      <c r="G103" s="16"/>
      <c r="H103" s="16"/>
      <c r="I103" s="166"/>
      <c r="J103" s="2"/>
      <c r="K103" s="3"/>
      <c r="L103" s="3"/>
      <c r="M103" s="3"/>
      <c r="N103" s="3"/>
      <c r="O103" s="3"/>
    </row>
    <row r="104" spans="1:15" ht="15" customHeight="1">
      <c r="A104" s="165" t="s">
        <v>97</v>
      </c>
      <c r="B104" s="116"/>
      <c r="C104" s="16"/>
      <c r="D104" s="16"/>
      <c r="E104" s="16"/>
      <c r="F104" s="16"/>
      <c r="G104" s="16"/>
      <c r="H104" s="16"/>
      <c r="I104" s="166"/>
      <c r="J104" s="2"/>
      <c r="K104" s="3"/>
      <c r="L104" s="3"/>
      <c r="M104" s="3"/>
      <c r="N104" s="3"/>
      <c r="O104" s="3"/>
    </row>
    <row r="105" spans="1:15" ht="15" customHeight="1">
      <c r="A105" s="165" t="s">
        <v>98</v>
      </c>
      <c r="B105" s="116"/>
      <c r="C105" s="16"/>
      <c r="D105" s="16"/>
      <c r="E105" s="16"/>
      <c r="F105" s="16"/>
      <c r="G105" s="16"/>
      <c r="H105" s="16"/>
      <c r="I105" s="166"/>
      <c r="J105" s="2"/>
      <c r="K105" s="3"/>
      <c r="L105" s="3"/>
      <c r="M105" s="3"/>
      <c r="N105" s="3"/>
      <c r="O105" s="3"/>
    </row>
    <row r="106" spans="1:15" ht="15" customHeight="1">
      <c r="A106" s="174" t="s">
        <v>99</v>
      </c>
      <c r="B106" s="127"/>
      <c r="C106" s="16"/>
      <c r="D106" s="16"/>
      <c r="E106" s="16"/>
      <c r="F106" s="16"/>
      <c r="G106" s="16"/>
      <c r="H106" s="16"/>
      <c r="I106" s="166"/>
      <c r="J106" s="2"/>
      <c r="K106" s="3"/>
      <c r="L106" s="3"/>
      <c r="M106" s="3"/>
      <c r="N106" s="3"/>
      <c r="O106" s="3"/>
    </row>
    <row r="107" spans="1:15" ht="15" customHeight="1">
      <c r="A107" s="174" t="s">
        <v>100</v>
      </c>
      <c r="B107" s="127"/>
      <c r="C107" s="16">
        <f>150000+100000</f>
        <v>250000</v>
      </c>
      <c r="D107" s="16"/>
      <c r="E107" s="16"/>
      <c r="F107" s="16"/>
      <c r="G107" s="16"/>
      <c r="H107" s="16"/>
      <c r="I107" s="166"/>
      <c r="J107" s="2"/>
      <c r="K107" s="3"/>
      <c r="L107" s="3"/>
      <c r="M107" s="3"/>
      <c r="N107" s="3"/>
      <c r="O107" s="3"/>
    </row>
    <row r="108" spans="1:15" ht="15" customHeight="1">
      <c r="A108" s="174" t="s">
        <v>101</v>
      </c>
      <c r="B108" s="127"/>
      <c r="C108" s="16"/>
      <c r="D108" s="16"/>
      <c r="E108" s="16"/>
      <c r="F108" s="16"/>
      <c r="G108" s="16"/>
      <c r="H108" s="16"/>
      <c r="I108" s="166"/>
      <c r="J108" s="2"/>
      <c r="K108" s="3"/>
      <c r="L108" s="3"/>
      <c r="M108" s="3"/>
      <c r="N108" s="3"/>
      <c r="O108" s="3"/>
    </row>
    <row r="109" spans="1:15" ht="15" customHeight="1">
      <c r="A109" s="174" t="s">
        <v>102</v>
      </c>
      <c r="B109" s="127"/>
      <c r="C109" s="16">
        <v>50000</v>
      </c>
      <c r="D109" s="16"/>
      <c r="E109" s="16"/>
      <c r="F109" s="16"/>
      <c r="G109" s="16"/>
      <c r="H109" s="16"/>
      <c r="I109" s="166"/>
      <c r="J109" s="2"/>
      <c r="K109" s="3"/>
      <c r="L109" s="3"/>
      <c r="M109" s="3"/>
      <c r="N109" s="3"/>
      <c r="O109" s="3"/>
    </row>
    <row r="110" spans="1:15" ht="15" customHeight="1">
      <c r="A110" s="174" t="s">
        <v>103</v>
      </c>
      <c r="B110" s="127"/>
      <c r="C110" s="16"/>
      <c r="D110" s="16"/>
      <c r="E110" s="16"/>
      <c r="F110" s="16"/>
      <c r="G110" s="16"/>
      <c r="H110" s="16"/>
      <c r="I110" s="166"/>
      <c r="J110" s="2"/>
      <c r="K110" s="3"/>
      <c r="L110" s="3"/>
      <c r="M110" s="3"/>
      <c r="N110" s="3"/>
      <c r="O110" s="3"/>
    </row>
    <row r="111" spans="1:15" ht="15" customHeight="1">
      <c r="A111" s="165" t="s">
        <v>104</v>
      </c>
      <c r="B111" s="116"/>
      <c r="C111" s="16">
        <f>50675.3+30323.89</f>
        <v>80999.19</v>
      </c>
      <c r="D111" s="16"/>
      <c r="E111" s="16"/>
      <c r="F111" s="16"/>
      <c r="G111" s="16"/>
      <c r="H111" s="16"/>
      <c r="I111" s="166"/>
      <c r="J111" s="2"/>
      <c r="K111" s="3"/>
      <c r="L111" s="3"/>
      <c r="M111" s="3"/>
      <c r="N111" s="3"/>
      <c r="O111" s="3"/>
    </row>
    <row r="112" spans="1:15" ht="15" customHeight="1" thickBot="1">
      <c r="A112" s="175" t="s">
        <v>105</v>
      </c>
      <c r="B112" s="176"/>
      <c r="C112" s="169"/>
      <c r="D112" s="169"/>
      <c r="E112" s="169"/>
      <c r="F112" s="169"/>
      <c r="G112" s="169"/>
      <c r="H112" s="169"/>
      <c r="I112" s="170"/>
      <c r="J112" s="2"/>
      <c r="K112" s="3"/>
      <c r="L112" s="3"/>
      <c r="M112" s="3"/>
      <c r="N112" s="3"/>
      <c r="O112" s="3"/>
    </row>
    <row r="113" spans="1:15" ht="15.75" customHeight="1" thickBot="1">
      <c r="A113" s="119" t="s">
        <v>106</v>
      </c>
      <c r="B113" s="120"/>
      <c r="C113" s="65">
        <f t="shared" ref="C113:H113" si="14">SUM(C101:C112)</f>
        <v>394999.19</v>
      </c>
      <c r="D113" s="65">
        <f t="shared" si="14"/>
        <v>10000</v>
      </c>
      <c r="E113" s="65">
        <f t="shared" si="14"/>
        <v>8000</v>
      </c>
      <c r="F113" s="65">
        <f t="shared" si="14"/>
        <v>8000</v>
      </c>
      <c r="G113" s="65">
        <f t="shared" si="14"/>
        <v>10000</v>
      </c>
      <c r="H113" s="65">
        <f t="shared" si="14"/>
        <v>8000</v>
      </c>
      <c r="I113" s="65">
        <f t="shared" ref="I113" si="15">SUM(I101:I112)</f>
        <v>10000</v>
      </c>
      <c r="J113" s="12"/>
      <c r="K113" s="3"/>
      <c r="L113" s="3"/>
      <c r="M113" s="3"/>
      <c r="N113" s="3"/>
      <c r="O113" s="3"/>
    </row>
    <row r="114" spans="1:15" ht="15.75" customHeight="1" thickBot="1">
      <c r="A114" s="24"/>
      <c r="B114" s="24"/>
      <c r="C114" s="24"/>
      <c r="D114" s="24"/>
      <c r="E114" s="24"/>
      <c r="F114" s="24"/>
      <c r="G114" s="24"/>
      <c r="H114" s="24"/>
      <c r="I114" s="24"/>
      <c r="J114" s="3"/>
      <c r="K114" s="3"/>
      <c r="L114" s="3"/>
      <c r="M114" s="3"/>
      <c r="N114" s="3"/>
      <c r="O114" s="3"/>
    </row>
    <row r="115" spans="1:15" ht="21" customHeight="1" thickBot="1">
      <c r="A115" s="125" t="s">
        <v>107</v>
      </c>
      <c r="B115" s="126"/>
      <c r="C115" s="25">
        <f t="shared" ref="C115:H115" si="16">C21+C28+C56+C70+C84+C98+C113</f>
        <v>2724704.13</v>
      </c>
      <c r="D115" s="25">
        <f t="shared" si="16"/>
        <v>409746.4</v>
      </c>
      <c r="E115" s="25">
        <f t="shared" si="16"/>
        <v>635240.57000000007</v>
      </c>
      <c r="F115" s="25">
        <f t="shared" si="16"/>
        <v>260099.34</v>
      </c>
      <c r="G115" s="25">
        <f t="shared" si="16"/>
        <v>217908.32</v>
      </c>
      <c r="H115" s="25">
        <f t="shared" si="16"/>
        <v>208424.35000000003</v>
      </c>
      <c r="I115" s="25">
        <f t="shared" ref="I115" si="17">I21+I28+I56+I70+I84+I98+I113</f>
        <v>143700</v>
      </c>
      <c r="J115" s="12"/>
      <c r="K115" s="3"/>
      <c r="L115" s="3"/>
      <c r="M115" s="3"/>
      <c r="N115" s="3"/>
      <c r="O115" s="3"/>
    </row>
    <row r="116" spans="1:15" ht="15.75" customHeight="1" thickBot="1">
      <c r="A116" s="24"/>
      <c r="B116" s="24"/>
      <c r="C116" s="24"/>
      <c r="D116" s="24"/>
      <c r="E116" s="24"/>
      <c r="F116" s="24"/>
      <c r="G116" s="24"/>
      <c r="H116" s="24"/>
      <c r="I116" s="24"/>
      <c r="J116" s="3"/>
      <c r="K116" s="3"/>
      <c r="L116" s="3"/>
      <c r="M116" s="3"/>
      <c r="N116" s="3"/>
      <c r="O116" s="3"/>
    </row>
    <row r="117" spans="1:15" ht="21" customHeight="1" thickBot="1">
      <c r="A117" s="123" t="s">
        <v>108</v>
      </c>
      <c r="B117" s="124"/>
      <c r="C117" s="26">
        <f t="shared" ref="C117:H117" si="18">C4+C5+C6+C7-C115</f>
        <v>382539.70000000019</v>
      </c>
      <c r="D117" s="26">
        <f t="shared" si="18"/>
        <v>217293.29999999993</v>
      </c>
      <c r="E117" s="26">
        <f t="shared" si="18"/>
        <v>182052.72999999986</v>
      </c>
      <c r="F117" s="26">
        <f t="shared" si="18"/>
        <v>-90099.34</v>
      </c>
      <c r="G117" s="27">
        <f t="shared" si="18"/>
        <v>3185.820000000007</v>
      </c>
      <c r="H117" s="27">
        <f t="shared" si="18"/>
        <v>-208424.35000000003</v>
      </c>
      <c r="I117" s="27">
        <f t="shared" ref="I117" si="19">I4+I5+I6+I7-I115</f>
        <v>-143700</v>
      </c>
      <c r="J117" s="10"/>
      <c r="K117" s="3"/>
      <c r="L117" s="3"/>
      <c r="M117" s="3"/>
      <c r="N117" s="3"/>
      <c r="O117" s="3"/>
    </row>
    <row r="118" spans="1:15" ht="15" customHeight="1">
      <c r="A118" s="18"/>
      <c r="B118" s="18"/>
      <c r="C118" s="18"/>
      <c r="D118" s="18"/>
      <c r="E118" s="18"/>
      <c r="F118" s="18"/>
      <c r="G118" s="18"/>
      <c r="H118" s="18"/>
      <c r="I118" s="18"/>
      <c r="J118" s="3"/>
      <c r="K118" s="3"/>
      <c r="L118" s="3"/>
      <c r="M118" s="3"/>
      <c r="N118" s="3"/>
      <c r="O118" s="3"/>
    </row>
    <row r="119" spans="1:15" ht="15" customHeight="1">
      <c r="A119" s="3"/>
      <c r="B119" s="28" t="s">
        <v>109</v>
      </c>
      <c r="C119" s="29">
        <v>37500</v>
      </c>
      <c r="D119" s="29"/>
      <c r="E119" s="29"/>
      <c r="F119" s="29"/>
      <c r="G119" s="29"/>
      <c r="H119" s="29"/>
      <c r="I119" s="29"/>
      <c r="J119" s="3"/>
      <c r="K119" s="109"/>
      <c r="L119" s="110">
        <v>119400</v>
      </c>
      <c r="M119" s="3"/>
      <c r="N119" s="3"/>
      <c r="O119" s="3"/>
    </row>
    <row r="120" spans="1:15" ht="15" customHeight="1">
      <c r="A120" s="3"/>
      <c r="B120" s="30"/>
      <c r="C120" s="31"/>
      <c r="D120" s="31"/>
      <c r="E120" s="31"/>
      <c r="F120" s="31"/>
      <c r="G120" s="31"/>
      <c r="H120" s="31"/>
      <c r="I120" s="31"/>
      <c r="J120" s="3"/>
      <c r="K120" s="3"/>
      <c r="L120" s="3"/>
      <c r="M120" s="3"/>
      <c r="N120" s="3"/>
      <c r="O120" s="3"/>
    </row>
    <row r="121" spans="1:15" ht="15" customHeight="1">
      <c r="A121" s="3"/>
      <c r="B121" s="32" t="s">
        <v>108</v>
      </c>
      <c r="C121" s="33">
        <f t="shared" ref="C121:H121" si="20">C117-C119</f>
        <v>345039.70000000019</v>
      </c>
      <c r="D121" s="33">
        <f t="shared" si="20"/>
        <v>217293.29999999993</v>
      </c>
      <c r="E121" s="33">
        <f t="shared" si="20"/>
        <v>182052.72999999986</v>
      </c>
      <c r="F121" s="33">
        <f t="shared" si="20"/>
        <v>-90099.34</v>
      </c>
      <c r="G121" s="33">
        <f t="shared" si="20"/>
        <v>3185.820000000007</v>
      </c>
      <c r="H121" s="33">
        <f t="shared" si="20"/>
        <v>-208424.35000000003</v>
      </c>
      <c r="I121" s="33">
        <f t="shared" ref="I121" si="21">I117-I119</f>
        <v>-143700</v>
      </c>
      <c r="J121" s="2"/>
      <c r="K121" s="3"/>
      <c r="L121" s="3"/>
      <c r="M121" s="3"/>
      <c r="N121" s="3"/>
      <c r="O121" s="3"/>
    </row>
    <row r="122" spans="1:15" ht="15" customHeight="1">
      <c r="A122" s="3"/>
      <c r="B122" s="30"/>
      <c r="C122" s="34"/>
      <c r="D122" s="34"/>
      <c r="E122" s="34"/>
      <c r="F122" s="34"/>
      <c r="G122" s="34"/>
      <c r="H122" s="34"/>
      <c r="I122" s="34"/>
      <c r="J122" s="3"/>
      <c r="K122" s="3"/>
      <c r="L122" s="3"/>
      <c r="M122" s="3"/>
      <c r="N122" s="3"/>
      <c r="O122" s="3"/>
    </row>
    <row r="123" spans="1:15" ht="15" customHeight="1">
      <c r="A123" s="3"/>
      <c r="B123" s="35" t="s">
        <v>110</v>
      </c>
      <c r="C123" s="29">
        <v>40212.18</v>
      </c>
      <c r="D123" s="29">
        <v>10191.39</v>
      </c>
      <c r="E123" s="29"/>
      <c r="F123" s="29"/>
      <c r="G123" s="29"/>
      <c r="H123" s="29"/>
      <c r="I123" s="29"/>
      <c r="J123" s="3"/>
      <c r="K123" s="3"/>
      <c r="L123" s="3"/>
      <c r="M123" s="3"/>
      <c r="N123" s="3"/>
      <c r="O123" s="3"/>
    </row>
    <row r="124" spans="1:15" ht="15" customHeight="1">
      <c r="A124" s="3"/>
      <c r="B124" s="35" t="s">
        <v>111</v>
      </c>
      <c r="C124" s="29">
        <f>C121-C123</f>
        <v>304827.52000000019</v>
      </c>
      <c r="D124" s="29">
        <f>D121-D123</f>
        <v>207101.90999999992</v>
      </c>
      <c r="E124" s="29"/>
      <c r="F124" s="29"/>
      <c r="G124" s="29"/>
      <c r="H124" s="29"/>
      <c r="I124" s="29"/>
      <c r="J124" s="3"/>
      <c r="K124" s="3"/>
      <c r="L124" s="3"/>
      <c r="M124" s="3"/>
      <c r="N124" s="3"/>
      <c r="O124" s="3"/>
    </row>
    <row r="125" spans="1:15" ht="15" customHeight="1">
      <c r="A125" s="3"/>
      <c r="B125" s="3"/>
      <c r="C125" s="36"/>
      <c r="D125" s="36"/>
      <c r="E125" s="36"/>
      <c r="F125" s="36"/>
      <c r="G125" s="36"/>
      <c r="H125" s="36"/>
      <c r="I125" s="36"/>
      <c r="J125" s="3"/>
      <c r="K125" s="3"/>
      <c r="L125" s="3"/>
      <c r="M125" s="3"/>
      <c r="N125" s="3"/>
      <c r="O125" s="3"/>
    </row>
    <row r="126" spans="1:15" ht="15" customHeight="1">
      <c r="A126" s="3"/>
      <c r="B126" s="3"/>
      <c r="C126" s="36"/>
      <c r="D126" s="36"/>
      <c r="E126" s="36"/>
      <c r="F126" s="36"/>
      <c r="G126" s="36"/>
      <c r="H126" s="36"/>
      <c r="I126" s="36"/>
      <c r="J126" s="3"/>
      <c r="K126" s="3"/>
      <c r="L126" s="3"/>
      <c r="M126" s="3"/>
      <c r="N126" s="3"/>
      <c r="O126" s="3"/>
    </row>
  </sheetData>
  <mergeCells count="85">
    <mergeCell ref="A1:I1"/>
    <mergeCell ref="A74:B74"/>
    <mergeCell ref="A28:B28"/>
    <mergeCell ref="A56:B56"/>
    <mergeCell ref="A76:B76"/>
    <mergeCell ref="A36:B36"/>
    <mergeCell ref="A10:B10"/>
    <mergeCell ref="A11:B11"/>
    <mergeCell ref="A12:B12"/>
    <mergeCell ref="A14:B14"/>
    <mergeCell ref="A7:B7"/>
    <mergeCell ref="A4:B4"/>
    <mergeCell ref="A5:B5"/>
    <mergeCell ref="A6:B6"/>
    <mergeCell ref="A25:B25"/>
    <mergeCell ref="A31:B31"/>
    <mergeCell ref="A89:B89"/>
    <mergeCell ref="A90:B90"/>
    <mergeCell ref="A91:B91"/>
    <mergeCell ref="A92:B92"/>
    <mergeCell ref="A80:B80"/>
    <mergeCell ref="A81:B81"/>
    <mergeCell ref="A82:B82"/>
    <mergeCell ref="A83:B83"/>
    <mergeCell ref="A84:B84"/>
    <mergeCell ref="A88:B88"/>
    <mergeCell ref="A87:B87"/>
    <mergeCell ref="A101:B101"/>
    <mergeCell ref="A93:B93"/>
    <mergeCell ref="A94:B94"/>
    <mergeCell ref="A95:B95"/>
    <mergeCell ref="A96:B96"/>
    <mergeCell ref="A97:B97"/>
    <mergeCell ref="A98:B98"/>
    <mergeCell ref="A102:B102"/>
    <mergeCell ref="A103:B103"/>
    <mergeCell ref="A104:B104"/>
    <mergeCell ref="A105:B105"/>
    <mergeCell ref="A117:B117"/>
    <mergeCell ref="A115:B115"/>
    <mergeCell ref="A106:B106"/>
    <mergeCell ref="A107:B107"/>
    <mergeCell ref="A108:B108"/>
    <mergeCell ref="A109:B109"/>
    <mergeCell ref="A110:B110"/>
    <mergeCell ref="A111:B111"/>
    <mergeCell ref="A113:B113"/>
    <mergeCell ref="A112:B112"/>
    <mergeCell ref="A79:B79"/>
    <mergeCell ref="A13:B13"/>
    <mergeCell ref="A16:B16"/>
    <mergeCell ref="A77:B77"/>
    <mergeCell ref="A26:B26"/>
    <mergeCell ref="A15:B15"/>
    <mergeCell ref="A17:B17"/>
    <mergeCell ref="A18:B18"/>
    <mergeCell ref="A19:B19"/>
    <mergeCell ref="A20:B20"/>
    <mergeCell ref="A21:B21"/>
    <mergeCell ref="A24:B24"/>
    <mergeCell ref="A27:B27"/>
    <mergeCell ref="A75:B75"/>
    <mergeCell ref="A78:B78"/>
    <mergeCell ref="A73:B73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40:B40"/>
    <mergeCell ref="A34:B34"/>
    <mergeCell ref="A35:B35"/>
    <mergeCell ref="A37:B37"/>
    <mergeCell ref="A38:B38"/>
    <mergeCell ref="A39:B39"/>
  </mergeCells>
  <conditionalFormatting sqref="A1 C3:G7 C10:G10 C11:E21 F12:G21 C24:G28 B59:G70 M60 C73:G84 C87:G98 C101:G113 C115:G115 C117:G117 C119:G126 C31:G56">
    <cfRule type="cellIs" dxfId="26" priority="6" stopIfTrue="1" operator="lessThan">
      <formula>0</formula>
    </cfRule>
  </conditionalFormatting>
  <conditionalFormatting sqref="H3:H7 H10 H12:H21 H24:H28 H59:H70 H73:H84 H90:H91 H101:H113 H115 H117 H119:H126 H31:H56 H96:H98">
    <cfRule type="cellIs" dxfId="25" priority="5" stopIfTrue="1" operator="lessThan">
      <formula>0</formula>
    </cfRule>
  </conditionalFormatting>
  <conditionalFormatting sqref="I3:I7 I10 I12:I21 I24:I28 I59:I70 I73:I84 I90:I91 I101:I113 I115 I117 I119:I126 I31 I33:I56 I96:I98">
    <cfRule type="cellIs" dxfId="11" priority="4" stopIfTrue="1" operator="lessThan">
      <formula>0</formula>
    </cfRule>
  </conditionalFormatting>
  <conditionalFormatting sqref="I32">
    <cfRule type="cellIs" dxfId="5" priority="3" stopIfTrue="1" operator="lessThan">
      <formula>0</formula>
    </cfRule>
  </conditionalFormatting>
  <conditionalFormatting sqref="H87:I89">
    <cfRule type="cellIs" dxfId="3" priority="2" stopIfTrue="1" operator="lessThan">
      <formula>0</formula>
    </cfRule>
  </conditionalFormatting>
  <conditionalFormatting sqref="H92:I95">
    <cfRule type="cellIs" dxfId="1" priority="1" stopIfTrue="1" operator="lessThan">
      <formula>0</formula>
    </cfRule>
  </conditionalFormatting>
  <pageMargins left="0.70866099999999999" right="0.70866099999999999" top="0.98425200000000002" bottom="0.748031" header="0.31496099999999999" footer="0.31496099999999999"/>
  <pageSetup orientation="portrait" r:id="rId1"/>
  <headerFooter>
    <oddHeader>&amp;R&amp;"Arial,Regular"&amp;18&amp;K000000CORPORATION SA. DE CV.</oddHeader>
    <oddFooter>&amp;C&amp;"Helvetica Neue,Regular"&amp;11&amp;K000000&amp;P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X108"/>
  <sheetViews>
    <sheetView showGridLines="0" tabSelected="1" topLeftCell="A76" zoomScale="84" zoomScaleNormal="84" workbookViewId="0">
      <selection activeCell="L88" sqref="L88"/>
    </sheetView>
  </sheetViews>
  <sheetFormatPr baseColWidth="10" defaultColWidth="10.85546875" defaultRowHeight="15" customHeight="1"/>
  <cols>
    <col min="1" max="1" width="36.7109375" style="37" customWidth="1"/>
    <col min="2" max="8" width="16.7109375" style="37" customWidth="1"/>
    <col min="9" max="9" width="20.42578125" style="37" customWidth="1"/>
    <col min="10" max="10" width="24.42578125" style="37" customWidth="1"/>
    <col min="11" max="12" width="20.42578125" style="37" customWidth="1"/>
    <col min="13" max="258" width="10.85546875" style="37" customWidth="1"/>
  </cols>
  <sheetData>
    <row r="1" spans="1:26" ht="15" customHeight="1">
      <c r="A1" s="38"/>
      <c r="B1" s="38"/>
      <c r="C1" s="38"/>
      <c r="D1" s="38"/>
      <c r="E1" s="38"/>
      <c r="F1" s="38"/>
      <c r="G1" s="38"/>
      <c r="H1" s="38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3.25" customHeight="1">
      <c r="A2" s="138" t="s">
        <v>0</v>
      </c>
      <c r="B2" s="158"/>
      <c r="C2" s="158"/>
      <c r="D2" s="158"/>
      <c r="E2" s="158"/>
      <c r="F2" s="158"/>
      <c r="G2" s="158"/>
      <c r="H2" s="158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thickBot="1">
      <c r="A3" s="4"/>
      <c r="B3" s="84"/>
      <c r="C3" s="84"/>
      <c r="D3" s="84"/>
      <c r="E3" s="84"/>
      <c r="F3" s="84"/>
      <c r="G3" s="84"/>
      <c r="H3" s="8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1" customHeight="1" thickBot="1">
      <c r="A4" s="90"/>
      <c r="B4" s="94" t="s">
        <v>1</v>
      </c>
      <c r="C4" s="95" t="s">
        <v>2</v>
      </c>
      <c r="D4" s="95" t="s">
        <v>3</v>
      </c>
      <c r="E4" s="95" t="s">
        <v>4</v>
      </c>
      <c r="F4" s="95" t="s">
        <v>5</v>
      </c>
      <c r="G4" s="96" t="s">
        <v>182</v>
      </c>
      <c r="H4" s="96" t="s">
        <v>184</v>
      </c>
      <c r="I4" s="75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" customHeight="1">
      <c r="A5" s="81" t="s">
        <v>112</v>
      </c>
      <c r="B5" s="91"/>
      <c r="C5" s="92">
        <v>35844.49</v>
      </c>
      <c r="D5" s="92">
        <v>32947.56</v>
      </c>
      <c r="E5" s="92"/>
      <c r="F5" s="92"/>
      <c r="G5" s="93"/>
      <c r="H5" s="93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1" customHeight="1" thickBot="1">
      <c r="A6" s="82" t="s">
        <v>113</v>
      </c>
      <c r="B6" s="152"/>
      <c r="C6" s="153">
        <f>B108</f>
        <v>251430.02000000048</v>
      </c>
      <c r="D6" s="153">
        <f>C108</f>
        <v>39243.770000000077</v>
      </c>
      <c r="E6" s="153"/>
      <c r="F6" s="153"/>
      <c r="G6" s="154"/>
      <c r="H6" s="154"/>
      <c r="I6" s="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21" customHeight="1">
      <c r="A7" s="85" t="s">
        <v>8</v>
      </c>
      <c r="B7" s="155">
        <f>2032345.36+1740000</f>
        <v>3772345.3600000003</v>
      </c>
      <c r="C7" s="156">
        <f>1740000+231242.19</f>
        <v>1971242.19</v>
      </c>
      <c r="D7" s="156">
        <v>1822945.81</v>
      </c>
      <c r="E7" s="156">
        <f>1824004.53+18861.08+7404</f>
        <v>1850269.61</v>
      </c>
      <c r="F7" s="156">
        <f>1740000+135191.04+24650</f>
        <v>1899841.04</v>
      </c>
      <c r="G7" s="156">
        <f>1740000+50112+13109.02+18386</f>
        <v>1821607.02</v>
      </c>
      <c r="H7" s="157">
        <v>1740000</v>
      </c>
      <c r="I7" s="59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21" customHeight="1" thickBot="1">
      <c r="A8" s="86" t="s">
        <v>9</v>
      </c>
      <c r="B8" s="87"/>
      <c r="C8" s="88"/>
      <c r="D8" s="88"/>
      <c r="E8" s="88">
        <f>93000+54200</f>
        <v>147200</v>
      </c>
      <c r="F8" s="88">
        <f>225000+30000+61000+50400</f>
        <v>366400</v>
      </c>
      <c r="G8" s="88"/>
      <c r="H8" s="89"/>
      <c r="I8" s="2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21" customHeight="1">
      <c r="A9" s="14"/>
      <c r="B9" s="4"/>
      <c r="C9" s="4"/>
      <c r="D9" s="4"/>
      <c r="E9" s="4"/>
      <c r="F9" s="4"/>
      <c r="G9" s="4"/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8" customHeight="1" thickBot="1">
      <c r="A10" s="39" t="s">
        <v>114</v>
      </c>
      <c r="B10" s="2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8" customHeight="1" thickTop="1" thickBot="1">
      <c r="A11" s="80" t="s">
        <v>115</v>
      </c>
      <c r="B11" s="38"/>
      <c r="C11" s="38"/>
      <c r="D11" s="38"/>
      <c r="E11" s="38"/>
      <c r="F11" s="38"/>
      <c r="G11" s="38"/>
      <c r="H11" s="38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" customHeight="1">
      <c r="A12" s="67" t="s">
        <v>116</v>
      </c>
      <c r="B12" s="68">
        <f>79891.4+80864.4</f>
        <v>160755.79999999999</v>
      </c>
      <c r="C12" s="68">
        <f>69185.8+4570.8+1938+4322.6+2067.4+2445.4+2445.4+1764.4+59622+8997.4</f>
        <v>157359.19999999998</v>
      </c>
      <c r="D12" s="68">
        <f>82375.2+78889.2</f>
        <v>161264.4</v>
      </c>
      <c r="E12" s="68">
        <f>4570.8+2049.2+4817.4+2009.6+1938+2445.4+2708.4+67994.6+4322.4+4322.6+2312.2+1722.6+1835.6+2445.4+2445.4+60529.2+1917.6</f>
        <v>170386.4</v>
      </c>
      <c r="F12" s="68">
        <f>64285.8+1457.6+2708.4+1398.6+4804.6+666.6+2049.2+2588.2+4817.6+88253.8</f>
        <v>173030.40000000002</v>
      </c>
      <c r="G12" s="68">
        <f>4322.4+2049.2+1722.6+4311+4322.6+1835.4+2708.4+2445.4+63203.8+4322.4+4322.6+2049.2+1722.8+4311.2+1835.4+2445.4+2445.4+62319.4</f>
        <v>172694.59999999998</v>
      </c>
      <c r="H12" s="69">
        <v>180000</v>
      </c>
      <c r="I12" s="2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" customHeight="1">
      <c r="A13" s="70" t="s">
        <v>12</v>
      </c>
      <c r="B13" s="66">
        <f>172183.82+174244.45</f>
        <v>346428.27</v>
      </c>
      <c r="C13" s="66">
        <f>202856.55+181768.49</f>
        <v>384625.04</v>
      </c>
      <c r="D13" s="66">
        <f>208072.9+215552.69</f>
        <v>423625.58999999997</v>
      </c>
      <c r="E13" s="66">
        <f>203559.36+189879.2</f>
        <v>393438.56</v>
      </c>
      <c r="F13" s="66">
        <f>180080.53+2650.29+3128.73+181011.71</f>
        <v>366871.26</v>
      </c>
      <c r="G13" s="151">
        <f>186954.35+190568.02</f>
        <v>377522.37</v>
      </c>
      <c r="H13" s="139">
        <v>380000</v>
      </c>
      <c r="I13" s="2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" customHeight="1">
      <c r="A14" s="70" t="s">
        <v>117</v>
      </c>
      <c r="B14" s="66"/>
      <c r="C14" s="66"/>
      <c r="D14" s="66"/>
      <c r="E14" s="66"/>
      <c r="F14" s="66"/>
      <c r="G14" s="151"/>
      <c r="H14" s="139"/>
      <c r="I14" s="2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" customHeight="1">
      <c r="A15" s="70" t="s">
        <v>118</v>
      </c>
      <c r="B15" s="66">
        <v>144798.62</v>
      </c>
      <c r="C15" s="66">
        <v>38643.64</v>
      </c>
      <c r="D15" s="66">
        <v>141155.47</v>
      </c>
      <c r="E15" s="66">
        <v>41467.51</v>
      </c>
      <c r="F15" s="66">
        <v>138146.68</v>
      </c>
      <c r="G15" s="151">
        <v>40866.99</v>
      </c>
      <c r="H15" s="139">
        <v>140000</v>
      </c>
      <c r="I15" s="2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" customHeight="1">
      <c r="A16" s="70" t="s">
        <v>71</v>
      </c>
      <c r="B16" s="66">
        <v>8126</v>
      </c>
      <c r="C16" s="66">
        <v>5482</v>
      </c>
      <c r="D16" s="66"/>
      <c r="E16" s="66">
        <f>1404+4254</f>
        <v>5658</v>
      </c>
      <c r="F16" s="66">
        <f>4288+1415</f>
        <v>5703</v>
      </c>
      <c r="G16" s="151">
        <v>5598</v>
      </c>
      <c r="H16" s="139">
        <v>6000</v>
      </c>
      <c r="I16" s="52"/>
      <c r="J16" s="3"/>
      <c r="K16" s="3"/>
      <c r="L16" s="55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" customHeight="1">
      <c r="A17" s="70" t="s">
        <v>119</v>
      </c>
      <c r="B17" s="66"/>
      <c r="C17" s="66"/>
      <c r="D17" s="66"/>
      <c r="E17" s="66"/>
      <c r="F17" s="66">
        <f>205267</f>
        <v>205267</v>
      </c>
      <c r="G17" s="151"/>
      <c r="H17" s="139"/>
      <c r="I17" s="62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" customHeight="1">
      <c r="A18" s="70" t="s">
        <v>14</v>
      </c>
      <c r="B18" s="66"/>
      <c r="C18" s="66"/>
      <c r="D18" s="66"/>
      <c r="E18" s="66"/>
      <c r="F18" s="66"/>
      <c r="G18" s="151"/>
      <c r="H18" s="139"/>
      <c r="I18" s="2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" customHeight="1">
      <c r="A19" s="70" t="s">
        <v>15</v>
      </c>
      <c r="B19" s="66"/>
      <c r="C19" s="66"/>
      <c r="D19" s="66"/>
      <c r="E19" s="66"/>
      <c r="F19" s="66"/>
      <c r="G19" s="151">
        <f>1693.32+4000</f>
        <v>5693.32</v>
      </c>
      <c r="H19" s="139"/>
      <c r="I19" s="2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" customHeight="1">
      <c r="A20" s="70" t="s">
        <v>181</v>
      </c>
      <c r="B20" s="66"/>
      <c r="C20" s="66"/>
      <c r="D20" s="66"/>
      <c r="E20" s="66"/>
      <c r="F20" s="66"/>
      <c r="G20" s="151"/>
      <c r="H20" s="139">
        <v>75000</v>
      </c>
      <c r="I20" s="2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" customHeight="1">
      <c r="A21" s="70" t="s">
        <v>120</v>
      </c>
      <c r="B21" s="66"/>
      <c r="C21" s="66"/>
      <c r="D21" s="66">
        <f>4835.2+8881.47+4556.8+4278.4+4000</f>
        <v>26551.869999999995</v>
      </c>
      <c r="E21" s="66"/>
      <c r="F21" s="66">
        <v>2000</v>
      </c>
      <c r="G21" s="151"/>
      <c r="H21" s="139"/>
      <c r="I21" s="2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" customHeight="1" thickBot="1">
      <c r="A22" s="72" t="s">
        <v>121</v>
      </c>
      <c r="B22" s="73"/>
      <c r="C22" s="73"/>
      <c r="D22" s="73"/>
      <c r="E22" s="73"/>
      <c r="F22" s="73"/>
      <c r="G22" s="73"/>
      <c r="H22" s="74"/>
      <c r="I22" s="2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8" customHeight="1" thickBot="1">
      <c r="A23" s="64" t="s">
        <v>122</v>
      </c>
      <c r="B23" s="65">
        <f t="shared" ref="B23:G23" si="0">SUM(B12:B22)</f>
        <v>660108.68999999994</v>
      </c>
      <c r="C23" s="65">
        <f t="shared" si="0"/>
        <v>586109.88</v>
      </c>
      <c r="D23" s="65">
        <f t="shared" si="0"/>
        <v>752597.33</v>
      </c>
      <c r="E23" s="65">
        <f t="shared" si="0"/>
        <v>610950.47</v>
      </c>
      <c r="F23" s="65">
        <f t="shared" si="0"/>
        <v>891018.34000000008</v>
      </c>
      <c r="G23" s="65">
        <f t="shared" si="0"/>
        <v>602375.27999999991</v>
      </c>
      <c r="H23" s="65">
        <f t="shared" ref="H23" si="1">SUM(H12:H22)</f>
        <v>781000</v>
      </c>
      <c r="I23" s="12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8" customHeight="1">
      <c r="A24" s="41"/>
      <c r="B24" s="18"/>
      <c r="C24" s="18"/>
      <c r="D24" s="18"/>
      <c r="E24" s="18"/>
      <c r="F24" s="18"/>
      <c r="G24" s="18"/>
      <c r="H24" s="18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8" customHeight="1" thickBot="1">
      <c r="A25" s="63" t="s">
        <v>123</v>
      </c>
      <c r="B25" s="38"/>
      <c r="C25" s="38"/>
      <c r="D25" s="38"/>
      <c r="E25" s="38"/>
      <c r="F25" s="38"/>
      <c r="G25" s="38"/>
      <c r="H25" s="38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" customHeight="1">
      <c r="A26" s="67" t="s">
        <v>124</v>
      </c>
      <c r="B26" s="68">
        <f>924+13682+12197</f>
        <v>26803</v>
      </c>
      <c r="C26" s="68">
        <v>149619</v>
      </c>
      <c r="D26" s="68">
        <v>47695</v>
      </c>
      <c r="E26" s="68">
        <v>77008</v>
      </c>
      <c r="F26" s="68">
        <v>60191</v>
      </c>
      <c r="G26" s="68">
        <v>25412</v>
      </c>
      <c r="H26" s="69">
        <v>80000</v>
      </c>
      <c r="I26" s="2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" customHeight="1">
      <c r="A27" s="70" t="s">
        <v>77</v>
      </c>
      <c r="B27" s="66"/>
      <c r="C27" s="66"/>
      <c r="D27" s="66"/>
      <c r="E27" s="66"/>
      <c r="F27" s="66"/>
      <c r="G27" s="66"/>
      <c r="H27" s="71"/>
      <c r="I27" s="2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" customHeight="1">
      <c r="A28" s="108" t="s">
        <v>73</v>
      </c>
      <c r="B28" s="66"/>
      <c r="C28" s="66"/>
      <c r="D28" s="66"/>
      <c r="E28" s="66"/>
      <c r="F28" s="66"/>
      <c r="G28" s="66"/>
      <c r="H28" s="71"/>
      <c r="I28" s="2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" customHeight="1">
      <c r="A29" s="108" t="s">
        <v>74</v>
      </c>
      <c r="B29" s="66"/>
      <c r="C29" s="66"/>
      <c r="D29" s="66"/>
      <c r="E29" s="66"/>
      <c r="F29" s="66"/>
      <c r="G29" s="66"/>
      <c r="H29" s="71"/>
      <c r="I29" s="2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>
      <c r="A30" s="108" t="s">
        <v>75</v>
      </c>
      <c r="B30" s="66"/>
      <c r="C30" s="66"/>
      <c r="D30" s="66"/>
      <c r="E30" s="66"/>
      <c r="F30" s="66"/>
      <c r="G30" s="66"/>
      <c r="H30" s="71"/>
      <c r="I30" s="2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>
      <c r="A31" s="108" t="s">
        <v>76</v>
      </c>
      <c r="B31" s="66"/>
      <c r="C31" s="66"/>
      <c r="D31" s="66"/>
      <c r="E31" s="66"/>
      <c r="F31" s="66"/>
      <c r="G31" s="66"/>
      <c r="H31" s="71"/>
      <c r="I31" s="2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" customHeight="1">
      <c r="A32" s="70" t="s">
        <v>125</v>
      </c>
      <c r="B32" s="66"/>
      <c r="C32" s="66"/>
      <c r="D32" s="66"/>
      <c r="E32" s="66"/>
      <c r="F32" s="66"/>
      <c r="G32" s="66"/>
      <c r="H32" s="71"/>
      <c r="I32" s="2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thickBot="1">
      <c r="A33" s="72" t="s">
        <v>126</v>
      </c>
      <c r="B33" s="73"/>
      <c r="C33" s="73"/>
      <c r="D33" s="73">
        <v>96286</v>
      </c>
      <c r="E33" s="73"/>
      <c r="F33" s="73"/>
      <c r="G33" s="73"/>
      <c r="H33" s="74"/>
      <c r="I33" s="2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thickBot="1">
      <c r="A34" s="64" t="s">
        <v>127</v>
      </c>
      <c r="B34" s="65">
        <f t="shared" ref="B34:G34" si="2">SUM(B26:B33)</f>
        <v>26803</v>
      </c>
      <c r="C34" s="65">
        <f t="shared" si="2"/>
        <v>149619</v>
      </c>
      <c r="D34" s="65">
        <f t="shared" si="2"/>
        <v>143981</v>
      </c>
      <c r="E34" s="65">
        <f t="shared" si="2"/>
        <v>77008</v>
      </c>
      <c r="F34" s="65">
        <f t="shared" si="2"/>
        <v>60191</v>
      </c>
      <c r="G34" s="65">
        <f t="shared" si="2"/>
        <v>25412</v>
      </c>
      <c r="H34" s="65">
        <f t="shared" ref="H34" si="3">SUM(H26:H33)</f>
        <v>80000</v>
      </c>
      <c r="I34" s="12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" customHeight="1">
      <c r="A35" s="41"/>
      <c r="B35" s="18"/>
      <c r="C35" s="18"/>
      <c r="D35" s="18"/>
      <c r="E35" s="18"/>
      <c r="F35" s="18"/>
      <c r="G35" s="18"/>
      <c r="H35" s="18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8" customHeight="1" thickBot="1">
      <c r="A36" s="63" t="s">
        <v>128</v>
      </c>
      <c r="B36" s="38"/>
      <c r="C36" s="38"/>
      <c r="D36" s="38"/>
      <c r="E36" s="38"/>
      <c r="F36" s="38"/>
      <c r="G36" s="38"/>
      <c r="H36" s="38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" customHeight="1">
      <c r="A37" s="67" t="s">
        <v>129</v>
      </c>
      <c r="B37" s="68">
        <f>10440*2</f>
        <v>20880</v>
      </c>
      <c r="C37" s="68">
        <v>10440</v>
      </c>
      <c r="D37" s="68">
        <v>24360</v>
      </c>
      <c r="E37" s="68">
        <v>24360</v>
      </c>
      <c r="F37" s="68">
        <v>24360</v>
      </c>
      <c r="G37" s="68">
        <v>24360</v>
      </c>
      <c r="H37" s="69">
        <v>24360</v>
      </c>
      <c r="I37" s="2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" customHeight="1">
      <c r="A38" s="70" t="s">
        <v>130</v>
      </c>
      <c r="B38" s="66">
        <v>26781.48</v>
      </c>
      <c r="C38" s="66">
        <f>8927.16</f>
        <v>8927.16</v>
      </c>
      <c r="D38" s="66"/>
      <c r="E38" s="66"/>
      <c r="F38" s="66"/>
      <c r="G38" s="66"/>
      <c r="H38" s="71"/>
      <c r="I38" s="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" customHeight="1">
      <c r="A39" s="70" t="s">
        <v>131</v>
      </c>
      <c r="B39" s="66">
        <v>38269.78</v>
      </c>
      <c r="C39" s="66"/>
      <c r="D39" s="66"/>
      <c r="E39" s="66"/>
      <c r="F39" s="66"/>
      <c r="G39" s="66"/>
      <c r="H39" s="71"/>
      <c r="I39" s="2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" customHeight="1">
      <c r="A40" s="70" t="s">
        <v>132</v>
      </c>
      <c r="B40" s="66">
        <v>6859.42</v>
      </c>
      <c r="C40" s="66">
        <v>6859.42</v>
      </c>
      <c r="D40" s="66">
        <f t="shared" ref="D40:D41" si="4">6859.42+7677.57</f>
        <v>14536.99</v>
      </c>
      <c r="E40" s="66">
        <v>6859.42</v>
      </c>
      <c r="F40" s="66">
        <v>6859.42</v>
      </c>
      <c r="G40" s="66">
        <v>6859.42</v>
      </c>
      <c r="H40" s="71">
        <v>6859.42</v>
      </c>
      <c r="I40" s="2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thickBot="1">
      <c r="A41" s="72" t="s">
        <v>133</v>
      </c>
      <c r="B41" s="73">
        <v>6859.42</v>
      </c>
      <c r="C41" s="73">
        <v>6859.42</v>
      </c>
      <c r="D41" s="73">
        <f t="shared" si="4"/>
        <v>14536.99</v>
      </c>
      <c r="E41" s="73">
        <v>6859.42</v>
      </c>
      <c r="F41" s="73">
        <v>6859.42</v>
      </c>
      <c r="G41" s="73">
        <v>6859.42</v>
      </c>
      <c r="H41" s="74">
        <v>6859.42</v>
      </c>
      <c r="I41" s="2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thickBot="1">
      <c r="A42" s="64" t="s">
        <v>127</v>
      </c>
      <c r="B42" s="65">
        <f t="shared" ref="B42:G42" si="5">SUM(B37:B41)</f>
        <v>99650.099999999991</v>
      </c>
      <c r="C42" s="65">
        <f t="shared" si="5"/>
        <v>33086</v>
      </c>
      <c r="D42" s="65">
        <f t="shared" si="5"/>
        <v>53433.979999999996</v>
      </c>
      <c r="E42" s="65">
        <f t="shared" si="5"/>
        <v>38078.839999999997</v>
      </c>
      <c r="F42" s="65">
        <f t="shared" si="5"/>
        <v>38078.839999999997</v>
      </c>
      <c r="G42" s="65">
        <f t="shared" si="5"/>
        <v>38078.839999999997</v>
      </c>
      <c r="H42" s="65">
        <f t="shared" ref="H42" si="6">SUM(H37:H41)</f>
        <v>38078.839999999997</v>
      </c>
      <c r="I42" s="12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" customHeight="1">
      <c r="A43" s="41"/>
      <c r="B43" s="18"/>
      <c r="C43" s="18"/>
      <c r="D43" s="18"/>
      <c r="E43" s="18"/>
      <c r="F43" s="18"/>
      <c r="G43" s="18"/>
      <c r="H43" s="18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thickBot="1">
      <c r="A44" s="63" t="s">
        <v>134</v>
      </c>
      <c r="B44" s="38"/>
      <c r="C44" s="38"/>
      <c r="D44" s="38"/>
      <c r="E44" s="38"/>
      <c r="F44" s="38"/>
      <c r="G44" s="38"/>
      <c r="H44" s="38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" customHeight="1">
      <c r="A45" s="67" t="s">
        <v>135</v>
      </c>
      <c r="B45" s="68"/>
      <c r="C45" s="68">
        <v>22660.37</v>
      </c>
      <c r="D45" s="68"/>
      <c r="E45" s="68"/>
      <c r="F45" s="68"/>
      <c r="G45" s="68"/>
      <c r="H45" s="69"/>
      <c r="I45" s="2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" customHeight="1">
      <c r="A46" s="70" t="s">
        <v>136</v>
      </c>
      <c r="B46" s="66"/>
      <c r="C46" s="66"/>
      <c r="D46" s="66"/>
      <c r="E46" s="66"/>
      <c r="F46" s="66"/>
      <c r="G46" s="66"/>
      <c r="H46" s="71"/>
      <c r="I46" s="2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" customHeight="1">
      <c r="A47" s="70" t="s">
        <v>137</v>
      </c>
      <c r="B47" s="66"/>
      <c r="C47" s="66">
        <v>112673.64</v>
      </c>
      <c r="D47" s="66"/>
      <c r="E47" s="66"/>
      <c r="F47" s="66"/>
      <c r="G47" s="66"/>
      <c r="H47" s="71"/>
      <c r="I47" s="2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" customHeight="1">
      <c r="A48" s="70" t="s">
        <v>138</v>
      </c>
      <c r="B48" s="66"/>
      <c r="C48" s="66"/>
      <c r="D48" s="66"/>
      <c r="E48" s="66"/>
      <c r="F48" s="66">
        <v>40297.620000000003</v>
      </c>
      <c r="G48" s="66"/>
      <c r="H48" s="71"/>
      <c r="I48" s="52"/>
      <c r="J48" s="3"/>
      <c r="K48" s="3"/>
      <c r="L48" s="55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58" ht="15" customHeight="1">
      <c r="A49" s="70" t="s">
        <v>40</v>
      </c>
      <c r="B49" s="66"/>
      <c r="C49" s="66"/>
      <c r="D49" s="66"/>
      <c r="E49" s="66"/>
      <c r="F49" s="66"/>
      <c r="G49" s="66"/>
      <c r="H49" s="71"/>
      <c r="I49" s="62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58" ht="15" customHeight="1">
      <c r="A50" s="70" t="s">
        <v>50</v>
      </c>
      <c r="B50" s="66">
        <f>1007.69</f>
        <v>1007.69</v>
      </c>
      <c r="C50" s="66">
        <f>394.2+63.07+830+132.8</f>
        <v>1420.07</v>
      </c>
      <c r="D50" s="66">
        <f>210.1+33.61+830+132.8</f>
        <v>1206.51</v>
      </c>
      <c r="E50" s="66">
        <f>132.8+830+46.28+289.25+696</f>
        <v>1994.33</v>
      </c>
      <c r="F50" s="66">
        <f>132.8+830+56.25+351.6</f>
        <v>1370.65</v>
      </c>
      <c r="G50" s="66">
        <f>449.4+71.9+830+132.8</f>
        <v>1484.1</v>
      </c>
      <c r="H50" s="71">
        <v>1500</v>
      </c>
      <c r="I50" s="2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58" ht="15" customHeight="1">
      <c r="A51" s="70" t="s">
        <v>139</v>
      </c>
      <c r="B51" s="66">
        <v>14036</v>
      </c>
      <c r="C51" s="66">
        <v>28072</v>
      </c>
      <c r="D51" s="66">
        <f>23200+25520</f>
        <v>48720</v>
      </c>
      <c r="E51" s="66">
        <v>23200</v>
      </c>
      <c r="F51" s="66">
        <v>23200</v>
      </c>
      <c r="G51" s="66">
        <v>23200</v>
      </c>
      <c r="H51" s="71">
        <v>23200</v>
      </c>
      <c r="I51" s="2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58" s="54" customFormat="1" ht="15" customHeight="1">
      <c r="A52" s="70" t="s">
        <v>177</v>
      </c>
      <c r="B52" s="66"/>
      <c r="C52" s="66"/>
      <c r="D52" s="66"/>
      <c r="E52" s="66"/>
      <c r="F52" s="66">
        <f>5500+9900+17600</f>
        <v>33000</v>
      </c>
      <c r="G52" s="66"/>
      <c r="H52" s="71"/>
      <c r="I52" s="2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7"/>
      <c r="AB52" s="37"/>
      <c r="AC52" s="37"/>
      <c r="AD52" s="37"/>
      <c r="AE52" s="37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  <c r="CE52" s="37"/>
      <c r="CF52" s="37"/>
      <c r="CG52" s="37"/>
      <c r="CH52" s="37"/>
      <c r="CI52" s="37"/>
      <c r="CJ52" s="37"/>
      <c r="CK52" s="37"/>
      <c r="CL52" s="37"/>
      <c r="CM52" s="37"/>
      <c r="CN52" s="37"/>
      <c r="CO52" s="37"/>
      <c r="CP52" s="37"/>
      <c r="CQ52" s="37"/>
      <c r="CR52" s="37"/>
      <c r="CS52" s="37"/>
      <c r="CT52" s="37"/>
      <c r="CU52" s="37"/>
      <c r="CV52" s="37"/>
      <c r="CW52" s="37"/>
      <c r="CX52" s="37"/>
      <c r="CY52" s="37"/>
      <c r="CZ52" s="37"/>
      <c r="DA52" s="37"/>
      <c r="DB52" s="37"/>
      <c r="DC52" s="37"/>
      <c r="DD52" s="37"/>
      <c r="DE52" s="37"/>
      <c r="DF52" s="37"/>
      <c r="DG52" s="37"/>
      <c r="DH52" s="37"/>
      <c r="DI52" s="37"/>
      <c r="DJ52" s="37"/>
      <c r="DK52" s="37"/>
      <c r="DL52" s="37"/>
      <c r="DM52" s="37"/>
      <c r="DN52" s="37"/>
      <c r="DO52" s="37"/>
      <c r="DP52" s="37"/>
      <c r="DQ52" s="37"/>
      <c r="DR52" s="37"/>
      <c r="DS52" s="37"/>
      <c r="DT52" s="37"/>
      <c r="DU52" s="37"/>
      <c r="DV52" s="37"/>
      <c r="DW52" s="37"/>
      <c r="DX52" s="37"/>
      <c r="DY52" s="37"/>
      <c r="DZ52" s="37"/>
      <c r="EA52" s="37"/>
      <c r="EB52" s="37"/>
      <c r="EC52" s="37"/>
      <c r="ED52" s="37"/>
      <c r="EE52" s="37"/>
      <c r="EF52" s="37"/>
      <c r="EG52" s="37"/>
      <c r="EH52" s="37"/>
      <c r="EI52" s="37"/>
      <c r="EJ52" s="37"/>
      <c r="EK52" s="37"/>
      <c r="EL52" s="37"/>
      <c r="EM52" s="37"/>
      <c r="EN52" s="37"/>
      <c r="EO52" s="37"/>
      <c r="EP52" s="37"/>
      <c r="EQ52" s="37"/>
      <c r="ER52" s="37"/>
      <c r="ES52" s="37"/>
      <c r="ET52" s="37"/>
      <c r="EU52" s="37"/>
      <c r="EV52" s="37"/>
      <c r="EW52" s="37"/>
      <c r="EX52" s="37"/>
      <c r="EY52" s="37"/>
      <c r="EZ52" s="37"/>
      <c r="FA52" s="37"/>
      <c r="FB52" s="37"/>
      <c r="FC52" s="37"/>
      <c r="FD52" s="37"/>
      <c r="FE52" s="37"/>
      <c r="FF52" s="37"/>
      <c r="FG52" s="37"/>
      <c r="FH52" s="37"/>
      <c r="FI52" s="37"/>
      <c r="FJ52" s="37"/>
      <c r="FK52" s="37"/>
      <c r="FL52" s="37"/>
      <c r="FM52" s="37"/>
      <c r="FN52" s="37"/>
      <c r="FO52" s="37"/>
      <c r="FP52" s="37"/>
      <c r="FQ52" s="37"/>
      <c r="FR52" s="37"/>
      <c r="FS52" s="37"/>
      <c r="FT52" s="37"/>
      <c r="FU52" s="37"/>
      <c r="FV52" s="37"/>
      <c r="FW52" s="37"/>
      <c r="FX52" s="37"/>
      <c r="FY52" s="37"/>
      <c r="FZ52" s="37"/>
      <c r="GA52" s="37"/>
      <c r="GB52" s="37"/>
      <c r="GC52" s="37"/>
      <c r="GD52" s="37"/>
      <c r="GE52" s="37"/>
      <c r="GF52" s="37"/>
      <c r="GG52" s="37"/>
      <c r="GH52" s="37"/>
      <c r="GI52" s="37"/>
      <c r="GJ52" s="37"/>
      <c r="GK52" s="37"/>
      <c r="GL52" s="37"/>
      <c r="GM52" s="37"/>
      <c r="GN52" s="37"/>
      <c r="GO52" s="37"/>
      <c r="GP52" s="37"/>
      <c r="GQ52" s="37"/>
      <c r="GR52" s="37"/>
      <c r="GS52" s="37"/>
      <c r="GT52" s="37"/>
      <c r="GU52" s="37"/>
      <c r="GV52" s="37"/>
      <c r="GW52" s="37"/>
      <c r="GX52" s="37"/>
      <c r="GY52" s="37"/>
      <c r="GZ52" s="37"/>
      <c r="HA52" s="37"/>
      <c r="HB52" s="37"/>
      <c r="HC52" s="37"/>
      <c r="HD52" s="37"/>
      <c r="HE52" s="37"/>
      <c r="HF52" s="37"/>
      <c r="HG52" s="37"/>
      <c r="HH52" s="37"/>
      <c r="HI52" s="37"/>
      <c r="HJ52" s="37"/>
      <c r="HK52" s="37"/>
      <c r="HL52" s="37"/>
      <c r="HM52" s="37"/>
      <c r="HN52" s="37"/>
      <c r="HO52" s="37"/>
      <c r="HP52" s="37"/>
      <c r="HQ52" s="37"/>
      <c r="HR52" s="37"/>
      <c r="HS52" s="37"/>
      <c r="HT52" s="37"/>
      <c r="HU52" s="37"/>
      <c r="HV52" s="37"/>
      <c r="HW52" s="37"/>
      <c r="HX52" s="37"/>
      <c r="HY52" s="37"/>
      <c r="HZ52" s="37"/>
      <c r="IA52" s="37"/>
      <c r="IB52" s="37"/>
      <c r="IC52" s="37"/>
      <c r="ID52" s="37"/>
      <c r="IE52" s="37"/>
      <c r="IF52" s="37"/>
      <c r="IG52" s="37"/>
      <c r="IH52" s="37"/>
      <c r="II52" s="37"/>
      <c r="IJ52" s="37"/>
      <c r="IK52" s="37"/>
      <c r="IL52" s="37"/>
      <c r="IM52" s="37"/>
      <c r="IN52" s="37"/>
      <c r="IO52" s="37"/>
      <c r="IP52" s="37"/>
      <c r="IQ52" s="37"/>
      <c r="IR52" s="37"/>
      <c r="IS52" s="37"/>
      <c r="IT52" s="37"/>
      <c r="IU52" s="37"/>
      <c r="IV52" s="37"/>
      <c r="IW52" s="37"/>
      <c r="IX52" s="37"/>
    </row>
    <row r="53" spans="1:258" ht="15.75" customHeight="1" thickBot="1">
      <c r="A53" s="72" t="s">
        <v>140</v>
      </c>
      <c r="B53" s="73"/>
      <c r="C53" s="73">
        <v>595</v>
      </c>
      <c r="D53" s="73"/>
      <c r="E53" s="73"/>
      <c r="F53" s="73"/>
      <c r="G53" s="73"/>
      <c r="H53" s="74"/>
      <c r="I53" s="2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58" ht="15.75" customHeight="1" thickBot="1">
      <c r="A54" s="64" t="s">
        <v>141</v>
      </c>
      <c r="B54" s="65">
        <f t="shared" ref="B54:G54" si="7">SUM(B45:B53)</f>
        <v>15043.69</v>
      </c>
      <c r="C54" s="65">
        <f t="shared" si="7"/>
        <v>165421.08000000002</v>
      </c>
      <c r="D54" s="65">
        <f t="shared" si="7"/>
        <v>49926.51</v>
      </c>
      <c r="E54" s="65">
        <f t="shared" si="7"/>
        <v>25194.33</v>
      </c>
      <c r="F54" s="65">
        <f t="shared" si="7"/>
        <v>97868.27</v>
      </c>
      <c r="G54" s="65">
        <f t="shared" si="7"/>
        <v>24684.1</v>
      </c>
      <c r="H54" s="65">
        <f t="shared" ref="H54" si="8">SUM(H45:H53)</f>
        <v>24700</v>
      </c>
      <c r="I54" s="12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58" ht="15" customHeight="1">
      <c r="A55" s="41"/>
      <c r="B55" s="18"/>
      <c r="C55" s="18"/>
      <c r="D55" s="18"/>
      <c r="E55" s="18"/>
      <c r="F55" s="18"/>
      <c r="G55" s="18"/>
      <c r="H55" s="18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58" ht="15.75" customHeight="1" thickBot="1">
      <c r="A56" s="63" t="s">
        <v>142</v>
      </c>
      <c r="B56" s="38"/>
      <c r="C56" s="38"/>
      <c r="D56" s="38"/>
      <c r="E56" s="38"/>
      <c r="F56" s="38"/>
      <c r="G56" s="38"/>
      <c r="H56" s="38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58" ht="15" customHeight="1">
      <c r="A57" s="67" t="s">
        <v>41</v>
      </c>
      <c r="B57" s="68">
        <v>3000</v>
      </c>
      <c r="C57" s="68"/>
      <c r="D57" s="68"/>
      <c r="E57" s="68">
        <f>500</f>
        <v>500</v>
      </c>
      <c r="F57" s="68"/>
      <c r="G57" s="68"/>
      <c r="H57" s="69"/>
      <c r="I57" s="2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58" ht="15" customHeight="1">
      <c r="A58" s="70" t="s">
        <v>180</v>
      </c>
      <c r="B58" s="66">
        <v>1500</v>
      </c>
      <c r="C58" s="66"/>
      <c r="D58" s="66"/>
      <c r="E58" s="66">
        <f>1418+623</f>
        <v>2041</v>
      </c>
      <c r="F58" s="66">
        <v>592</v>
      </c>
      <c r="G58" s="66">
        <v>592</v>
      </c>
      <c r="H58" s="71">
        <v>592</v>
      </c>
      <c r="I58" s="61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58" ht="15" customHeight="1">
      <c r="A59" s="70" t="s">
        <v>143</v>
      </c>
      <c r="B59" s="66"/>
      <c r="C59" s="66"/>
      <c r="D59" s="66"/>
      <c r="E59" s="66">
        <f>500+750+750</f>
        <v>2000</v>
      </c>
      <c r="F59" s="66">
        <v>2500</v>
      </c>
      <c r="G59" s="66">
        <v>2000</v>
      </c>
      <c r="H59" s="71">
        <v>2500</v>
      </c>
      <c r="I59" s="60"/>
      <c r="J59" s="59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58" ht="15" customHeight="1">
      <c r="A60" s="70" t="s">
        <v>179</v>
      </c>
      <c r="B60" s="66"/>
      <c r="C60" s="66"/>
      <c r="D60" s="66"/>
      <c r="E60" s="66">
        <f>1299+999.06+5000</f>
        <v>7298.0599999999995</v>
      </c>
      <c r="F60" s="66">
        <f>6002.8+1295.89+1045.9+2010+2000+2500+2000+5000+2262</f>
        <v>24116.59</v>
      </c>
      <c r="G60" s="66">
        <f>4246.7+2995.6+3920.8</f>
        <v>11163.099999999999</v>
      </c>
      <c r="H60" s="71"/>
      <c r="I60" s="62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58" ht="15" customHeight="1">
      <c r="A61" s="70" t="s">
        <v>144</v>
      </c>
      <c r="B61" s="66"/>
      <c r="C61" s="66"/>
      <c r="D61" s="66">
        <f>4932*2</f>
        <v>9864</v>
      </c>
      <c r="E61" s="66">
        <f>1550+1550</f>
        <v>3100</v>
      </c>
      <c r="F61" s="66">
        <v>1550</v>
      </c>
      <c r="G61" s="66">
        <f>696+1550+5500</f>
        <v>7746</v>
      </c>
      <c r="H61" s="71">
        <v>1550</v>
      </c>
      <c r="I61" s="2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58" ht="15" customHeight="1">
      <c r="A62" s="70" t="s">
        <v>145</v>
      </c>
      <c r="B62" s="66">
        <f>4408+7844.49</f>
        <v>12252.49</v>
      </c>
      <c r="C62" s="66">
        <f>14534.8+3000+3300+3500+525</f>
        <v>24859.8</v>
      </c>
      <c r="D62" s="66">
        <v>10832.89</v>
      </c>
      <c r="E62" s="66">
        <v>600</v>
      </c>
      <c r="F62" s="66"/>
      <c r="G62" s="66"/>
      <c r="H62" s="71"/>
      <c r="I62" s="2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58" ht="15.75" customHeight="1" thickBot="1">
      <c r="A63" s="72" t="s">
        <v>52</v>
      </c>
      <c r="B63" s="73">
        <f>147000+60000+612501.37+50400</f>
        <v>869901.37</v>
      </c>
      <c r="C63" s="73"/>
      <c r="D63" s="73"/>
      <c r="E63" s="73"/>
      <c r="F63" s="73"/>
      <c r="G63" s="73">
        <v>100000</v>
      </c>
      <c r="H63" s="74"/>
      <c r="I63" s="2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58" ht="15.75" customHeight="1" thickBot="1">
      <c r="A64" s="64" t="s">
        <v>146</v>
      </c>
      <c r="B64" s="65">
        <f t="shared" ref="B64:G64" si="9">SUM(B57:B63)</f>
        <v>886653.86</v>
      </c>
      <c r="C64" s="65">
        <f t="shared" si="9"/>
        <v>24859.8</v>
      </c>
      <c r="D64" s="65">
        <f t="shared" si="9"/>
        <v>20696.89</v>
      </c>
      <c r="E64" s="65">
        <f t="shared" si="9"/>
        <v>15539.06</v>
      </c>
      <c r="F64" s="65">
        <f t="shared" si="9"/>
        <v>28758.59</v>
      </c>
      <c r="G64" s="65">
        <f t="shared" si="9"/>
        <v>121501.1</v>
      </c>
      <c r="H64" s="65">
        <f t="shared" ref="H64" si="10">SUM(H57:H63)</f>
        <v>4642</v>
      </c>
      <c r="I64" s="12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thickBot="1">
      <c r="A65" s="42"/>
      <c r="B65" s="24"/>
      <c r="C65" s="24"/>
      <c r="D65" s="24"/>
      <c r="E65" s="24"/>
      <c r="F65" s="24"/>
      <c r="G65" s="24"/>
      <c r="H65" s="2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thickBot="1">
      <c r="A66" s="40" t="s">
        <v>147</v>
      </c>
      <c r="B66" s="43">
        <f t="shared" ref="B66:G66" si="11">B64+B54+B42+B23+B34</f>
        <v>1688259.3399999999</v>
      </c>
      <c r="C66" s="43">
        <f t="shared" si="11"/>
        <v>959095.76</v>
      </c>
      <c r="D66" s="43">
        <f t="shared" si="11"/>
        <v>1020635.71</v>
      </c>
      <c r="E66" s="43">
        <f t="shared" si="11"/>
        <v>766770.7</v>
      </c>
      <c r="F66" s="43">
        <f t="shared" si="11"/>
        <v>1115915.04</v>
      </c>
      <c r="G66" s="43">
        <f t="shared" si="11"/>
        <v>812051.32</v>
      </c>
      <c r="H66" s="43">
        <f t="shared" ref="H66" si="12">H64+H54+H42+H23+H34</f>
        <v>928420.84</v>
      </c>
      <c r="I66" s="12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" customHeight="1">
      <c r="A67" s="44"/>
      <c r="B67" s="18"/>
      <c r="C67" s="18"/>
      <c r="D67" s="18"/>
      <c r="E67" s="18"/>
      <c r="F67" s="18"/>
      <c r="G67" s="18"/>
      <c r="H67" s="18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" customHeight="1" thickBot="1">
      <c r="A68" s="78" t="s">
        <v>148</v>
      </c>
      <c r="B68" s="61"/>
      <c r="C68" s="38"/>
      <c r="D68" s="38"/>
      <c r="E68" s="38"/>
      <c r="F68" s="38"/>
      <c r="G68" s="38"/>
      <c r="H68" s="38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" customHeight="1">
      <c r="A69" s="67" t="s">
        <v>49</v>
      </c>
      <c r="B69" s="68">
        <f>7046+16200+4155.51</f>
        <v>27401.510000000002</v>
      </c>
      <c r="C69" s="68">
        <v>1800</v>
      </c>
      <c r="D69" s="68">
        <f>1510+1192.82+852+500+700+1750+2000+11214+500</f>
        <v>20218.82</v>
      </c>
      <c r="E69" s="68">
        <f>1552.03+813+58135.07</f>
        <v>60500.1</v>
      </c>
      <c r="F69" s="68">
        <f>4071.61+1595.8+2000+1000+1048+183</f>
        <v>9898.41</v>
      </c>
      <c r="G69" s="68">
        <f>3711.64+3700+5862.28+4003.64+1352+1500</f>
        <v>20129.559999999998</v>
      </c>
      <c r="H69" s="69">
        <v>5000</v>
      </c>
      <c r="I69" s="52"/>
      <c r="J69" s="3"/>
      <c r="K69" s="56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8" customHeight="1">
      <c r="A70" s="70" t="s">
        <v>149</v>
      </c>
      <c r="B70" s="66">
        <f>9750</f>
        <v>9750</v>
      </c>
      <c r="C70" s="66"/>
      <c r="D70" s="66">
        <v>26652.880000000001</v>
      </c>
      <c r="E70" s="66"/>
      <c r="F70" s="66">
        <v>20800</v>
      </c>
      <c r="G70" s="66">
        <v>13208</v>
      </c>
      <c r="H70" s="71">
        <v>15000</v>
      </c>
      <c r="I70" s="52"/>
      <c r="J70" s="3"/>
      <c r="K70" s="56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" customHeight="1">
      <c r="A71" s="70" t="s">
        <v>150</v>
      </c>
      <c r="B71" s="66">
        <v>124622.64</v>
      </c>
      <c r="C71" s="66">
        <v>70847.539999999994</v>
      </c>
      <c r="D71" s="66">
        <v>27903.8</v>
      </c>
      <c r="E71" s="66"/>
      <c r="F71" s="66"/>
      <c r="G71" s="66"/>
      <c r="H71" s="71"/>
      <c r="I71" s="2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" customHeight="1">
      <c r="A72" s="70" t="s">
        <v>151</v>
      </c>
      <c r="B72" s="66"/>
      <c r="C72" s="66"/>
      <c r="D72" s="66"/>
      <c r="E72" s="66">
        <v>12324.16</v>
      </c>
      <c r="F72" s="66">
        <v>7029.6</v>
      </c>
      <c r="G72" s="66"/>
      <c r="H72" s="71"/>
      <c r="I72" s="2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" customHeight="1">
      <c r="A73" s="70" t="s">
        <v>152</v>
      </c>
      <c r="B73" s="66">
        <f>206462.38+7070.66</f>
        <v>213533.04</v>
      </c>
      <c r="C73" s="66"/>
      <c r="D73" s="66"/>
      <c r="E73" s="66">
        <v>948.03</v>
      </c>
      <c r="F73" s="66">
        <f>1705.2+4699.45+470.5</f>
        <v>6875.15</v>
      </c>
      <c r="G73" s="66">
        <v>81472.820000000007</v>
      </c>
      <c r="H73" s="139">
        <v>120000</v>
      </c>
      <c r="I73" s="52"/>
      <c r="J73" s="3"/>
      <c r="K73" s="56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" customHeight="1">
      <c r="A74" s="70" t="s">
        <v>153</v>
      </c>
      <c r="B74" s="66">
        <v>34489.629999999997</v>
      </c>
      <c r="C74" s="66"/>
      <c r="D74" s="66"/>
      <c r="E74" s="66"/>
      <c r="F74" s="66"/>
      <c r="G74" s="66"/>
      <c r="H74" s="139"/>
      <c r="I74" s="75"/>
      <c r="J74" s="45"/>
      <c r="K74" s="46"/>
      <c r="L74" s="47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" customHeight="1">
      <c r="A75" s="70" t="s">
        <v>154</v>
      </c>
      <c r="B75" s="66">
        <v>165000</v>
      </c>
      <c r="C75" s="66">
        <v>165000</v>
      </c>
      <c r="D75" s="66">
        <v>165000</v>
      </c>
      <c r="E75" s="66">
        <v>165000</v>
      </c>
      <c r="F75" s="66">
        <v>165000</v>
      </c>
      <c r="G75" s="151">
        <v>165000</v>
      </c>
      <c r="H75" s="139">
        <v>165000</v>
      </c>
      <c r="I75" s="52"/>
      <c r="J75" s="56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" customHeight="1">
      <c r="A76" s="70" t="s">
        <v>100</v>
      </c>
      <c r="B76" s="66">
        <f>255000+150000</f>
        <v>405000</v>
      </c>
      <c r="C76" s="66">
        <v>250000</v>
      </c>
      <c r="D76" s="66">
        <v>150000</v>
      </c>
      <c r="E76" s="66">
        <v>150000</v>
      </c>
      <c r="F76" s="66">
        <v>150000</v>
      </c>
      <c r="G76" s="151">
        <v>150000</v>
      </c>
      <c r="H76" s="139">
        <v>150000</v>
      </c>
      <c r="I76" s="2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" customHeight="1">
      <c r="A77" s="70" t="s">
        <v>155</v>
      </c>
      <c r="B77" s="66">
        <f>150000</f>
        <v>150000</v>
      </c>
      <c r="C77" s="66">
        <v>150000</v>
      </c>
      <c r="D77" s="66">
        <v>150000</v>
      </c>
      <c r="E77" s="66">
        <v>150000</v>
      </c>
      <c r="F77" s="66">
        <f>150000-E101</f>
        <v>63649.06</v>
      </c>
      <c r="G77" s="151">
        <f>150000-F102</f>
        <v>84883.159999999989</v>
      </c>
      <c r="H77" s="139">
        <v>150000</v>
      </c>
      <c r="I77" s="76"/>
      <c r="J77" s="45"/>
      <c r="K77" s="46"/>
      <c r="L77" s="47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" customHeight="1">
      <c r="A78" s="70" t="s">
        <v>156</v>
      </c>
      <c r="B78" s="66">
        <f>2514.94+15044.22+33158.92+88237.72</f>
        <v>138955.79999999999</v>
      </c>
      <c r="C78" s="66">
        <f>50676.29+12312.78+6912</f>
        <v>69901.070000000007</v>
      </c>
      <c r="D78" s="66">
        <v>82758.62</v>
      </c>
      <c r="E78" s="66">
        <f>20776.59+30382.97+7517.8</f>
        <v>58677.36</v>
      </c>
      <c r="F78" s="66">
        <f>5440+36570+13340.02+14493.93</f>
        <v>69843.950000000012</v>
      </c>
      <c r="G78" s="66">
        <f>50802.12+3804.19+6048</f>
        <v>60654.310000000005</v>
      </c>
      <c r="H78" s="139">
        <v>80000</v>
      </c>
      <c r="I78" s="77"/>
      <c r="J78" s="57"/>
      <c r="K78" s="47"/>
      <c r="L78" s="47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" customHeight="1" thickBot="1">
      <c r="A79" s="72" t="s">
        <v>157</v>
      </c>
      <c r="B79" s="73">
        <f>13050+71560.4</f>
        <v>84610.4</v>
      </c>
      <c r="C79" s="73">
        <f>9860</f>
        <v>9860</v>
      </c>
      <c r="D79" s="73">
        <f>4143.64+75168+8836.54+13847.44+870</f>
        <v>102865.62</v>
      </c>
      <c r="E79" s="73">
        <f>2001.23+3363.89+4625.5+50112+38111.57+24470.83+14507.28</f>
        <v>137192.30000000002</v>
      </c>
      <c r="F79" s="73">
        <f>18386+21750+2900+13109.02+50112</f>
        <v>106257.02</v>
      </c>
      <c r="G79" s="73">
        <f>37120+522+578+1963.07+933.91+1734+20358</f>
        <v>63208.98</v>
      </c>
      <c r="H79" s="140">
        <v>100000</v>
      </c>
      <c r="I79" s="52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thickBot="1">
      <c r="A80" s="64" t="s">
        <v>158</v>
      </c>
      <c r="B80" s="79">
        <f t="shared" ref="B80:G80" si="13">SUM(B69:B79)</f>
        <v>1353363.02</v>
      </c>
      <c r="C80" s="79">
        <f t="shared" si="13"/>
        <v>717408.6100000001</v>
      </c>
      <c r="D80" s="79">
        <f t="shared" si="13"/>
        <v>725399.74</v>
      </c>
      <c r="E80" s="79">
        <f t="shared" si="13"/>
        <v>734641.95000000007</v>
      </c>
      <c r="F80" s="79">
        <f t="shared" si="13"/>
        <v>599353.19000000006</v>
      </c>
      <c r="G80" s="79">
        <f t="shared" si="13"/>
        <v>638556.82999999996</v>
      </c>
      <c r="H80" s="79">
        <f t="shared" ref="H80" si="14">SUM(H69:H79)</f>
        <v>785000</v>
      </c>
      <c r="I80" s="12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thickBot="1">
      <c r="A81" s="24"/>
      <c r="B81" s="24"/>
      <c r="C81" s="24"/>
      <c r="D81" s="24"/>
      <c r="E81" s="24"/>
      <c r="F81" s="24"/>
      <c r="G81" s="24"/>
      <c r="H81" s="2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customHeight="1" thickBot="1">
      <c r="A82" s="48" t="s">
        <v>107</v>
      </c>
      <c r="B82" s="25">
        <f>B80+B66</f>
        <v>3041622.36</v>
      </c>
      <c r="C82" s="25">
        <f>C80+C66</f>
        <v>1676504.37</v>
      </c>
      <c r="D82" s="25">
        <f>D80+D66-162448.46</f>
        <v>1583586.99</v>
      </c>
      <c r="E82" s="25">
        <f>E80+E66</f>
        <v>1501412.65</v>
      </c>
      <c r="F82" s="25">
        <f>F80+F66</f>
        <v>1715268.23</v>
      </c>
      <c r="G82" s="25">
        <f>G80+G66</f>
        <v>1450608.15</v>
      </c>
      <c r="H82" s="25">
        <f>H80+H66</f>
        <v>1713420.8399999999</v>
      </c>
      <c r="I82" s="12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thickBot="1">
      <c r="A83" s="24"/>
      <c r="B83" s="24"/>
      <c r="C83" s="24"/>
      <c r="D83" s="24"/>
      <c r="E83" s="24"/>
      <c r="F83" s="24"/>
      <c r="G83" s="24"/>
      <c r="H83" s="2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21" customHeight="1" thickBot="1">
      <c r="A84" s="49" t="s">
        <v>159</v>
      </c>
      <c r="B84" s="26">
        <f t="shared" ref="B84:G84" si="15">B5+B6+B7+B8-B82</f>
        <v>730723.00000000047</v>
      </c>
      <c r="C84" s="26">
        <f t="shared" si="15"/>
        <v>582012.33000000007</v>
      </c>
      <c r="D84" s="26">
        <f t="shared" si="15"/>
        <v>311550.15000000014</v>
      </c>
      <c r="E84" s="26">
        <f t="shared" si="15"/>
        <v>496056.9600000002</v>
      </c>
      <c r="F84" s="26">
        <f t="shared" si="15"/>
        <v>550972.81000000006</v>
      </c>
      <c r="G84" s="26">
        <f t="shared" si="15"/>
        <v>370998.87000000011</v>
      </c>
      <c r="H84" s="26">
        <f t="shared" ref="H84" si="16">H5+H6+H7+H8-H82</f>
        <v>26579.160000000149</v>
      </c>
      <c r="I84" s="12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" customHeight="1">
      <c r="A85" s="50"/>
      <c r="B85" s="18"/>
      <c r="C85" s="18"/>
      <c r="D85" s="18"/>
      <c r="E85" s="18"/>
      <c r="F85" s="18"/>
      <c r="G85" s="18"/>
      <c r="H85" s="18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" customHeight="1">
      <c r="A86" s="51" t="s">
        <v>178</v>
      </c>
      <c r="B86" s="29">
        <v>282000</v>
      </c>
      <c r="C86" s="29">
        <v>282000</v>
      </c>
      <c r="D86" s="29">
        <v>300000</v>
      </c>
      <c r="E86" s="29">
        <v>170000</v>
      </c>
      <c r="F86" s="29">
        <f>19586.23+46346.47+109601.44+45560</f>
        <v>221094.14</v>
      </c>
      <c r="G86" s="29">
        <f>27000+25436.22+70200+16000+5000+7000+10000+20000+10050</f>
        <v>190686.22</v>
      </c>
      <c r="H86" s="29">
        <v>144000</v>
      </c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" customHeight="1">
      <c r="A87" s="51" t="s">
        <v>160</v>
      </c>
      <c r="B87" s="29">
        <v>40000</v>
      </c>
      <c r="C87" s="29"/>
      <c r="D87" s="29"/>
      <c r="E87" s="29"/>
      <c r="F87" s="29"/>
      <c r="G87" s="29"/>
      <c r="H87" s="29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" customHeight="1">
      <c r="A88" s="51" t="s">
        <v>161</v>
      </c>
      <c r="B88" s="29">
        <v>15000</v>
      </c>
      <c r="C88" s="29"/>
      <c r="D88" s="29"/>
      <c r="E88" s="29"/>
      <c r="F88" s="29"/>
      <c r="G88" s="29"/>
      <c r="H88" s="141"/>
      <c r="I88" s="142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" customHeight="1">
      <c r="A89" s="51" t="s">
        <v>162</v>
      </c>
      <c r="B89" s="29">
        <f>80694.49+754</f>
        <v>81448.490000000005</v>
      </c>
      <c r="C89" s="29"/>
      <c r="D89" s="29"/>
      <c r="E89" s="29"/>
      <c r="F89" s="29"/>
      <c r="G89" s="29"/>
      <c r="H89" s="141"/>
      <c r="I89" s="142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" customHeight="1">
      <c r="A90" s="51" t="s">
        <v>163</v>
      </c>
      <c r="B90" s="29">
        <v>25000</v>
      </c>
      <c r="C90" s="29"/>
      <c r="D90" s="29"/>
      <c r="E90" s="29"/>
      <c r="F90" s="29"/>
      <c r="G90" s="29"/>
      <c r="H90" s="141"/>
      <c r="I90" s="142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" customHeight="1">
      <c r="A91" s="51" t="s">
        <v>164</v>
      </c>
      <c r="B91" s="29"/>
      <c r="C91" s="29">
        <f>60491.67*1.16</f>
        <v>70170.337199999994</v>
      </c>
      <c r="D91" s="29">
        <v>69677.33</v>
      </c>
      <c r="E91" s="29">
        <v>69677.33</v>
      </c>
      <c r="F91" s="29">
        <v>68691.33</v>
      </c>
      <c r="G91" s="150">
        <v>68407.13</v>
      </c>
      <c r="H91" s="141">
        <v>68300</v>
      </c>
      <c r="I91" s="143"/>
      <c r="J91" s="56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" customHeight="1">
      <c r="A92" s="51" t="s">
        <v>165</v>
      </c>
      <c r="B92" s="29"/>
      <c r="C92" s="29">
        <f>47033.33*1.16</f>
        <v>54558.662799999998</v>
      </c>
      <c r="D92" s="29">
        <v>53977.19</v>
      </c>
      <c r="E92" s="29">
        <v>53977.19</v>
      </c>
      <c r="F92" s="29">
        <v>52874.25</v>
      </c>
      <c r="G92" s="150">
        <v>52312.77</v>
      </c>
      <c r="H92" s="141">
        <v>52300</v>
      </c>
      <c r="I92" s="143"/>
      <c r="J92" s="56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" customHeight="1">
      <c r="A93" s="51" t="s">
        <v>166</v>
      </c>
      <c r="B93" s="29"/>
      <c r="C93" s="29">
        <v>25000</v>
      </c>
      <c r="D93" s="29"/>
      <c r="E93" s="29"/>
      <c r="F93" s="29"/>
      <c r="G93" s="150"/>
      <c r="H93" s="141"/>
      <c r="I93" s="142"/>
      <c r="J93" s="56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" customHeight="1">
      <c r="A94" s="51" t="s">
        <v>167</v>
      </c>
      <c r="B94" s="29"/>
      <c r="C94" s="29">
        <v>25592</v>
      </c>
      <c r="D94" s="29">
        <v>12448.36</v>
      </c>
      <c r="E94" s="29"/>
      <c r="F94" s="29"/>
      <c r="G94" s="150"/>
      <c r="H94" s="141"/>
      <c r="I94" s="142"/>
      <c r="J94" s="56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" customHeight="1">
      <c r="A95" s="51" t="s">
        <v>168</v>
      </c>
      <c r="B95" s="29"/>
      <c r="C95" s="29">
        <v>37500</v>
      </c>
      <c r="D95" s="29">
        <v>37500</v>
      </c>
      <c r="E95" s="29">
        <v>37500</v>
      </c>
      <c r="F95" s="29">
        <v>37500</v>
      </c>
      <c r="G95" s="29">
        <v>37500</v>
      </c>
      <c r="H95" s="29">
        <v>37500</v>
      </c>
      <c r="I95" s="143"/>
      <c r="J95" s="56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" customHeight="1">
      <c r="A96" s="51" t="s">
        <v>169</v>
      </c>
      <c r="B96" s="29"/>
      <c r="C96" s="29">
        <v>15000</v>
      </c>
      <c r="D96" s="29"/>
      <c r="E96" s="29"/>
      <c r="F96" s="29"/>
      <c r="G96" s="150"/>
      <c r="H96" s="141"/>
      <c r="I96" s="142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" customHeight="1">
      <c r="A97" s="51" t="s">
        <v>58</v>
      </c>
      <c r="B97" s="29"/>
      <c r="C97" s="29"/>
      <c r="D97" s="29">
        <v>20000</v>
      </c>
      <c r="E97" s="29">
        <v>20000</v>
      </c>
      <c r="F97" s="29">
        <v>20000</v>
      </c>
      <c r="G97" s="29">
        <v>20000</v>
      </c>
      <c r="H97" s="29">
        <v>20000</v>
      </c>
      <c r="I97" s="142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" customHeight="1">
      <c r="A98" s="51" t="s">
        <v>170</v>
      </c>
      <c r="B98" s="29"/>
      <c r="C98" s="29"/>
      <c r="D98" s="29"/>
      <c r="E98" s="29">
        <v>50000</v>
      </c>
      <c r="F98" s="29"/>
      <c r="G98" s="29"/>
      <c r="H98" s="141"/>
      <c r="I98" s="142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" customHeight="1">
      <c r="A99" s="51" t="s">
        <v>171</v>
      </c>
      <c r="B99" s="29"/>
      <c r="C99" s="29"/>
      <c r="D99" s="29"/>
      <c r="E99" s="29">
        <f>1200+600</f>
        <v>1800</v>
      </c>
      <c r="F99" s="29"/>
      <c r="G99" s="29"/>
      <c r="H99" s="141"/>
      <c r="I99" s="142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" customHeight="1">
      <c r="A100" s="51" t="s">
        <v>172</v>
      </c>
      <c r="B100" s="29"/>
      <c r="C100" s="29"/>
      <c r="D100" s="29"/>
      <c r="E100" s="29">
        <v>5000</v>
      </c>
      <c r="F100" s="29"/>
      <c r="G100" s="29"/>
      <c r="H100" s="141"/>
      <c r="I100" s="142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" customHeight="1">
      <c r="A101" s="51" t="s">
        <v>173</v>
      </c>
      <c r="B101" s="29"/>
      <c r="C101" s="29"/>
      <c r="D101" s="29"/>
      <c r="E101" s="29">
        <f>36000+5890+29033.94+15427</f>
        <v>86350.94</v>
      </c>
      <c r="F101" s="29"/>
      <c r="G101" s="29"/>
      <c r="H101" s="141"/>
      <c r="I101" s="142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" customHeight="1">
      <c r="A102" s="51" t="s">
        <v>176</v>
      </c>
      <c r="B102" s="29"/>
      <c r="C102" s="29"/>
      <c r="D102" s="29"/>
      <c r="E102" s="29"/>
      <c r="F102" s="29">
        <f>1500+3654.59+15511.96+23144+18894.74+2411.55</f>
        <v>65116.840000000011</v>
      </c>
      <c r="G102" s="29"/>
      <c r="H102" s="29"/>
      <c r="I102" s="144"/>
      <c r="J102" s="111">
        <v>938948.74</v>
      </c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" customHeight="1">
      <c r="A103" s="58" t="s">
        <v>183</v>
      </c>
      <c r="B103" s="29"/>
      <c r="C103" s="29"/>
      <c r="D103" s="29"/>
      <c r="E103" s="29"/>
      <c r="F103" s="29">
        <f>60622.81+6960</f>
        <v>67582.81</v>
      </c>
      <c r="G103" s="29"/>
      <c r="H103" s="29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" customHeight="1"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" customHeight="1">
      <c r="A105" s="32" t="s">
        <v>108</v>
      </c>
      <c r="B105" s="33">
        <f>B84-B86-B87-B88-B89-B90</f>
        <v>287274.51000000047</v>
      </c>
      <c r="C105" s="33">
        <f>C84-C86-C87-C88-C89-C90-C91-C92-C93-C94-C95-C96</f>
        <v>72191.330000000075</v>
      </c>
      <c r="D105" s="33">
        <f>D84-D86-D87-D88-D89-D90-D91-D92-D93-D94-D95-D96-D97</f>
        <v>-182052.72999999986</v>
      </c>
      <c r="E105" s="33">
        <f>E84-(SUM(E86:E101))</f>
        <v>1751.5000000001746</v>
      </c>
      <c r="F105" s="33">
        <f>F84-(SUM(F86:F104))</f>
        <v>18113.439999999944</v>
      </c>
      <c r="G105" s="33">
        <f>G84-(SUM(G86:G104))</f>
        <v>2092.7500000001164</v>
      </c>
      <c r="H105" s="33">
        <f>H84-(SUM(H86:H104))</f>
        <v>-295520.83999999985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" customHeight="1">
      <c r="A106" s="53"/>
      <c r="B106" s="4"/>
      <c r="C106" s="4"/>
      <c r="D106" s="4"/>
      <c r="E106" s="4"/>
      <c r="F106" s="4"/>
      <c r="G106" s="4"/>
      <c r="H106" s="4"/>
    </row>
    <row r="107" spans="1:26" ht="15" customHeight="1">
      <c r="A107" s="35" t="s">
        <v>174</v>
      </c>
      <c r="B107" s="29">
        <f>35844.49</f>
        <v>35844.49</v>
      </c>
      <c r="C107" s="29">
        <f>32947.56</f>
        <v>32947.56</v>
      </c>
      <c r="D107" s="29">
        <v>1568.44</v>
      </c>
      <c r="E107" s="29">
        <f>E105</f>
        <v>1751.5000000001746</v>
      </c>
      <c r="F107" s="29">
        <v>16698.439999999999</v>
      </c>
      <c r="G107" s="29"/>
      <c r="H107" s="29"/>
    </row>
    <row r="108" spans="1:26" ht="15" customHeight="1">
      <c r="A108" s="35" t="s">
        <v>175</v>
      </c>
      <c r="B108" s="29">
        <f>B105-B107</f>
        <v>251430.02000000048</v>
      </c>
      <c r="C108" s="29">
        <f>C105-C107</f>
        <v>39243.770000000077</v>
      </c>
      <c r="D108" s="29"/>
      <c r="E108" s="29"/>
      <c r="F108" s="29">
        <f>F105-F107</f>
        <v>1414.9999999999454</v>
      </c>
      <c r="G108" s="29"/>
      <c r="H108" s="29"/>
    </row>
  </sheetData>
  <mergeCells count="1">
    <mergeCell ref="A2:H2"/>
  </mergeCells>
  <conditionalFormatting sqref="A2 B4:F8 B12:F23 B26:F34 B37:F42 B45:F51 B66:F66 J74 J77 B82:F82 B84:F84 B105:F105 B107:F108 B53:F54 B86:F103 B69:F80 B57:F64">
    <cfRule type="cellIs" dxfId="24" priority="17" stopIfTrue="1" operator="lessThan">
      <formula>0</formula>
    </cfRule>
  </conditionalFormatting>
  <conditionalFormatting sqref="F102">
    <cfRule type="cellIs" dxfId="23" priority="16" stopIfTrue="1" operator="lessThan">
      <formula>0</formula>
    </cfRule>
  </conditionalFormatting>
  <conditionalFormatting sqref="F103">
    <cfRule type="cellIs" dxfId="22" priority="15" stopIfTrue="1" operator="lessThan">
      <formula>0</formula>
    </cfRule>
  </conditionalFormatting>
  <conditionalFormatting sqref="B52:F52">
    <cfRule type="cellIs" dxfId="21" priority="14" stopIfTrue="1" operator="lessThan">
      <formula>0</formula>
    </cfRule>
  </conditionalFormatting>
  <conditionalFormatting sqref="I59">
    <cfRule type="cellIs" dxfId="20" priority="12" stopIfTrue="1" operator="lessThan">
      <formula>0</formula>
    </cfRule>
  </conditionalFormatting>
  <conditionalFormatting sqref="G4:G8 G12:G23 G26:G34 G37:G39 G45:G51 G66 G82 G84 G105 G107:G108 G53:G54 G86:G94 G69:G80 G57:G64 G42 G96 G98:G103">
    <cfRule type="cellIs" dxfId="19" priority="11" stopIfTrue="1" operator="lessThan">
      <formula>0</formula>
    </cfRule>
  </conditionalFormatting>
  <conditionalFormatting sqref="G102">
    <cfRule type="cellIs" dxfId="18" priority="10" stopIfTrue="1" operator="lessThan">
      <formula>0</formula>
    </cfRule>
  </conditionalFormatting>
  <conditionalFormatting sqref="G103">
    <cfRule type="cellIs" dxfId="17" priority="9" stopIfTrue="1" operator="lessThan">
      <formula>0</formula>
    </cfRule>
  </conditionalFormatting>
  <conditionalFormatting sqref="G52">
    <cfRule type="cellIs" dxfId="16" priority="8" stopIfTrue="1" operator="lessThan">
      <formula>0</formula>
    </cfRule>
  </conditionalFormatting>
  <conditionalFormatting sqref="H4:H8 H12:H23 H26:H34 H37:H39 H45:H51 H66 H82 H84 H105 H107:H108 H53:H54 H86:H94 H69:H80 H57:H64 H42 H96 H98:H103">
    <cfRule type="cellIs" dxfId="15" priority="7" stopIfTrue="1" operator="lessThan">
      <formula>0</formula>
    </cfRule>
  </conditionalFormatting>
  <conditionalFormatting sqref="H102">
    <cfRule type="cellIs" dxfId="14" priority="6" stopIfTrue="1" operator="lessThan">
      <formula>0</formula>
    </cfRule>
  </conditionalFormatting>
  <conditionalFormatting sqref="H103">
    <cfRule type="cellIs" dxfId="13" priority="5" stopIfTrue="1" operator="lessThan">
      <formula>0</formula>
    </cfRule>
  </conditionalFormatting>
  <conditionalFormatting sqref="H52">
    <cfRule type="cellIs" dxfId="12" priority="4" stopIfTrue="1" operator="lessThan">
      <formula>0</formula>
    </cfRule>
  </conditionalFormatting>
  <conditionalFormatting sqref="G40:H41">
    <cfRule type="cellIs" dxfId="10" priority="3" stopIfTrue="1" operator="lessThan">
      <formula>0</formula>
    </cfRule>
  </conditionalFormatting>
  <conditionalFormatting sqref="G95:H95">
    <cfRule type="cellIs" dxfId="9" priority="2" stopIfTrue="1" operator="lessThan">
      <formula>0</formula>
    </cfRule>
  </conditionalFormatting>
  <conditionalFormatting sqref="G97:H97">
    <cfRule type="cellIs" dxfId="7" priority="1" stopIfTrue="1" operator="lessThan">
      <formula>0</formula>
    </cfRule>
  </conditionalFormatting>
  <pageMargins left="0.70866099999999999" right="0.70866099999999999" top="0.98425200000000002" bottom="0.748031" header="0.31496099999999999" footer="0.31496099999999999"/>
  <pageSetup orientation="portrait" r:id="rId1"/>
  <headerFooter>
    <oddHeader>&amp;R&amp;"Arial,Regular"&amp;18&amp;K000000PROYECTO: PMI NORTEAMERICA - CIUDAD DEL CARMEN - BARCO REFORMA</oddHeader>
    <oddFooter>&amp;C&amp;"Helvetica Neue,Regular"&amp;11&amp;K000000&amp;P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CORPORATION_Simulador</vt:lpstr>
      <vt:lpstr>MMG EXPERTOS_Simulador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</dc:creator>
  <cp:lastModifiedBy>Lorena P. Herrera Martínez</cp:lastModifiedBy>
  <dcterms:created xsi:type="dcterms:W3CDTF">2019-06-03T17:47:31Z</dcterms:created>
  <dcterms:modified xsi:type="dcterms:W3CDTF">2019-07-10T16:00:09Z</dcterms:modified>
</cp:coreProperties>
</file>