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845" tabRatio="900" firstSheet="7" activeTab="7"/>
  </bookViews>
  <sheets>
    <sheet name="Cover Sheet" sheetId="4" state="hidden" r:id="rId1"/>
    <sheet name="Revision History" sheetId="5" state="hidden" r:id="rId2"/>
    <sheet name="Table of content" sheetId="1" state="hidden" r:id="rId3"/>
    <sheet name="Price Master" sheetId="2" state="hidden" r:id="rId4"/>
    <sheet name="Material Pricing Group OUTHER" sheetId="12" state="hidden" r:id="rId5"/>
    <sheet name="Material Pricing Group SOLO" sheetId="11" state="hidden" r:id="rId6"/>
    <sheet name="Material Pricing Group JKT" sheetId="10" state="hidden" r:id="rId7"/>
    <sheet name="Material Pricing Group SBY" sheetId="14" r:id="rId8"/>
    <sheet name="ADD price code" sheetId="15" state="hidden" r:id="rId9"/>
    <sheet name="Sales Organization" sheetId="7" state="hidden" r:id="rId10"/>
    <sheet name="Division" sheetId="9" state="hidden" r:id="rId11"/>
    <sheet name="Distribution Channel" sheetId="8" state="hidden" r:id="rId12"/>
    <sheet name="Sheet1" sheetId="13" state="hidden" r:id="rId13"/>
  </sheets>
  <definedNames>
    <definedName name="_xlnm.Print_Area" localSheetId="8">'ADD price code'!$A$1:$E$32</definedName>
    <definedName name="_xlnm.Print_Area" localSheetId="6">'Material Pricing Group JKT'!$A$1:$K$160</definedName>
    <definedName name="_xlnm.Print_Area" localSheetId="4">'Material Pricing Group OUTHER'!$A$1:$K$160</definedName>
    <definedName name="_xlnm.Print_Area" localSheetId="7">'Material Pricing Group SBY'!$A$1:$K$173</definedName>
    <definedName name="_xlnm.Print_Area" localSheetId="5">'Material Pricing Group SOLO'!$A$1:$K$160</definedName>
    <definedName name="_xlnm.Print_Titles" localSheetId="8">'ADD price code'!$2:$2</definedName>
    <definedName name="_xlnm.Print_Titles" localSheetId="6">'Material Pricing Group JKT'!$2:$2</definedName>
    <definedName name="_xlnm.Print_Titles" localSheetId="4">'Material Pricing Group OUTHER'!$2:$2</definedName>
    <definedName name="_xlnm.Print_Titles" localSheetId="7">'Material Pricing Group SBY'!$2:$2</definedName>
    <definedName name="_xlnm.Print_Titles" localSheetId="5">'Material Pricing Group SOLO'!$2:$2</definedName>
  </definedNames>
  <calcPr calcId="125725"/>
</workbook>
</file>

<file path=xl/calcChain.xml><?xml version="1.0" encoding="utf-8"?>
<calcChain xmlns="http://schemas.openxmlformats.org/spreadsheetml/2006/main">
  <c r="K122" i="14"/>
  <c r="K109"/>
  <c r="K103"/>
  <c r="K74" l="1"/>
  <c r="K66"/>
  <c r="K25"/>
  <c r="K102" l="1"/>
  <c r="J102" s="1"/>
  <c r="G104"/>
  <c r="E104"/>
  <c r="G103"/>
  <c r="E102"/>
  <c r="K104" l="1"/>
  <c r="J104" s="1"/>
  <c r="K78" l="1"/>
  <c r="K76"/>
  <c r="K75"/>
  <c r="K70"/>
  <c r="K65"/>
  <c r="K27"/>
  <c r="K26" l="1"/>
  <c r="E46"/>
  <c r="K49"/>
  <c r="I94"/>
  <c r="E92"/>
  <c r="E93"/>
  <c r="E91"/>
  <c r="E90"/>
  <c r="E80"/>
  <c r="E79"/>
  <c r="E78"/>
  <c r="E76"/>
  <c r="E77"/>
  <c r="E70"/>
  <c r="E71"/>
  <c r="E72"/>
  <c r="E69"/>
  <c r="E68"/>
  <c r="I55"/>
  <c r="E62"/>
  <c r="E63"/>
  <c r="E64"/>
  <c r="K96" l="1"/>
  <c r="K84"/>
  <c r="K88" s="1"/>
  <c r="K56"/>
  <c r="K61"/>
  <c r="J61" s="1"/>
  <c r="K57"/>
  <c r="K60"/>
  <c r="K64"/>
  <c r="J64" s="1"/>
  <c r="K59"/>
  <c r="K51"/>
  <c r="K53"/>
  <c r="K50"/>
  <c r="K52"/>
  <c r="K62"/>
  <c r="J62" s="1"/>
  <c r="K55"/>
  <c r="K63"/>
  <c r="J63" s="1"/>
  <c r="K54"/>
  <c r="K58"/>
  <c r="K99" i="12"/>
  <c r="K99" i="11"/>
  <c r="K99" i="10"/>
  <c r="K81" i="11"/>
  <c r="K92" i="14" l="1"/>
  <c r="K90"/>
  <c r="K83"/>
  <c r="K48"/>
  <c r="K37" s="1"/>
  <c r="K71"/>
  <c r="J71" s="1"/>
  <c r="K81"/>
  <c r="K72"/>
  <c r="J72" s="1"/>
  <c r="K67"/>
  <c r="K124"/>
  <c r="J124" s="1"/>
  <c r="E114" i="12"/>
  <c r="E114" i="11"/>
  <c r="E114" i="10"/>
  <c r="E124" i="14"/>
  <c r="J70" l="1"/>
  <c r="K69"/>
  <c r="K68"/>
  <c r="E113" i="12"/>
  <c r="E113" i="11"/>
  <c r="E113" i="10"/>
  <c r="E61" i="14"/>
  <c r="K114" i="12" l="1"/>
  <c r="J114" s="1"/>
  <c r="K76" i="11"/>
  <c r="K86"/>
  <c r="K86" i="12" l="1"/>
  <c r="K25"/>
  <c r="K86" i="10"/>
  <c r="K114" i="11"/>
  <c r="J114" s="1"/>
  <c r="K123" i="14"/>
  <c r="K81" i="10"/>
  <c r="K81" i="12"/>
  <c r="K25" i="11"/>
  <c r="K25" i="10"/>
  <c r="J25" s="1"/>
  <c r="K164" i="14"/>
  <c r="K163" s="1"/>
  <c r="K132"/>
  <c r="K159" s="1"/>
  <c r="J3"/>
  <c r="J4"/>
  <c r="J4" i="10"/>
  <c r="K22"/>
  <c r="K17"/>
  <c r="K14"/>
  <c r="K100" l="1"/>
  <c r="K114"/>
  <c r="J114" s="1"/>
  <c r="K134" i="14"/>
  <c r="J134" s="1"/>
  <c r="J1" i="12"/>
  <c r="J3" s="1"/>
  <c r="J1" i="11"/>
  <c r="J1" i="10"/>
  <c r="J5" i="12"/>
  <c r="J4"/>
  <c r="J46"/>
  <c r="K112" i="14"/>
  <c r="J112" s="1"/>
  <c r="K135" l="1"/>
  <c r="J135" s="1"/>
  <c r="K3" i="10"/>
  <c r="J3"/>
  <c r="K152" i="12"/>
  <c r="K152" i="11"/>
  <c r="K152" i="10"/>
  <c r="K172" i="14" l="1"/>
  <c r="J172" s="1"/>
  <c r="K165"/>
  <c r="J122"/>
  <c r="K107" l="1"/>
  <c r="K108" s="1"/>
  <c r="K157" i="12" l="1"/>
  <c r="J157" s="1"/>
  <c r="K51"/>
  <c r="K59" s="1"/>
  <c r="I50"/>
  <c r="I49"/>
  <c r="K157" i="11"/>
  <c r="J157" s="1"/>
  <c r="K51"/>
  <c r="K59" s="1"/>
  <c r="I50"/>
  <c r="I49"/>
  <c r="K157" i="10"/>
  <c r="J157" s="1"/>
  <c r="K51"/>
  <c r="K59" s="1"/>
  <c r="I50"/>
  <c r="I49"/>
  <c r="K91" i="14" l="1"/>
  <c r="J91" s="1"/>
  <c r="J92"/>
  <c r="K85"/>
  <c r="K89"/>
  <c r="K82"/>
  <c r="K93"/>
  <c r="J93" s="1"/>
  <c r="K73"/>
  <c r="K79"/>
  <c r="J79" s="1"/>
  <c r="K80"/>
  <c r="J80" s="1"/>
  <c r="J78"/>
  <c r="K77"/>
  <c r="K113" i="11"/>
  <c r="J113" s="1"/>
  <c r="K113" i="10"/>
  <c r="J113" s="1"/>
  <c r="K113" i="12"/>
  <c r="J113" s="1"/>
  <c r="J51" i="10"/>
  <c r="K55" i="11"/>
  <c r="J55" s="1"/>
  <c r="K55" i="12"/>
  <c r="J55" s="1"/>
  <c r="K125" i="14"/>
  <c r="K62" i="12"/>
  <c r="K58" s="1"/>
  <c r="K62" i="10"/>
  <c r="K58" s="1"/>
  <c r="K62" i="11"/>
  <c r="K58" s="1"/>
  <c r="K67"/>
  <c r="K108" s="1"/>
  <c r="K117" s="1"/>
  <c r="K67" i="12"/>
  <c r="K108" s="1"/>
  <c r="K117" s="1"/>
  <c r="K67" i="10"/>
  <c r="K108" s="1"/>
  <c r="K117" s="1"/>
  <c r="K49" i="12"/>
  <c r="J49" s="1"/>
  <c r="K54" i="10"/>
  <c r="J54" s="1"/>
  <c r="K48"/>
  <c r="J48" s="1"/>
  <c r="K48" i="12"/>
  <c r="J48" s="1"/>
  <c r="J51"/>
  <c r="J152"/>
  <c r="K150"/>
  <c r="J150" s="1"/>
  <c r="K48" i="11"/>
  <c r="J48" s="1"/>
  <c r="J152"/>
  <c r="K150"/>
  <c r="J150" s="1"/>
  <c r="J51"/>
  <c r="K49"/>
  <c r="J49" s="1"/>
  <c r="K150" i="10"/>
  <c r="J150" s="1"/>
  <c r="K50"/>
  <c r="J50" s="1"/>
  <c r="K52"/>
  <c r="J52" s="1"/>
  <c r="J152"/>
  <c r="K154" i="12"/>
  <c r="J154" s="1"/>
  <c r="K156"/>
  <c r="J156" s="1"/>
  <c r="K158"/>
  <c r="J158" s="1"/>
  <c r="K151"/>
  <c r="J151" s="1"/>
  <c r="K153"/>
  <c r="J153" s="1"/>
  <c r="K155"/>
  <c r="J155" s="1"/>
  <c r="K50"/>
  <c r="J50" s="1"/>
  <c r="K52"/>
  <c r="J52" s="1"/>
  <c r="K54"/>
  <c r="J54" s="1"/>
  <c r="K56"/>
  <c r="J56" s="1"/>
  <c r="K53"/>
  <c r="J53" s="1"/>
  <c r="K154" i="11"/>
  <c r="J154" s="1"/>
  <c r="K156"/>
  <c r="J156" s="1"/>
  <c r="K158"/>
  <c r="J158" s="1"/>
  <c r="K151"/>
  <c r="J151" s="1"/>
  <c r="K153"/>
  <c r="J153" s="1"/>
  <c r="K155"/>
  <c r="J155" s="1"/>
  <c r="K50"/>
  <c r="J50" s="1"/>
  <c r="K52"/>
  <c r="J52" s="1"/>
  <c r="K54"/>
  <c r="J54" s="1"/>
  <c r="K56"/>
  <c r="J56" s="1"/>
  <c r="K53"/>
  <c r="J53" s="1"/>
  <c r="K154" i="10"/>
  <c r="J154" s="1"/>
  <c r="K156"/>
  <c r="J156" s="1"/>
  <c r="K158"/>
  <c r="J158" s="1"/>
  <c r="K151"/>
  <c r="J151" s="1"/>
  <c r="K153"/>
  <c r="J153" s="1"/>
  <c r="K155"/>
  <c r="J155" s="1"/>
  <c r="K56"/>
  <c r="J56" s="1"/>
  <c r="K55"/>
  <c r="J55" s="1"/>
  <c r="K53"/>
  <c r="J53" s="1"/>
  <c r="K49"/>
  <c r="J49" s="1"/>
  <c r="K100" i="12"/>
  <c r="K100" i="11"/>
  <c r="J77" i="14" l="1"/>
  <c r="K107" i="11"/>
  <c r="K116" s="1"/>
  <c r="K61"/>
  <c r="P117"/>
  <c r="J117"/>
  <c r="O117" s="1"/>
  <c r="K106" i="12"/>
  <c r="K115" s="1"/>
  <c r="K60"/>
  <c r="K106" i="11"/>
  <c r="K115" s="1"/>
  <c r="K60"/>
  <c r="K107" i="12"/>
  <c r="K116" s="1"/>
  <c r="K61"/>
  <c r="K107" i="10"/>
  <c r="K116" s="1"/>
  <c r="K61"/>
  <c r="K106"/>
  <c r="K115" s="1"/>
  <c r="K60"/>
  <c r="K166" i="14"/>
  <c r="K167"/>
  <c r="K170"/>
  <c r="J7"/>
  <c r="J25"/>
  <c r="J103"/>
  <c r="J109"/>
  <c r="J164"/>
  <c r="J165" l="1"/>
  <c r="E123" l="1"/>
  <c r="K26" i="11" l="1"/>
  <c r="K160" i="12" l="1"/>
  <c r="K159"/>
  <c r="K160" i="11"/>
  <c r="K159"/>
  <c r="I50" i="14"/>
  <c r="I49"/>
  <c r="I95" s="1"/>
  <c r="K171"/>
  <c r="J171" s="1"/>
  <c r="K169"/>
  <c r="J169" s="1"/>
  <c r="K168"/>
  <c r="J168" s="1"/>
  <c r="J167"/>
  <c r="K162"/>
  <c r="J162" s="1"/>
  <c r="J123" l="1"/>
  <c r="J74" l="1"/>
  <c r="J81" l="1"/>
  <c r="J100" i="12"/>
  <c r="E100"/>
  <c r="F100" s="1"/>
  <c r="J100" i="11"/>
  <c r="E100"/>
  <c r="F100" s="1"/>
  <c r="J100" i="10"/>
  <c r="E100"/>
  <c r="F100" s="1"/>
  <c r="F123" i="14"/>
  <c r="K110"/>
  <c r="J110" s="1"/>
  <c r="K109" i="11" l="1"/>
  <c r="K103"/>
  <c r="K104"/>
  <c r="J73" i="14"/>
  <c r="J65"/>
  <c r="J170"/>
  <c r="J166"/>
  <c r="J163"/>
  <c r="K160" i="10"/>
  <c r="K159"/>
  <c r="J75" i="14" l="1"/>
  <c r="K126"/>
  <c r="K110" i="11"/>
  <c r="K111" s="1"/>
  <c r="J26" i="14" l="1"/>
  <c r="K101" i="10" l="1"/>
  <c r="J84" i="14"/>
  <c r="I14" i="11"/>
  <c r="J59" i="14" l="1"/>
  <c r="J53"/>
  <c r="J51"/>
  <c r="J57"/>
  <c r="J54"/>
  <c r="J58"/>
  <c r="J52"/>
  <c r="J48"/>
  <c r="J83"/>
  <c r="J82"/>
  <c r="J99" i="12"/>
  <c r="K98"/>
  <c r="K97"/>
  <c r="F99"/>
  <c r="E99"/>
  <c r="J99" i="11"/>
  <c r="F99"/>
  <c r="E99"/>
  <c r="E122" i="14"/>
  <c r="F122" s="1"/>
  <c r="J99" i="10"/>
  <c r="E99"/>
  <c r="F99" s="1"/>
  <c r="J67" i="14" l="1"/>
  <c r="K127"/>
  <c r="J127" s="1"/>
  <c r="J66"/>
  <c r="K128"/>
  <c r="K129" s="1"/>
  <c r="J69" l="1"/>
  <c r="J68"/>
  <c r="J129"/>
  <c r="J128"/>
  <c r="K103" i="12"/>
  <c r="K104"/>
  <c r="K103" i="10"/>
  <c r="K104"/>
  <c r="K112" i="12"/>
  <c r="K110" i="10" l="1"/>
  <c r="K111"/>
  <c r="K109"/>
  <c r="K109" i="12"/>
  <c r="K110"/>
  <c r="K111" s="1"/>
  <c r="P160" i="11" l="1"/>
  <c r="P159"/>
  <c r="P160" i="12"/>
  <c r="P160" i="10"/>
  <c r="P159" i="12"/>
  <c r="P159" i="10"/>
  <c r="J159" l="1"/>
  <c r="O159" s="1"/>
  <c r="J160"/>
  <c r="O160" s="1"/>
  <c r="J159" i="11"/>
  <c r="O159" s="1"/>
  <c r="J160"/>
  <c r="O160" s="1"/>
  <c r="J159" i="12"/>
  <c r="O159" s="1"/>
  <c r="J160"/>
  <c r="O160" s="1"/>
  <c r="P172" i="14"/>
  <c r="P171"/>
  <c r="K100"/>
  <c r="J100" s="1"/>
  <c r="O171" l="1"/>
  <c r="O172"/>
  <c r="P158" i="12"/>
  <c r="O158" i="11"/>
  <c r="O158" i="10"/>
  <c r="E158" i="12"/>
  <c r="F158" s="1"/>
  <c r="E158" i="11"/>
  <c r="F158" s="1"/>
  <c r="P158" i="10"/>
  <c r="E158"/>
  <c r="F158" s="1"/>
  <c r="E170" i="14"/>
  <c r="F170" s="1"/>
  <c r="O158" i="12" l="1"/>
  <c r="P158" i="11"/>
  <c r="O157" i="12" l="1"/>
  <c r="E157"/>
  <c r="F157" s="1"/>
  <c r="E156"/>
  <c r="F156" s="1"/>
  <c r="P155"/>
  <c r="E155"/>
  <c r="F155" s="1"/>
  <c r="E154"/>
  <c r="F154" s="1"/>
  <c r="P153"/>
  <c r="E153"/>
  <c r="F153" s="1"/>
  <c r="P152"/>
  <c r="O152"/>
  <c r="E152"/>
  <c r="F152" s="1"/>
  <c r="P151"/>
  <c r="F151"/>
  <c r="E151"/>
  <c r="P150"/>
  <c r="E150"/>
  <c r="F150" s="1"/>
  <c r="P157" i="11"/>
  <c r="E157"/>
  <c r="F157" s="1"/>
  <c r="E156"/>
  <c r="F156" s="1"/>
  <c r="P155"/>
  <c r="E155"/>
  <c r="F155" s="1"/>
  <c r="E154"/>
  <c r="F154" s="1"/>
  <c r="P153"/>
  <c r="E153"/>
  <c r="F153" s="1"/>
  <c r="P152"/>
  <c r="O152"/>
  <c r="E152"/>
  <c r="F152" s="1"/>
  <c r="P151"/>
  <c r="E151"/>
  <c r="F151" s="1"/>
  <c r="E150"/>
  <c r="F150" s="1"/>
  <c r="P157" i="10"/>
  <c r="E157"/>
  <c r="F157" s="1"/>
  <c r="E156"/>
  <c r="F156" s="1"/>
  <c r="P155"/>
  <c r="E155"/>
  <c r="F155" s="1"/>
  <c r="E154"/>
  <c r="F154" s="1"/>
  <c r="P153"/>
  <c r="E153"/>
  <c r="F153" s="1"/>
  <c r="P152"/>
  <c r="O152"/>
  <c r="E152"/>
  <c r="F152" s="1"/>
  <c r="P151"/>
  <c r="E151"/>
  <c r="F151" s="1"/>
  <c r="O150"/>
  <c r="E150"/>
  <c r="F150" s="1"/>
  <c r="E169" i="14"/>
  <c r="F169" s="1"/>
  <c r="E168"/>
  <c r="F168" s="1"/>
  <c r="E167"/>
  <c r="F167" s="1"/>
  <c r="E166"/>
  <c r="F166" s="1"/>
  <c r="E165"/>
  <c r="F165" s="1"/>
  <c r="E164"/>
  <c r="F164" s="1"/>
  <c r="E163"/>
  <c r="F163" s="1"/>
  <c r="E162"/>
  <c r="F162" s="1"/>
  <c r="O150" i="11" l="1"/>
  <c r="O153" i="12"/>
  <c r="P150" i="11"/>
  <c r="O151" i="10"/>
  <c r="O151" i="12"/>
  <c r="O153" i="10"/>
  <c r="O155" i="11"/>
  <c r="O157" i="10"/>
  <c r="P150"/>
  <c r="O155"/>
  <c r="O157" i="11"/>
  <c r="O150" i="12"/>
  <c r="O151" i="11"/>
  <c r="O153"/>
  <c r="O155" i="12"/>
  <c r="P156" i="11"/>
  <c r="O156"/>
  <c r="P156" i="10"/>
  <c r="O156"/>
  <c r="P156" i="12"/>
  <c r="O156"/>
  <c r="P157"/>
  <c r="K26"/>
  <c r="P154" i="10" l="1"/>
  <c r="O154"/>
  <c r="P154" i="11"/>
  <c r="O154"/>
  <c r="P154" i="12"/>
  <c r="O154"/>
  <c r="K65" i="10"/>
  <c r="K65" i="12"/>
  <c r="E112"/>
  <c r="F112" s="1"/>
  <c r="E112" i="11"/>
  <c r="F112" s="1"/>
  <c r="E112" i="10"/>
  <c r="F112" s="1"/>
  <c r="E60" i="14"/>
  <c r="F60" s="1"/>
  <c r="J112" i="12" l="1"/>
  <c r="O112" s="1"/>
  <c r="K112" i="10"/>
  <c r="J112" s="1"/>
  <c r="O112" s="1"/>
  <c r="K65" i="11"/>
  <c r="J96" i="14" l="1"/>
  <c r="K75" i="11"/>
  <c r="K75" i="12"/>
  <c r="K75" i="10"/>
  <c r="P112" i="12"/>
  <c r="J60" i="14"/>
  <c r="P112" i="10"/>
  <c r="K112" i="11"/>
  <c r="J55" i="14"/>
  <c r="K101"/>
  <c r="J101" s="1"/>
  <c r="P112" i="11" l="1"/>
  <c r="J112"/>
  <c r="O112" s="1"/>
  <c r="J111" i="12"/>
  <c r="J110"/>
  <c r="J109"/>
  <c r="J111" i="11"/>
  <c r="J110"/>
  <c r="J109"/>
  <c r="J111" i="10"/>
  <c r="K89" i="12" l="1"/>
  <c r="K89" i="11"/>
  <c r="K89" i="10"/>
  <c r="K88" i="12"/>
  <c r="K88" i="11"/>
  <c r="K88" i="10"/>
  <c r="K111" i="14"/>
  <c r="J111" s="1"/>
  <c r="K87" i="12"/>
  <c r="K87" i="11"/>
  <c r="K87" i="10"/>
  <c r="K80" i="12"/>
  <c r="K80" i="11"/>
  <c r="K80" i="10"/>
  <c r="K79" i="12"/>
  <c r="K79" i="11"/>
  <c r="K79" i="10"/>
  <c r="K78" i="12"/>
  <c r="K78" i="11"/>
  <c r="K78" i="10"/>
  <c r="K99" i="14"/>
  <c r="J99" s="1"/>
  <c r="K76" i="12"/>
  <c r="K76" i="10"/>
  <c r="K97" i="14"/>
  <c r="J97" s="1"/>
  <c r="K77" i="12"/>
  <c r="K77" i="11"/>
  <c r="K77" i="10"/>
  <c r="K98" i="14"/>
  <c r="J98" s="1"/>
  <c r="K74" i="12"/>
  <c r="K74" i="11"/>
  <c r="K74" i="10"/>
  <c r="K95" i="14"/>
  <c r="J95" s="1"/>
  <c r="K72" i="12"/>
  <c r="K72" i="11"/>
  <c r="K72" i="10"/>
  <c r="J89" i="14"/>
  <c r="K71" i="12"/>
  <c r="K71" i="11"/>
  <c r="K71" i="10"/>
  <c r="J88" i="14"/>
  <c r="K70" i="12"/>
  <c r="K70" i="11"/>
  <c r="K70" i="10"/>
  <c r="K87" i="14"/>
  <c r="J87" s="1"/>
  <c r="K68" i="12"/>
  <c r="K68" i="11"/>
  <c r="K68" i="10"/>
  <c r="K66" i="12"/>
  <c r="K66" i="11"/>
  <c r="K66" i="10"/>
  <c r="K63" i="12"/>
  <c r="K63" i="11"/>
  <c r="K63" i="10"/>
  <c r="K64" i="12"/>
  <c r="K64" i="11"/>
  <c r="K64" i="10"/>
  <c r="K114" i="14"/>
  <c r="J114" s="1"/>
  <c r="J56"/>
  <c r="J110" i="10"/>
  <c r="J109"/>
  <c r="K73" i="11" l="1"/>
  <c r="J116"/>
  <c r="O116" s="1"/>
  <c r="P116"/>
  <c r="J117" i="12"/>
  <c r="O117" s="1"/>
  <c r="P117"/>
  <c r="K73" i="10"/>
  <c r="J116"/>
  <c r="O116" s="1"/>
  <c r="P116"/>
  <c r="J117"/>
  <c r="O117" s="1"/>
  <c r="P117"/>
  <c r="K73" i="12"/>
  <c r="J116"/>
  <c r="O116" s="1"/>
  <c r="P116"/>
  <c r="K94" i="14"/>
  <c r="J94" s="1"/>
  <c r="J85"/>
  <c r="K69" i="12"/>
  <c r="K69" i="11"/>
  <c r="K69" i="10"/>
  <c r="K86" i="14"/>
  <c r="J86" s="1"/>
  <c r="K105" i="12"/>
  <c r="K105" i="11"/>
  <c r="K105" i="10"/>
  <c r="J49" i="14"/>
  <c r="K42" i="11"/>
  <c r="J50" i="14"/>
  <c r="K101" i="12"/>
  <c r="K93"/>
  <c r="K94" s="1"/>
  <c r="K91"/>
  <c r="K92" s="1"/>
  <c r="K90"/>
  <c r="K84"/>
  <c r="K85" s="1"/>
  <c r="K83"/>
  <c r="K82"/>
  <c r="K102"/>
  <c r="K41"/>
  <c r="K34"/>
  <c r="K33"/>
  <c r="K32"/>
  <c r="K31"/>
  <c r="K30"/>
  <c r="K29"/>
  <c r="K28"/>
  <c r="K27"/>
  <c r="K21"/>
  <c r="K20"/>
  <c r="K18"/>
  <c r="K17"/>
  <c r="K16"/>
  <c r="K15"/>
  <c r="K14"/>
  <c r="K11"/>
  <c r="K9"/>
  <c r="K12" s="1"/>
  <c r="K8"/>
  <c r="K5"/>
  <c r="K19" s="1"/>
  <c r="K46" s="1"/>
  <c r="K101" i="11"/>
  <c r="K98"/>
  <c r="K97"/>
  <c r="K93"/>
  <c r="K94" s="1"/>
  <c r="K91"/>
  <c r="K92" s="1"/>
  <c r="K90"/>
  <c r="K84"/>
  <c r="K85" s="1"/>
  <c r="K83"/>
  <c r="K82"/>
  <c r="K102"/>
  <c r="K41"/>
  <c r="K34"/>
  <c r="K33"/>
  <c r="K32"/>
  <c r="K31"/>
  <c r="K30"/>
  <c r="K29"/>
  <c r="K28"/>
  <c r="K27"/>
  <c r="K21"/>
  <c r="K20"/>
  <c r="K18"/>
  <c r="K17"/>
  <c r="K16"/>
  <c r="K15"/>
  <c r="K14"/>
  <c r="K12"/>
  <c r="K11"/>
  <c r="K10"/>
  <c r="K13" s="1"/>
  <c r="K9"/>
  <c r="K8"/>
  <c r="K5"/>
  <c r="K6" s="1"/>
  <c r="K98" i="10"/>
  <c r="K97"/>
  <c r="K93"/>
  <c r="K96" s="1"/>
  <c r="K91"/>
  <c r="K92" s="1"/>
  <c r="K90"/>
  <c r="K84"/>
  <c r="K85" s="1"/>
  <c r="K83"/>
  <c r="K82"/>
  <c r="K102"/>
  <c r="K41"/>
  <c r="K34"/>
  <c r="K33"/>
  <c r="K32"/>
  <c r="K31"/>
  <c r="K30"/>
  <c r="K29"/>
  <c r="K28"/>
  <c r="K27"/>
  <c r="J27" s="1"/>
  <c r="K26"/>
  <c r="K21"/>
  <c r="K20"/>
  <c r="K18"/>
  <c r="K16"/>
  <c r="K15"/>
  <c r="K11"/>
  <c r="K9"/>
  <c r="K10" s="1"/>
  <c r="K8"/>
  <c r="K5"/>
  <c r="K19" s="1"/>
  <c r="K46" s="1"/>
  <c r="J115" i="12" l="1"/>
  <c r="O115" s="1"/>
  <c r="P115"/>
  <c r="J115" i="11"/>
  <c r="O115" s="1"/>
  <c r="P115"/>
  <c r="J115" i="10"/>
  <c r="O115" s="1"/>
  <c r="P115"/>
  <c r="K10" i="12"/>
  <c r="K23" s="1"/>
  <c r="K19" i="11"/>
  <c r="K46" s="1"/>
  <c r="K6" i="10"/>
  <c r="K12"/>
  <c r="K23" i="11"/>
  <c r="K24"/>
  <c r="K35" i="10"/>
  <c r="K39"/>
  <c r="K36" i="11"/>
  <c r="K35"/>
  <c r="K40"/>
  <c r="K39"/>
  <c r="K44"/>
  <c r="K37"/>
  <c r="K43"/>
  <c r="K95" i="10"/>
  <c r="K94"/>
  <c r="K43"/>
  <c r="K45" i="11"/>
  <c r="K96" i="12"/>
  <c r="K39"/>
  <c r="K35"/>
  <c r="K38" i="10"/>
  <c r="K42"/>
  <c r="K37"/>
  <c r="K45"/>
  <c r="J45" s="1"/>
  <c r="K36"/>
  <c r="K40"/>
  <c r="K44"/>
  <c r="K13"/>
  <c r="K24"/>
  <c r="K23"/>
  <c r="K43" i="12"/>
  <c r="K22" i="11"/>
  <c r="K96"/>
  <c r="K38" i="12"/>
  <c r="K42"/>
  <c r="K95"/>
  <c r="K38" i="11"/>
  <c r="K95"/>
  <c r="K37" i="12"/>
  <c r="K45"/>
  <c r="K6"/>
  <c r="K36"/>
  <c r="K40"/>
  <c r="K44"/>
  <c r="K13" l="1"/>
  <c r="K22"/>
  <c r="K24"/>
  <c r="J120" i="10"/>
  <c r="K120"/>
  <c r="K122" s="1"/>
  <c r="K144" i="14"/>
  <c r="J144" s="1"/>
  <c r="J132"/>
  <c r="K120" i="11"/>
  <c r="J120"/>
  <c r="K147" i="14" l="1"/>
  <c r="K143"/>
  <c r="J143" s="1"/>
  <c r="K123" i="10"/>
  <c r="K124"/>
  <c r="J122"/>
  <c r="K127"/>
  <c r="K106" i="14"/>
  <c r="J106" s="1"/>
  <c r="J90"/>
  <c r="J76"/>
  <c r="K34"/>
  <c r="J34" s="1"/>
  <c r="K29"/>
  <c r="J29" s="1"/>
  <c r="K28"/>
  <c r="J28" s="1"/>
  <c r="J27"/>
  <c r="K20"/>
  <c r="J20" s="1"/>
  <c r="K14"/>
  <c r="J14" s="1"/>
  <c r="J74" i="12" l="1"/>
  <c r="K15" i="14" l="1"/>
  <c r="J15" s="1"/>
  <c r="K8"/>
  <c r="J8" s="1"/>
  <c r="J25" i="12" l="1"/>
  <c r="J25" i="11"/>
  <c r="J4"/>
  <c r="J96" i="12"/>
  <c r="J96" i="11"/>
  <c r="J96" i="10" l="1"/>
  <c r="J11"/>
  <c r="J84" i="12" l="1"/>
  <c r="J83"/>
  <c r="J82"/>
  <c r="J81"/>
  <c r="J85" l="1"/>
  <c r="J84" i="11" l="1"/>
  <c r="J83"/>
  <c r="J82"/>
  <c r="J81"/>
  <c r="J107" i="14"/>
  <c r="J108" l="1"/>
  <c r="J85" i="11"/>
  <c r="J85" i="10" l="1"/>
  <c r="J83"/>
  <c r="J82"/>
  <c r="J81"/>
  <c r="J86"/>
  <c r="J84" l="1"/>
  <c r="K11" i="14" l="1"/>
  <c r="J11" s="1"/>
  <c r="K9" l="1"/>
  <c r="J9" s="1"/>
  <c r="P48" i="12"/>
  <c r="P50"/>
  <c r="P59"/>
  <c r="P62"/>
  <c r="P67"/>
  <c r="P75"/>
  <c r="P81"/>
  <c r="P86"/>
  <c r="P48" i="11"/>
  <c r="P50"/>
  <c r="P62"/>
  <c r="P67"/>
  <c r="P75"/>
  <c r="P81"/>
  <c r="P86"/>
  <c r="P50" i="10"/>
  <c r="P59"/>
  <c r="P81"/>
  <c r="P86"/>
  <c r="O4"/>
  <c r="O4" i="11"/>
  <c r="O4" i="12"/>
  <c r="P6" i="10"/>
  <c r="P7"/>
  <c r="P7" i="11"/>
  <c r="P7" i="12"/>
  <c r="J107"/>
  <c r="O107" s="1"/>
  <c r="J108"/>
  <c r="O108" s="1"/>
  <c r="J106"/>
  <c r="O106" s="1"/>
  <c r="P60"/>
  <c r="P108" i="11"/>
  <c r="P107"/>
  <c r="P106" i="10"/>
  <c r="P60"/>
  <c r="P6" i="12" l="1"/>
  <c r="P4"/>
  <c r="K5" i="14"/>
  <c r="P4" i="11"/>
  <c r="P5" i="10"/>
  <c r="P108" i="12"/>
  <c r="P5"/>
  <c r="P4" i="10"/>
  <c r="P107" i="12"/>
  <c r="P106"/>
  <c r="E60" i="11"/>
  <c r="F60" s="1"/>
  <c r="J108"/>
  <c r="O108" s="1"/>
  <c r="J107"/>
  <c r="O107" s="1"/>
  <c r="J60" i="10"/>
  <c r="O60" s="1"/>
  <c r="J106"/>
  <c r="O106" s="1"/>
  <c r="E60"/>
  <c r="F60" s="1"/>
  <c r="E63"/>
  <c r="F63" s="1"/>
  <c r="K19" i="14" l="1"/>
  <c r="J19" s="1"/>
  <c r="J5"/>
  <c r="K6"/>
  <c r="J6" s="1"/>
  <c r="P5" i="11"/>
  <c r="P6"/>
  <c r="J125" i="14"/>
  <c r="P59" i="11"/>
  <c r="E142" i="14"/>
  <c r="F142" s="1"/>
  <c r="E141"/>
  <c r="F141" s="1"/>
  <c r="E140"/>
  <c r="F140" s="1"/>
  <c r="E139"/>
  <c r="F139" s="1"/>
  <c r="E138"/>
  <c r="F138" s="1"/>
  <c r="I137"/>
  <c r="E137"/>
  <c r="F137" s="1"/>
  <c r="I136"/>
  <c r="E136"/>
  <c r="F136" s="1"/>
  <c r="I135"/>
  <c r="E135"/>
  <c r="F135" s="1"/>
  <c r="E134"/>
  <c r="F134" s="1"/>
  <c r="E159"/>
  <c r="F159" s="1"/>
  <c r="E158"/>
  <c r="F158" s="1"/>
  <c r="E157"/>
  <c r="F157" s="1"/>
  <c r="E156"/>
  <c r="F156" s="1"/>
  <c r="E155"/>
  <c r="F155" s="1"/>
  <c r="E154"/>
  <c r="F154" s="1"/>
  <c r="I153"/>
  <c r="I158" s="1"/>
  <c r="E153"/>
  <c r="F153" s="1"/>
  <c r="E152"/>
  <c r="F152" s="1"/>
  <c r="E151"/>
  <c r="F151" s="1"/>
  <c r="I150"/>
  <c r="E150"/>
  <c r="F150" s="1"/>
  <c r="E149"/>
  <c r="F149" s="1"/>
  <c r="E148"/>
  <c r="F148" s="1"/>
  <c r="E147"/>
  <c r="F147" s="1"/>
  <c r="I146"/>
  <c r="E146"/>
  <c r="F146" s="1"/>
  <c r="E145"/>
  <c r="F145" s="1"/>
  <c r="E144"/>
  <c r="F144" s="1"/>
  <c r="E143"/>
  <c r="F143" s="1"/>
  <c r="F46"/>
  <c r="E45"/>
  <c r="F45" s="1"/>
  <c r="E44"/>
  <c r="F44" s="1"/>
  <c r="E43"/>
  <c r="F43" s="1"/>
  <c r="E42"/>
  <c r="F42" s="1"/>
  <c r="E41"/>
  <c r="F41" s="1"/>
  <c r="E40"/>
  <c r="F40" s="1"/>
  <c r="E39"/>
  <c r="F39" s="1"/>
  <c r="E38"/>
  <c r="F38" s="1"/>
  <c r="E37"/>
  <c r="F37" s="1"/>
  <c r="E36"/>
  <c r="F36" s="1"/>
  <c r="E35"/>
  <c r="F35" s="1"/>
  <c r="E34"/>
  <c r="F34" s="1"/>
  <c r="E126"/>
  <c r="F126" s="1"/>
  <c r="E125"/>
  <c r="F125" s="1"/>
  <c r="I24"/>
  <c r="E24"/>
  <c r="F24" s="1"/>
  <c r="E23"/>
  <c r="F23" s="1"/>
  <c r="E22"/>
  <c r="F22" s="1"/>
  <c r="I21"/>
  <c r="E21"/>
  <c r="F21" s="1"/>
  <c r="E20"/>
  <c r="F20" s="1"/>
  <c r="E19"/>
  <c r="F19" s="1"/>
  <c r="E18"/>
  <c r="F18" s="1"/>
  <c r="E17"/>
  <c r="F17" s="1"/>
  <c r="I16"/>
  <c r="I18" s="1"/>
  <c r="E16"/>
  <c r="F16" s="1"/>
  <c r="E15"/>
  <c r="F15" s="1"/>
  <c r="E14"/>
  <c r="F14" s="1"/>
  <c r="I13"/>
  <c r="I14" s="1"/>
  <c r="E13"/>
  <c r="F13" s="1"/>
  <c r="I12"/>
  <c r="E12"/>
  <c r="F12" s="1"/>
  <c r="I11"/>
  <c r="E11"/>
  <c r="F11" s="1"/>
  <c r="E10"/>
  <c r="F10" s="1"/>
  <c r="E9"/>
  <c r="F9" s="1"/>
  <c r="I8"/>
  <c r="I10" s="1"/>
  <c r="E8"/>
  <c r="F8" s="1"/>
  <c r="K17"/>
  <c r="J17" s="1"/>
  <c r="E7"/>
  <c r="F7" s="1"/>
  <c r="I6"/>
  <c r="E6"/>
  <c r="F6" s="1"/>
  <c r="I5"/>
  <c r="E5"/>
  <c r="F5" s="1"/>
  <c r="E4"/>
  <c r="F4" s="1"/>
  <c r="E33"/>
  <c r="F33" s="1"/>
  <c r="E32"/>
  <c r="F32" s="1"/>
  <c r="E31"/>
  <c r="F31" s="1"/>
  <c r="E30"/>
  <c r="F30" s="1"/>
  <c r="E29"/>
  <c r="F29" s="1"/>
  <c r="I28"/>
  <c r="E28"/>
  <c r="F28" s="1"/>
  <c r="I27"/>
  <c r="E27"/>
  <c r="F27" s="1"/>
  <c r="I26"/>
  <c r="E26"/>
  <c r="F26" s="1"/>
  <c r="E25"/>
  <c r="F25" s="1"/>
  <c r="K121"/>
  <c r="J121" s="1"/>
  <c r="E121"/>
  <c r="F121" s="1"/>
  <c r="K120"/>
  <c r="J120" s="1"/>
  <c r="E120"/>
  <c r="F120" s="1"/>
  <c r="I119"/>
  <c r="E119"/>
  <c r="F119" s="1"/>
  <c r="I118"/>
  <c r="E118"/>
  <c r="F118" s="1"/>
  <c r="I117"/>
  <c r="E117"/>
  <c r="F117" s="1"/>
  <c r="K116"/>
  <c r="J116" s="1"/>
  <c r="E116"/>
  <c r="F116" s="1"/>
  <c r="I115"/>
  <c r="E115"/>
  <c r="F115" s="1"/>
  <c r="E114"/>
  <c r="F114" s="1"/>
  <c r="K113"/>
  <c r="J113" s="1"/>
  <c r="I113"/>
  <c r="E113"/>
  <c r="F113" s="1"/>
  <c r="I112"/>
  <c r="E112"/>
  <c r="F112" s="1"/>
  <c r="I111"/>
  <c r="E111"/>
  <c r="F111" s="1"/>
  <c r="K105"/>
  <c r="J105" s="1"/>
  <c r="E110"/>
  <c r="F110" s="1"/>
  <c r="E109"/>
  <c r="F109" s="1"/>
  <c r="E108"/>
  <c r="F108" s="1"/>
  <c r="E107"/>
  <c r="F107" s="1"/>
  <c r="E106"/>
  <c r="F106" s="1"/>
  <c r="E105"/>
  <c r="F105" s="1"/>
  <c r="E103"/>
  <c r="F103" s="1"/>
  <c r="I101"/>
  <c r="E101"/>
  <c r="F101" s="1"/>
  <c r="E100"/>
  <c r="F100" s="1"/>
  <c r="E99"/>
  <c r="F99" s="1"/>
  <c r="E98"/>
  <c r="F98" s="1"/>
  <c r="E97"/>
  <c r="F97" s="1"/>
  <c r="K41"/>
  <c r="J41" s="1"/>
  <c r="E96"/>
  <c r="F96" s="1"/>
  <c r="E95"/>
  <c r="F95" s="1"/>
  <c r="E94"/>
  <c r="F94" s="1"/>
  <c r="E89"/>
  <c r="F89" s="1"/>
  <c r="E88"/>
  <c r="F88" s="1"/>
  <c r="E87"/>
  <c r="F87" s="1"/>
  <c r="E86"/>
  <c r="F86" s="1"/>
  <c r="E85"/>
  <c r="F85" s="1"/>
  <c r="E84"/>
  <c r="F84" s="1"/>
  <c r="E83"/>
  <c r="F83" s="1"/>
  <c r="E82"/>
  <c r="F82" s="1"/>
  <c r="E81"/>
  <c r="F81" s="1"/>
  <c r="E75"/>
  <c r="F75" s="1"/>
  <c r="E74"/>
  <c r="F74" s="1"/>
  <c r="E73"/>
  <c r="F73" s="1"/>
  <c r="E67"/>
  <c r="F67" s="1"/>
  <c r="E66"/>
  <c r="F66" s="1"/>
  <c r="E65"/>
  <c r="F65" s="1"/>
  <c r="E59"/>
  <c r="F59" s="1"/>
  <c r="E58"/>
  <c r="F58" s="1"/>
  <c r="E57"/>
  <c r="F57" s="1"/>
  <c r="E56"/>
  <c r="F56" s="1"/>
  <c r="E55"/>
  <c r="F55" s="1"/>
  <c r="E54"/>
  <c r="F54" s="1"/>
  <c r="E50"/>
  <c r="F50" s="1"/>
  <c r="E49"/>
  <c r="F49" s="1"/>
  <c r="K45"/>
  <c r="J45" s="1"/>
  <c r="E48"/>
  <c r="F48" s="1"/>
  <c r="K3"/>
  <c r="K152" l="1"/>
  <c r="J152" s="1"/>
  <c r="K115"/>
  <c r="J115" s="1"/>
  <c r="K117"/>
  <c r="J117" s="1"/>
  <c r="K119"/>
  <c r="J119" s="1"/>
  <c r="I17"/>
  <c r="I154"/>
  <c r="K16"/>
  <c r="J16" s="1"/>
  <c r="K118"/>
  <c r="J118" s="1"/>
  <c r="K30"/>
  <c r="J30" s="1"/>
  <c r="K21"/>
  <c r="J21" s="1"/>
  <c r="K146"/>
  <c r="K153"/>
  <c r="K18"/>
  <c r="J18" s="1"/>
  <c r="K150"/>
  <c r="K151"/>
  <c r="K35"/>
  <c r="J35" s="1"/>
  <c r="K36"/>
  <c r="J36" s="1"/>
  <c r="J37"/>
  <c r="K38"/>
  <c r="J38" s="1"/>
  <c r="K39"/>
  <c r="J39" s="1"/>
  <c r="K40"/>
  <c r="J40" s="1"/>
  <c r="K42"/>
  <c r="J42" s="1"/>
  <c r="K43"/>
  <c r="J43" s="1"/>
  <c r="K44"/>
  <c r="J44" s="1"/>
  <c r="J153" l="1"/>
  <c r="J146"/>
  <c r="J151"/>
  <c r="J150"/>
  <c r="J147"/>
  <c r="J159"/>
  <c r="K158"/>
  <c r="J60" i="11"/>
  <c r="O60" s="1"/>
  <c r="P60"/>
  <c r="J106"/>
  <c r="O106" s="1"/>
  <c r="P106"/>
  <c r="K156" i="14"/>
  <c r="K145"/>
  <c r="K12"/>
  <c r="J12" s="1"/>
  <c r="K10"/>
  <c r="J126"/>
  <c r="K148"/>
  <c r="J148" s="1"/>
  <c r="K157"/>
  <c r="K149"/>
  <c r="K33"/>
  <c r="J33" s="1"/>
  <c r="K32"/>
  <c r="J32" s="1"/>
  <c r="K31"/>
  <c r="J31" s="1"/>
  <c r="K154"/>
  <c r="K46"/>
  <c r="J46" s="1"/>
  <c r="K155"/>
  <c r="K138"/>
  <c r="J138" s="1"/>
  <c r="K139"/>
  <c r="J139" s="1"/>
  <c r="K24" l="1"/>
  <c r="J24" s="1"/>
  <c r="J10"/>
  <c r="K23"/>
  <c r="K22"/>
  <c r="J157"/>
  <c r="J149"/>
  <c r="J145"/>
  <c r="J155"/>
  <c r="J154"/>
  <c r="J158"/>
  <c r="J156"/>
  <c r="K136"/>
  <c r="J136" s="1"/>
  <c r="K137"/>
  <c r="J137" s="1"/>
  <c r="K13"/>
  <c r="J13" s="1"/>
  <c r="K141" l="1"/>
  <c r="J141" s="1"/>
  <c r="J23"/>
  <c r="K140"/>
  <c r="J140" s="1"/>
  <c r="J22"/>
  <c r="K142"/>
  <c r="J142" s="1"/>
  <c r="P75" i="10" l="1"/>
  <c r="P62"/>
  <c r="P48"/>
  <c r="P25"/>
  <c r="P67" l="1"/>
  <c r="J63" l="1"/>
  <c r="O63" s="1"/>
  <c r="P63"/>
  <c r="J108"/>
  <c r="O108" s="1"/>
  <c r="P108"/>
  <c r="J107"/>
  <c r="O107" s="1"/>
  <c r="P107"/>
  <c r="P45"/>
  <c r="J104" i="12" l="1"/>
  <c r="O104" s="1"/>
  <c r="P104"/>
  <c r="J104" i="10"/>
  <c r="O104" s="1"/>
  <c r="P104"/>
  <c r="J105" i="11"/>
  <c r="O105" s="1"/>
  <c r="P105"/>
  <c r="J104"/>
  <c r="O104" s="1"/>
  <c r="P104"/>
  <c r="J105" i="12"/>
  <c r="O105" s="1"/>
  <c r="P105"/>
  <c r="J105" i="10"/>
  <c r="O105" s="1"/>
  <c r="P105"/>
  <c r="O25"/>
  <c r="O48" i="12"/>
  <c r="O50"/>
  <c r="J62"/>
  <c r="O62" s="1"/>
  <c r="J67"/>
  <c r="O67" s="1"/>
  <c r="J75"/>
  <c r="O75" s="1"/>
  <c r="O81"/>
  <c r="J86"/>
  <c r="O86" s="1"/>
  <c r="J58" l="1"/>
  <c r="O58" s="1"/>
  <c r="P58"/>
  <c r="O48" i="10"/>
  <c r="P63" i="12" l="1"/>
  <c r="J59"/>
  <c r="O59" s="1"/>
  <c r="E130"/>
  <c r="F130" s="1"/>
  <c r="E129"/>
  <c r="F129" s="1"/>
  <c r="E128"/>
  <c r="F128" s="1"/>
  <c r="E127"/>
  <c r="F127" s="1"/>
  <c r="E126"/>
  <c r="F126" s="1"/>
  <c r="I125"/>
  <c r="E125"/>
  <c r="F125" s="1"/>
  <c r="I124"/>
  <c r="E124"/>
  <c r="F124" s="1"/>
  <c r="I123"/>
  <c r="E123"/>
  <c r="F123" s="1"/>
  <c r="E122"/>
  <c r="F122" s="1"/>
  <c r="E147"/>
  <c r="F147" s="1"/>
  <c r="E146"/>
  <c r="F146" s="1"/>
  <c r="E145"/>
  <c r="F145" s="1"/>
  <c r="E144"/>
  <c r="F144" s="1"/>
  <c r="E143"/>
  <c r="F143" s="1"/>
  <c r="E142"/>
  <c r="F142" s="1"/>
  <c r="I141"/>
  <c r="I146" s="1"/>
  <c r="E141"/>
  <c r="F141" s="1"/>
  <c r="E140"/>
  <c r="F140" s="1"/>
  <c r="E139"/>
  <c r="F139" s="1"/>
  <c r="I138"/>
  <c r="E138"/>
  <c r="F138" s="1"/>
  <c r="E137"/>
  <c r="F137" s="1"/>
  <c r="E136"/>
  <c r="F136" s="1"/>
  <c r="E135"/>
  <c r="F135" s="1"/>
  <c r="I134"/>
  <c r="E134"/>
  <c r="F134" s="1"/>
  <c r="E133"/>
  <c r="F133" s="1"/>
  <c r="E132"/>
  <c r="F132" s="1"/>
  <c r="E131"/>
  <c r="F131" s="1"/>
  <c r="K120"/>
  <c r="K122" s="1"/>
  <c r="J122" s="1"/>
  <c r="J120"/>
  <c r="E46"/>
  <c r="F46" s="1"/>
  <c r="E45"/>
  <c r="F45" s="1"/>
  <c r="E44"/>
  <c r="F44" s="1"/>
  <c r="E43"/>
  <c r="F43" s="1"/>
  <c r="E42"/>
  <c r="F42" s="1"/>
  <c r="E41"/>
  <c r="F41" s="1"/>
  <c r="E40"/>
  <c r="F40" s="1"/>
  <c r="E39"/>
  <c r="F39" s="1"/>
  <c r="E38"/>
  <c r="F38" s="1"/>
  <c r="E37"/>
  <c r="F37" s="1"/>
  <c r="E36"/>
  <c r="F36" s="1"/>
  <c r="E35"/>
  <c r="F35" s="1"/>
  <c r="E34"/>
  <c r="F34" s="1"/>
  <c r="E102"/>
  <c r="F102" s="1"/>
  <c r="E101"/>
  <c r="F101" s="1"/>
  <c r="I24"/>
  <c r="E24"/>
  <c r="F24" s="1"/>
  <c r="E23"/>
  <c r="F23" s="1"/>
  <c r="E22"/>
  <c r="F22" s="1"/>
  <c r="I21"/>
  <c r="E21"/>
  <c r="F21" s="1"/>
  <c r="E20"/>
  <c r="F20" s="1"/>
  <c r="E19"/>
  <c r="F19" s="1"/>
  <c r="E18"/>
  <c r="F18" s="1"/>
  <c r="E17"/>
  <c r="F17" s="1"/>
  <c r="I16"/>
  <c r="I17" s="1"/>
  <c r="E16"/>
  <c r="F16" s="1"/>
  <c r="E15"/>
  <c r="F15" s="1"/>
  <c r="E14"/>
  <c r="F14" s="1"/>
  <c r="I13"/>
  <c r="I14" s="1"/>
  <c r="E13"/>
  <c r="F13" s="1"/>
  <c r="I12"/>
  <c r="E12"/>
  <c r="F12" s="1"/>
  <c r="I11"/>
  <c r="E11"/>
  <c r="F11" s="1"/>
  <c r="E10"/>
  <c r="F10" s="1"/>
  <c r="E9"/>
  <c r="F9" s="1"/>
  <c r="I8"/>
  <c r="I10" s="1"/>
  <c r="E8"/>
  <c r="F8" s="1"/>
  <c r="E7"/>
  <c r="F7" s="1"/>
  <c r="I6"/>
  <c r="E6"/>
  <c r="F6" s="1"/>
  <c r="I5"/>
  <c r="E5"/>
  <c r="F5" s="1"/>
  <c r="J6"/>
  <c r="O6" s="1"/>
  <c r="E4"/>
  <c r="F4" s="1"/>
  <c r="E33"/>
  <c r="F33" s="1"/>
  <c r="E32"/>
  <c r="F32" s="1"/>
  <c r="E31"/>
  <c r="F31" s="1"/>
  <c r="E30"/>
  <c r="F30" s="1"/>
  <c r="E29"/>
  <c r="F29" s="1"/>
  <c r="I28"/>
  <c r="E28"/>
  <c r="F28" s="1"/>
  <c r="I27"/>
  <c r="E27"/>
  <c r="F27" s="1"/>
  <c r="I26"/>
  <c r="E26"/>
  <c r="F26" s="1"/>
  <c r="E25"/>
  <c r="F25" s="1"/>
  <c r="E98"/>
  <c r="F98" s="1"/>
  <c r="E97"/>
  <c r="F97" s="1"/>
  <c r="I96"/>
  <c r="E96"/>
  <c r="F96" s="1"/>
  <c r="I95"/>
  <c r="E95"/>
  <c r="F95" s="1"/>
  <c r="I94"/>
  <c r="E94"/>
  <c r="F94" s="1"/>
  <c r="P93"/>
  <c r="E93"/>
  <c r="F93" s="1"/>
  <c r="I92"/>
  <c r="E92"/>
  <c r="F92" s="1"/>
  <c r="P91"/>
  <c r="E91"/>
  <c r="F91" s="1"/>
  <c r="I90"/>
  <c r="E90"/>
  <c r="F90" s="1"/>
  <c r="I89"/>
  <c r="E89"/>
  <c r="F89" s="1"/>
  <c r="I88"/>
  <c r="E88"/>
  <c r="F88" s="1"/>
  <c r="E87"/>
  <c r="F87" s="1"/>
  <c r="E86"/>
  <c r="F86" s="1"/>
  <c r="E85"/>
  <c r="F85" s="1"/>
  <c r="E84"/>
  <c r="F84" s="1"/>
  <c r="E83"/>
  <c r="F83" s="1"/>
  <c r="E82"/>
  <c r="F82" s="1"/>
  <c r="E81"/>
  <c r="F81" s="1"/>
  <c r="I80"/>
  <c r="E80"/>
  <c r="F80" s="1"/>
  <c r="E79"/>
  <c r="F79" s="1"/>
  <c r="E78"/>
  <c r="F78" s="1"/>
  <c r="E77"/>
  <c r="F77" s="1"/>
  <c r="P76"/>
  <c r="I76"/>
  <c r="I77" s="1"/>
  <c r="I78" s="1"/>
  <c r="E76"/>
  <c r="F76" s="1"/>
  <c r="E75"/>
  <c r="F75" s="1"/>
  <c r="E74"/>
  <c r="F74" s="1"/>
  <c r="E73"/>
  <c r="F73" s="1"/>
  <c r="E72"/>
  <c r="F72" s="1"/>
  <c r="E71"/>
  <c r="F71" s="1"/>
  <c r="E70"/>
  <c r="F70" s="1"/>
  <c r="E69"/>
  <c r="F69" s="1"/>
  <c r="I68"/>
  <c r="I73" s="1"/>
  <c r="E68"/>
  <c r="F68" s="1"/>
  <c r="E67"/>
  <c r="F67" s="1"/>
  <c r="E66"/>
  <c r="F66" s="1"/>
  <c r="P65"/>
  <c r="E65"/>
  <c r="F65" s="1"/>
  <c r="E64"/>
  <c r="F64" s="1"/>
  <c r="E63"/>
  <c r="F63" s="1"/>
  <c r="E62"/>
  <c r="F62" s="1"/>
  <c r="I61"/>
  <c r="E61"/>
  <c r="F61" s="1"/>
  <c r="J60"/>
  <c r="O60" s="1"/>
  <c r="E60"/>
  <c r="F60" s="1"/>
  <c r="E59"/>
  <c r="F59" s="1"/>
  <c r="E58"/>
  <c r="F58" s="1"/>
  <c r="E56"/>
  <c r="F56" s="1"/>
  <c r="E55"/>
  <c r="F55" s="1"/>
  <c r="E54"/>
  <c r="F54" s="1"/>
  <c r="E53"/>
  <c r="F53" s="1"/>
  <c r="E52"/>
  <c r="F52" s="1"/>
  <c r="P51"/>
  <c r="E51"/>
  <c r="F51" s="1"/>
  <c r="E50"/>
  <c r="F50" s="1"/>
  <c r="P49"/>
  <c r="I74"/>
  <c r="E49"/>
  <c r="F49" s="1"/>
  <c r="E48"/>
  <c r="F48" s="1"/>
  <c r="K3"/>
  <c r="E130" i="11"/>
  <c r="F130" s="1"/>
  <c r="E129"/>
  <c r="F129" s="1"/>
  <c r="E128"/>
  <c r="F128" s="1"/>
  <c r="E127"/>
  <c r="F127" s="1"/>
  <c r="E126"/>
  <c r="F126" s="1"/>
  <c r="I125"/>
  <c r="E125"/>
  <c r="F125" s="1"/>
  <c r="I124"/>
  <c r="E124"/>
  <c r="F124" s="1"/>
  <c r="I123"/>
  <c r="E123"/>
  <c r="F123" s="1"/>
  <c r="E122"/>
  <c r="F122" s="1"/>
  <c r="E147"/>
  <c r="F147" s="1"/>
  <c r="E146"/>
  <c r="F146" s="1"/>
  <c r="E145"/>
  <c r="F145" s="1"/>
  <c r="E144"/>
  <c r="F144" s="1"/>
  <c r="E143"/>
  <c r="F143" s="1"/>
  <c r="E142"/>
  <c r="F142" s="1"/>
  <c r="I141"/>
  <c r="I146" s="1"/>
  <c r="E141"/>
  <c r="F141" s="1"/>
  <c r="E140"/>
  <c r="F140" s="1"/>
  <c r="E139"/>
  <c r="F139" s="1"/>
  <c r="I138"/>
  <c r="E138"/>
  <c r="F138" s="1"/>
  <c r="E137"/>
  <c r="F137" s="1"/>
  <c r="E136"/>
  <c r="F136" s="1"/>
  <c r="E135"/>
  <c r="F135" s="1"/>
  <c r="I134"/>
  <c r="E134"/>
  <c r="F134" s="1"/>
  <c r="E133"/>
  <c r="F133" s="1"/>
  <c r="E132"/>
  <c r="F132" s="1"/>
  <c r="E131"/>
  <c r="F131" s="1"/>
  <c r="K122"/>
  <c r="J122" s="1"/>
  <c r="E46"/>
  <c r="F46" s="1"/>
  <c r="E45"/>
  <c r="F45" s="1"/>
  <c r="E44"/>
  <c r="F44" s="1"/>
  <c r="E43"/>
  <c r="F43" s="1"/>
  <c r="E42"/>
  <c r="F42" s="1"/>
  <c r="E41"/>
  <c r="F41" s="1"/>
  <c r="E40"/>
  <c r="F40" s="1"/>
  <c r="E39"/>
  <c r="F39" s="1"/>
  <c r="E38"/>
  <c r="F38" s="1"/>
  <c r="E37"/>
  <c r="F37" s="1"/>
  <c r="E36"/>
  <c r="F36" s="1"/>
  <c r="E35"/>
  <c r="F35" s="1"/>
  <c r="E34"/>
  <c r="F34" s="1"/>
  <c r="E102"/>
  <c r="F102" s="1"/>
  <c r="E101"/>
  <c r="F101" s="1"/>
  <c r="I24"/>
  <c r="E24"/>
  <c r="F24" s="1"/>
  <c r="E23"/>
  <c r="F23" s="1"/>
  <c r="E22"/>
  <c r="F22" s="1"/>
  <c r="I21"/>
  <c r="E21"/>
  <c r="F21" s="1"/>
  <c r="E20"/>
  <c r="F20" s="1"/>
  <c r="E19"/>
  <c r="F19" s="1"/>
  <c r="E18"/>
  <c r="F18" s="1"/>
  <c r="E17"/>
  <c r="F17" s="1"/>
  <c r="I16"/>
  <c r="I17" s="1"/>
  <c r="E16"/>
  <c r="F16" s="1"/>
  <c r="E15"/>
  <c r="F15" s="1"/>
  <c r="E14"/>
  <c r="F14" s="1"/>
  <c r="I13"/>
  <c r="E13"/>
  <c r="F13" s="1"/>
  <c r="I12"/>
  <c r="E12"/>
  <c r="F12" s="1"/>
  <c r="I11"/>
  <c r="E11"/>
  <c r="F11" s="1"/>
  <c r="E10"/>
  <c r="F10" s="1"/>
  <c r="E9"/>
  <c r="F9" s="1"/>
  <c r="I8"/>
  <c r="I10" s="1"/>
  <c r="E8"/>
  <c r="F8" s="1"/>
  <c r="E7"/>
  <c r="F7" s="1"/>
  <c r="I6"/>
  <c r="E6"/>
  <c r="F6" s="1"/>
  <c r="I5"/>
  <c r="E5"/>
  <c r="F5" s="1"/>
  <c r="J6"/>
  <c r="O6" s="1"/>
  <c r="E4"/>
  <c r="F4" s="1"/>
  <c r="E33"/>
  <c r="F33" s="1"/>
  <c r="E32"/>
  <c r="F32" s="1"/>
  <c r="E31"/>
  <c r="F31" s="1"/>
  <c r="E30"/>
  <c r="F30" s="1"/>
  <c r="E29"/>
  <c r="F29" s="1"/>
  <c r="I28"/>
  <c r="E28"/>
  <c r="F28" s="1"/>
  <c r="I27"/>
  <c r="E27"/>
  <c r="F27" s="1"/>
  <c r="I26"/>
  <c r="E26"/>
  <c r="F26" s="1"/>
  <c r="E25"/>
  <c r="F25" s="1"/>
  <c r="E98"/>
  <c r="F98" s="1"/>
  <c r="E97"/>
  <c r="F97" s="1"/>
  <c r="I96"/>
  <c r="E96"/>
  <c r="F96" s="1"/>
  <c r="I95"/>
  <c r="E95"/>
  <c r="F95" s="1"/>
  <c r="I94"/>
  <c r="E94"/>
  <c r="F94" s="1"/>
  <c r="E93"/>
  <c r="F93" s="1"/>
  <c r="I92"/>
  <c r="E92"/>
  <c r="F92" s="1"/>
  <c r="E91"/>
  <c r="F91" s="1"/>
  <c r="I90"/>
  <c r="E90"/>
  <c r="F90" s="1"/>
  <c r="I89"/>
  <c r="E89"/>
  <c r="F89" s="1"/>
  <c r="I88"/>
  <c r="E88"/>
  <c r="F88" s="1"/>
  <c r="E87"/>
  <c r="F87" s="1"/>
  <c r="J86"/>
  <c r="O86" s="1"/>
  <c r="E86"/>
  <c r="F86" s="1"/>
  <c r="E85"/>
  <c r="F85" s="1"/>
  <c r="E84"/>
  <c r="F84" s="1"/>
  <c r="E83"/>
  <c r="F83" s="1"/>
  <c r="E82"/>
  <c r="F82" s="1"/>
  <c r="O81"/>
  <c r="E81"/>
  <c r="F81" s="1"/>
  <c r="I80"/>
  <c r="E80"/>
  <c r="F80" s="1"/>
  <c r="E79"/>
  <c r="F79" s="1"/>
  <c r="E78"/>
  <c r="F78" s="1"/>
  <c r="E77"/>
  <c r="F77" s="1"/>
  <c r="I76"/>
  <c r="I77" s="1"/>
  <c r="I78" s="1"/>
  <c r="E76"/>
  <c r="F76" s="1"/>
  <c r="J75"/>
  <c r="O75" s="1"/>
  <c r="E75"/>
  <c r="F75" s="1"/>
  <c r="E74"/>
  <c r="F74" s="1"/>
  <c r="E73"/>
  <c r="F73" s="1"/>
  <c r="E72"/>
  <c r="F72" s="1"/>
  <c r="E71"/>
  <c r="F71" s="1"/>
  <c r="E70"/>
  <c r="F70" s="1"/>
  <c r="E69"/>
  <c r="F69" s="1"/>
  <c r="I68"/>
  <c r="I73" s="1"/>
  <c r="E68"/>
  <c r="F68" s="1"/>
  <c r="J67"/>
  <c r="O67" s="1"/>
  <c r="E67"/>
  <c r="F67" s="1"/>
  <c r="P66"/>
  <c r="E66"/>
  <c r="F66" s="1"/>
  <c r="P65"/>
  <c r="E65"/>
  <c r="F65" s="1"/>
  <c r="E64"/>
  <c r="F64" s="1"/>
  <c r="E63"/>
  <c r="F63" s="1"/>
  <c r="J62"/>
  <c r="O62" s="1"/>
  <c r="E62"/>
  <c r="F62" s="1"/>
  <c r="P61"/>
  <c r="I61"/>
  <c r="E61"/>
  <c r="F61" s="1"/>
  <c r="E59"/>
  <c r="F59" s="1"/>
  <c r="P58"/>
  <c r="E58"/>
  <c r="F58" s="1"/>
  <c r="E56"/>
  <c r="F56" s="1"/>
  <c r="E55"/>
  <c r="F55" s="1"/>
  <c r="E54"/>
  <c r="F54" s="1"/>
  <c r="E53"/>
  <c r="F53" s="1"/>
  <c r="E52"/>
  <c r="F52" s="1"/>
  <c r="P51"/>
  <c r="E51"/>
  <c r="F51" s="1"/>
  <c r="O50"/>
  <c r="E50"/>
  <c r="F50" s="1"/>
  <c r="I74"/>
  <c r="E49"/>
  <c r="F49" s="1"/>
  <c r="O48"/>
  <c r="E48"/>
  <c r="F48" s="1"/>
  <c r="K3"/>
  <c r="J3"/>
  <c r="E130" i="10"/>
  <c r="F130" s="1"/>
  <c r="E129"/>
  <c r="F129" s="1"/>
  <c r="E128"/>
  <c r="F128" s="1"/>
  <c r="E127"/>
  <c r="F127" s="1"/>
  <c r="E126"/>
  <c r="F126" s="1"/>
  <c r="I125"/>
  <c r="E125"/>
  <c r="F125" s="1"/>
  <c r="I124"/>
  <c r="E124"/>
  <c r="F124" s="1"/>
  <c r="I123"/>
  <c r="E123"/>
  <c r="F123" s="1"/>
  <c r="E122"/>
  <c r="F122" s="1"/>
  <c r="E147"/>
  <c r="F147" s="1"/>
  <c r="E146"/>
  <c r="F146" s="1"/>
  <c r="E145"/>
  <c r="F145" s="1"/>
  <c r="E144"/>
  <c r="F144" s="1"/>
  <c r="E143"/>
  <c r="F143" s="1"/>
  <c r="E142"/>
  <c r="F142" s="1"/>
  <c r="I141"/>
  <c r="I142" s="1"/>
  <c r="E141"/>
  <c r="F141" s="1"/>
  <c r="E140"/>
  <c r="F140" s="1"/>
  <c r="E139"/>
  <c r="F139" s="1"/>
  <c r="I138"/>
  <c r="E138"/>
  <c r="F138" s="1"/>
  <c r="E137"/>
  <c r="F137" s="1"/>
  <c r="E136"/>
  <c r="F136" s="1"/>
  <c r="E135"/>
  <c r="F135" s="1"/>
  <c r="I134"/>
  <c r="E134"/>
  <c r="F134" s="1"/>
  <c r="E133"/>
  <c r="F133" s="1"/>
  <c r="E132"/>
  <c r="F132" s="1"/>
  <c r="E131"/>
  <c r="F131" s="1"/>
  <c r="E46"/>
  <c r="F46" s="1"/>
  <c r="O45"/>
  <c r="E45"/>
  <c r="F45" s="1"/>
  <c r="E44"/>
  <c r="F44" s="1"/>
  <c r="E43"/>
  <c r="F43" s="1"/>
  <c r="E42"/>
  <c r="F42" s="1"/>
  <c r="E41"/>
  <c r="F41" s="1"/>
  <c r="E40"/>
  <c r="F40" s="1"/>
  <c r="E39"/>
  <c r="F39" s="1"/>
  <c r="E38"/>
  <c r="F38" s="1"/>
  <c r="E37"/>
  <c r="F37" s="1"/>
  <c r="E36"/>
  <c r="F36" s="1"/>
  <c r="E35"/>
  <c r="F35" s="1"/>
  <c r="E34"/>
  <c r="F34" s="1"/>
  <c r="E102"/>
  <c r="F102" s="1"/>
  <c r="E101"/>
  <c r="F101" s="1"/>
  <c r="I24"/>
  <c r="E24"/>
  <c r="F24" s="1"/>
  <c r="E23"/>
  <c r="F23" s="1"/>
  <c r="E22"/>
  <c r="F22" s="1"/>
  <c r="I21"/>
  <c r="E21"/>
  <c r="F21" s="1"/>
  <c r="E20"/>
  <c r="F20" s="1"/>
  <c r="E19"/>
  <c r="F19" s="1"/>
  <c r="E18"/>
  <c r="F18" s="1"/>
  <c r="E17"/>
  <c r="F17" s="1"/>
  <c r="I16"/>
  <c r="I18" s="1"/>
  <c r="E16"/>
  <c r="F16" s="1"/>
  <c r="E15"/>
  <c r="F15" s="1"/>
  <c r="E14"/>
  <c r="F14" s="1"/>
  <c r="I13"/>
  <c r="I14" s="1"/>
  <c r="E13"/>
  <c r="F13" s="1"/>
  <c r="I12"/>
  <c r="E12"/>
  <c r="F12" s="1"/>
  <c r="I11"/>
  <c r="E11"/>
  <c r="F11" s="1"/>
  <c r="E10"/>
  <c r="F10" s="1"/>
  <c r="E9"/>
  <c r="F9" s="1"/>
  <c r="I8"/>
  <c r="I10" s="1"/>
  <c r="E8"/>
  <c r="F8" s="1"/>
  <c r="E7"/>
  <c r="F7" s="1"/>
  <c r="I6"/>
  <c r="E6"/>
  <c r="F6" s="1"/>
  <c r="I5"/>
  <c r="E5"/>
  <c r="F5" s="1"/>
  <c r="E4"/>
  <c r="F4" s="1"/>
  <c r="E33"/>
  <c r="F33" s="1"/>
  <c r="E32"/>
  <c r="F32" s="1"/>
  <c r="E31"/>
  <c r="F31" s="1"/>
  <c r="E30"/>
  <c r="F30" s="1"/>
  <c r="E29"/>
  <c r="F29" s="1"/>
  <c r="I28"/>
  <c r="E28"/>
  <c r="F28" s="1"/>
  <c r="I27"/>
  <c r="E27"/>
  <c r="F27" s="1"/>
  <c r="I26"/>
  <c r="E26"/>
  <c r="F26" s="1"/>
  <c r="E25"/>
  <c r="F25" s="1"/>
  <c r="E98"/>
  <c r="F98" s="1"/>
  <c r="E97"/>
  <c r="F97" s="1"/>
  <c r="I96"/>
  <c r="E96"/>
  <c r="F96" s="1"/>
  <c r="I95"/>
  <c r="E95"/>
  <c r="F95" s="1"/>
  <c r="I94"/>
  <c r="E94"/>
  <c r="F94" s="1"/>
  <c r="E93"/>
  <c r="F93" s="1"/>
  <c r="I92"/>
  <c r="E92"/>
  <c r="F92" s="1"/>
  <c r="E91"/>
  <c r="F91" s="1"/>
  <c r="I90"/>
  <c r="E90"/>
  <c r="F90" s="1"/>
  <c r="I89"/>
  <c r="E89"/>
  <c r="F89" s="1"/>
  <c r="I88"/>
  <c r="E88"/>
  <c r="F88" s="1"/>
  <c r="E87"/>
  <c r="F87" s="1"/>
  <c r="O86"/>
  <c r="E86"/>
  <c r="F86" s="1"/>
  <c r="E85"/>
  <c r="F85" s="1"/>
  <c r="E84"/>
  <c r="F84" s="1"/>
  <c r="E83"/>
  <c r="F83" s="1"/>
  <c r="E82"/>
  <c r="F82" s="1"/>
  <c r="O81"/>
  <c r="E81"/>
  <c r="F81" s="1"/>
  <c r="I80"/>
  <c r="E80"/>
  <c r="F80" s="1"/>
  <c r="E79"/>
  <c r="F79" s="1"/>
  <c r="E78"/>
  <c r="F78" s="1"/>
  <c r="E77"/>
  <c r="F77" s="1"/>
  <c r="I76"/>
  <c r="I77" s="1"/>
  <c r="I78" s="1"/>
  <c r="E76"/>
  <c r="F76" s="1"/>
  <c r="J75"/>
  <c r="O75" s="1"/>
  <c r="E75"/>
  <c r="F75" s="1"/>
  <c r="E74"/>
  <c r="F74" s="1"/>
  <c r="E73"/>
  <c r="F73" s="1"/>
  <c r="E72"/>
  <c r="F72" s="1"/>
  <c r="P71"/>
  <c r="E71"/>
  <c r="F71" s="1"/>
  <c r="E70"/>
  <c r="F70" s="1"/>
  <c r="E69"/>
  <c r="F69" s="1"/>
  <c r="I68"/>
  <c r="I73" s="1"/>
  <c r="E68"/>
  <c r="F68" s="1"/>
  <c r="J67"/>
  <c r="O67" s="1"/>
  <c r="E67"/>
  <c r="F67" s="1"/>
  <c r="P66"/>
  <c r="E66"/>
  <c r="F66" s="1"/>
  <c r="P65"/>
  <c r="E65"/>
  <c r="F65" s="1"/>
  <c r="E64"/>
  <c r="F64" s="1"/>
  <c r="J62"/>
  <c r="O62" s="1"/>
  <c r="E62"/>
  <c r="F62" s="1"/>
  <c r="I61"/>
  <c r="E61"/>
  <c r="F61" s="1"/>
  <c r="J59"/>
  <c r="O59" s="1"/>
  <c r="E59"/>
  <c r="F59" s="1"/>
  <c r="P58"/>
  <c r="E58"/>
  <c r="F58" s="1"/>
  <c r="E56"/>
  <c r="F56" s="1"/>
  <c r="E55"/>
  <c r="F55" s="1"/>
  <c r="E54"/>
  <c r="F54" s="1"/>
  <c r="E53"/>
  <c r="F53" s="1"/>
  <c r="E52"/>
  <c r="F52" s="1"/>
  <c r="E51"/>
  <c r="F51" s="1"/>
  <c r="O50"/>
  <c r="E50"/>
  <c r="F50" s="1"/>
  <c r="I74"/>
  <c r="E49"/>
  <c r="F49" s="1"/>
  <c r="E48"/>
  <c r="F48" s="1"/>
  <c r="I6" i="2"/>
  <c r="K140" i="11" l="1"/>
  <c r="P140" s="1"/>
  <c r="J68" i="10"/>
  <c r="O68" s="1"/>
  <c r="P68"/>
  <c r="J90"/>
  <c r="O90" s="1"/>
  <c r="P90"/>
  <c r="J98"/>
  <c r="O98" s="1"/>
  <c r="P98"/>
  <c r="J101"/>
  <c r="O101" s="1"/>
  <c r="P101"/>
  <c r="P77" i="11"/>
  <c r="P76"/>
  <c r="J79"/>
  <c r="O79" s="1"/>
  <c r="P79"/>
  <c r="J88"/>
  <c r="O88" s="1"/>
  <c r="P88"/>
  <c r="P91"/>
  <c r="P93"/>
  <c r="J97"/>
  <c r="O97" s="1"/>
  <c r="P97"/>
  <c r="J30"/>
  <c r="O30" s="1"/>
  <c r="P30"/>
  <c r="J34"/>
  <c r="O34" s="1"/>
  <c r="P34"/>
  <c r="J36"/>
  <c r="O36" s="1"/>
  <c r="P36"/>
  <c r="J38"/>
  <c r="O38" s="1"/>
  <c r="P38"/>
  <c r="J40"/>
  <c r="O40" s="1"/>
  <c r="P40"/>
  <c r="J42"/>
  <c r="O42" s="1"/>
  <c r="P42"/>
  <c r="J44"/>
  <c r="O44" s="1"/>
  <c r="P44"/>
  <c r="J71" i="12"/>
  <c r="O71" s="1"/>
  <c r="P71"/>
  <c r="J79"/>
  <c r="O79" s="1"/>
  <c r="P79"/>
  <c r="O83"/>
  <c r="P83"/>
  <c r="O85"/>
  <c r="P85"/>
  <c r="J90"/>
  <c r="O90" s="1"/>
  <c r="P90"/>
  <c r="J98"/>
  <c r="O98" s="1"/>
  <c r="P98"/>
  <c r="J17"/>
  <c r="O17" s="1"/>
  <c r="P17"/>
  <c r="J34"/>
  <c r="O34" s="1"/>
  <c r="P34"/>
  <c r="J36"/>
  <c r="O36" s="1"/>
  <c r="P36"/>
  <c r="J38"/>
  <c r="O38" s="1"/>
  <c r="P38"/>
  <c r="J40"/>
  <c r="O40" s="1"/>
  <c r="P40"/>
  <c r="J42"/>
  <c r="O42" s="1"/>
  <c r="P42"/>
  <c r="J44"/>
  <c r="O44" s="1"/>
  <c r="P44"/>
  <c r="J72" i="10"/>
  <c r="O72" s="1"/>
  <c r="P72"/>
  <c r="O83"/>
  <c r="P83"/>
  <c r="O85"/>
  <c r="P85"/>
  <c r="J87"/>
  <c r="O87" s="1"/>
  <c r="P87"/>
  <c r="J29"/>
  <c r="O29" s="1"/>
  <c r="P29"/>
  <c r="J34"/>
  <c r="O34" s="1"/>
  <c r="P34"/>
  <c r="J36"/>
  <c r="O36" s="1"/>
  <c r="P36"/>
  <c r="J38"/>
  <c r="O38" s="1"/>
  <c r="P38"/>
  <c r="J40"/>
  <c r="O40" s="1"/>
  <c r="P40"/>
  <c r="J42"/>
  <c r="O42" s="1"/>
  <c r="P42"/>
  <c r="J44"/>
  <c r="O44" s="1"/>
  <c r="P44"/>
  <c r="P49" i="11"/>
  <c r="P63"/>
  <c r="J71"/>
  <c r="O71" s="1"/>
  <c r="P71"/>
  <c r="J80"/>
  <c r="O80" s="1"/>
  <c r="P80"/>
  <c r="O82"/>
  <c r="P82"/>
  <c r="O84"/>
  <c r="P84"/>
  <c r="J89"/>
  <c r="O89" s="1"/>
  <c r="P89"/>
  <c r="J17"/>
  <c r="O17" s="1"/>
  <c r="P17"/>
  <c r="J61" i="12"/>
  <c r="O61" s="1"/>
  <c r="P61"/>
  <c r="J66"/>
  <c r="O66" s="1"/>
  <c r="P66"/>
  <c r="J68"/>
  <c r="O68" s="1"/>
  <c r="P68"/>
  <c r="J80"/>
  <c r="O80" s="1"/>
  <c r="P80"/>
  <c r="J87"/>
  <c r="O87" s="1"/>
  <c r="P87"/>
  <c r="P25"/>
  <c r="J29"/>
  <c r="O29" s="1"/>
  <c r="P29"/>
  <c r="J70" i="10"/>
  <c r="O70" s="1"/>
  <c r="P70"/>
  <c r="P51"/>
  <c r="P64"/>
  <c r="P61"/>
  <c r="J76"/>
  <c r="O76" s="1"/>
  <c r="P76"/>
  <c r="J79"/>
  <c r="O79" s="1"/>
  <c r="P79"/>
  <c r="J88"/>
  <c r="O88" s="1"/>
  <c r="P88"/>
  <c r="J91"/>
  <c r="O91" s="1"/>
  <c r="P91"/>
  <c r="P93"/>
  <c r="J97"/>
  <c r="O97" s="1"/>
  <c r="P97"/>
  <c r="K142" i="11"/>
  <c r="P68"/>
  <c r="J90"/>
  <c r="O90" s="1"/>
  <c r="P90"/>
  <c r="J98"/>
  <c r="O98" s="1"/>
  <c r="P98"/>
  <c r="P25"/>
  <c r="J29"/>
  <c r="O29" s="1"/>
  <c r="P29"/>
  <c r="J35"/>
  <c r="O35" s="1"/>
  <c r="P35"/>
  <c r="J37"/>
  <c r="O37" s="1"/>
  <c r="P37"/>
  <c r="J39"/>
  <c r="O39" s="1"/>
  <c r="P39"/>
  <c r="J41"/>
  <c r="O41" s="1"/>
  <c r="P41"/>
  <c r="J43"/>
  <c r="O43" s="1"/>
  <c r="P43"/>
  <c r="J45"/>
  <c r="O45" s="1"/>
  <c r="P45"/>
  <c r="J70" i="12"/>
  <c r="O70" s="1"/>
  <c r="P70"/>
  <c r="J72"/>
  <c r="O72" s="1"/>
  <c r="P72"/>
  <c r="O82"/>
  <c r="P82"/>
  <c r="O84"/>
  <c r="P84"/>
  <c r="J88"/>
  <c r="O88" s="1"/>
  <c r="P88"/>
  <c r="J97"/>
  <c r="O97" s="1"/>
  <c r="P97"/>
  <c r="J35"/>
  <c r="O35" s="1"/>
  <c r="P35"/>
  <c r="J37"/>
  <c r="O37" s="1"/>
  <c r="P37"/>
  <c r="J39"/>
  <c r="O39" s="1"/>
  <c r="P39"/>
  <c r="J41"/>
  <c r="O41" s="1"/>
  <c r="P41"/>
  <c r="J43"/>
  <c r="O43" s="1"/>
  <c r="P43"/>
  <c r="J45"/>
  <c r="O45" s="1"/>
  <c r="P45"/>
  <c r="J101"/>
  <c r="O101" s="1"/>
  <c r="P101"/>
  <c r="P49" i="10"/>
  <c r="J102"/>
  <c r="O102" s="1"/>
  <c r="P102"/>
  <c r="J80"/>
  <c r="O80" s="1"/>
  <c r="P80"/>
  <c r="O82"/>
  <c r="P82"/>
  <c r="O84"/>
  <c r="P84"/>
  <c r="J89"/>
  <c r="O89" s="1"/>
  <c r="P89"/>
  <c r="J30"/>
  <c r="O30" s="1"/>
  <c r="P30"/>
  <c r="J35"/>
  <c r="O35" s="1"/>
  <c r="P35"/>
  <c r="J37"/>
  <c r="O37" s="1"/>
  <c r="P37"/>
  <c r="J39"/>
  <c r="O39" s="1"/>
  <c r="P39"/>
  <c r="J41"/>
  <c r="O41" s="1"/>
  <c r="P41"/>
  <c r="J43"/>
  <c r="O43" s="1"/>
  <c r="P43"/>
  <c r="J70" i="11"/>
  <c r="O70" s="1"/>
  <c r="P70"/>
  <c r="J72"/>
  <c r="O72" s="1"/>
  <c r="P72"/>
  <c r="O83"/>
  <c r="P83"/>
  <c r="O85"/>
  <c r="P85"/>
  <c r="J87"/>
  <c r="O87" s="1"/>
  <c r="P87"/>
  <c r="J101"/>
  <c r="O101" s="1"/>
  <c r="P101"/>
  <c r="J89" i="12"/>
  <c r="O89" s="1"/>
  <c r="P89"/>
  <c r="J30"/>
  <c r="O30" s="1"/>
  <c r="P30"/>
  <c r="K131" i="10"/>
  <c r="J58"/>
  <c r="O58" s="1"/>
  <c r="K134" i="11"/>
  <c r="K132" i="12"/>
  <c r="J7" i="11"/>
  <c r="O7" s="1"/>
  <c r="J5" i="10"/>
  <c r="O5" s="1"/>
  <c r="I69" i="11"/>
  <c r="J7" i="12"/>
  <c r="O7" s="1"/>
  <c r="J7" i="10"/>
  <c r="O7" s="1"/>
  <c r="I142" i="12"/>
  <c r="I69" i="10"/>
  <c r="K132" i="11"/>
  <c r="K139"/>
  <c r="K140" i="10"/>
  <c r="K139"/>
  <c r="O49" i="12"/>
  <c r="O51"/>
  <c r="J93"/>
  <c r="O93" s="1"/>
  <c r="J63"/>
  <c r="O63" s="1"/>
  <c r="I18"/>
  <c r="J76"/>
  <c r="O76" s="1"/>
  <c r="J91"/>
  <c r="O91" s="1"/>
  <c r="I69"/>
  <c r="K138"/>
  <c r="J65"/>
  <c r="O65" s="1"/>
  <c r="I18" i="11"/>
  <c r="I142"/>
  <c r="I146" i="10"/>
  <c r="O49" i="11"/>
  <c r="K138"/>
  <c r="K131"/>
  <c r="K133" i="12"/>
  <c r="K134"/>
  <c r="K141"/>
  <c r="K139"/>
  <c r="K138" i="10"/>
  <c r="K144"/>
  <c r="K140" i="12"/>
  <c r="K131"/>
  <c r="J68" i="11"/>
  <c r="O68" s="1"/>
  <c r="P64" i="12"/>
  <c r="J93" i="11"/>
  <c r="O93" s="1"/>
  <c r="J66"/>
  <c r="O66" s="1"/>
  <c r="J61"/>
  <c r="O61" s="1"/>
  <c r="J65"/>
  <c r="O65" s="1"/>
  <c r="O51"/>
  <c r="K133"/>
  <c r="K141"/>
  <c r="P77" i="10"/>
  <c r="O25" i="12"/>
  <c r="O5"/>
  <c r="P21"/>
  <c r="K135"/>
  <c r="K136"/>
  <c r="K147"/>
  <c r="P19"/>
  <c r="P20"/>
  <c r="K143"/>
  <c r="K144"/>
  <c r="K145"/>
  <c r="J77" i="11"/>
  <c r="O77" s="1"/>
  <c r="J58"/>
  <c r="O58" s="1"/>
  <c r="J59"/>
  <c r="O59" s="1"/>
  <c r="J63"/>
  <c r="O63" s="1"/>
  <c r="P73"/>
  <c r="J76"/>
  <c r="O76" s="1"/>
  <c r="J91"/>
  <c r="O91" s="1"/>
  <c r="O25"/>
  <c r="J5"/>
  <c r="O5" s="1"/>
  <c r="P21"/>
  <c r="K135"/>
  <c r="K136"/>
  <c r="K147"/>
  <c r="P19"/>
  <c r="P20"/>
  <c r="K143"/>
  <c r="K144"/>
  <c r="K145"/>
  <c r="O51" i="10"/>
  <c r="J71"/>
  <c r="O71" s="1"/>
  <c r="J93"/>
  <c r="O93" s="1"/>
  <c r="P73"/>
  <c r="I17"/>
  <c r="P21"/>
  <c r="K134"/>
  <c r="K135"/>
  <c r="K136"/>
  <c r="K147"/>
  <c r="P20"/>
  <c r="K132"/>
  <c r="K133"/>
  <c r="K143"/>
  <c r="K145"/>
  <c r="O49"/>
  <c r="K141"/>
  <c r="J61"/>
  <c r="O61" s="1"/>
  <c r="J65"/>
  <c r="O65" s="1"/>
  <c r="J66"/>
  <c r="O66" s="1"/>
  <c r="P122" i="12" l="1"/>
  <c r="J64" i="10"/>
  <c r="O64" s="1"/>
  <c r="K137"/>
  <c r="J137" s="1"/>
  <c r="O137" s="1"/>
  <c r="P122" i="11"/>
  <c r="J78"/>
  <c r="O78" s="1"/>
  <c r="J140"/>
  <c r="O140" s="1"/>
  <c r="J134" i="10"/>
  <c r="O134" s="1"/>
  <c r="P134"/>
  <c r="J144" i="11"/>
  <c r="O144" s="1"/>
  <c r="P144"/>
  <c r="J147"/>
  <c r="O147" s="1"/>
  <c r="P147"/>
  <c r="J131" i="12"/>
  <c r="O131" s="1"/>
  <c r="P131"/>
  <c r="J139"/>
  <c r="O139" s="1"/>
  <c r="P139"/>
  <c r="J131" i="11"/>
  <c r="O131" s="1"/>
  <c r="P131"/>
  <c r="J138" i="12"/>
  <c r="O138" s="1"/>
  <c r="P138"/>
  <c r="J139" i="11"/>
  <c r="O139" s="1"/>
  <c r="P139"/>
  <c r="J143" i="10"/>
  <c r="O143" s="1"/>
  <c r="P143"/>
  <c r="J145"/>
  <c r="O145" s="1"/>
  <c r="P145"/>
  <c r="J135"/>
  <c r="O135" s="1"/>
  <c r="P135"/>
  <c r="J145" i="11"/>
  <c r="O145" s="1"/>
  <c r="P145"/>
  <c r="J143" i="12"/>
  <c r="O143" s="1"/>
  <c r="P143"/>
  <c r="J135"/>
  <c r="O135" s="1"/>
  <c r="P135"/>
  <c r="J138" i="10"/>
  <c r="O138" s="1"/>
  <c r="P138"/>
  <c r="J133" i="12"/>
  <c r="O133" s="1"/>
  <c r="P133"/>
  <c r="J140" i="10"/>
  <c r="O140" s="1"/>
  <c r="P140"/>
  <c r="J134" i="11"/>
  <c r="O134" s="1"/>
  <c r="P134"/>
  <c r="J136" i="10"/>
  <c r="O136" s="1"/>
  <c r="P136"/>
  <c r="J142" i="11"/>
  <c r="O142" s="1"/>
  <c r="P142"/>
  <c r="J135"/>
  <c r="O135" s="1"/>
  <c r="P135"/>
  <c r="J144" i="12"/>
  <c r="O144" s="1"/>
  <c r="P144"/>
  <c r="J136"/>
  <c r="O136" s="1"/>
  <c r="P136"/>
  <c r="J133" i="11"/>
  <c r="O133" s="1"/>
  <c r="P133"/>
  <c r="J144" i="10"/>
  <c r="O144" s="1"/>
  <c r="P144"/>
  <c r="J134" i="12"/>
  <c r="O134" s="1"/>
  <c r="P134"/>
  <c r="J139" i="10"/>
  <c r="O139" s="1"/>
  <c r="P139"/>
  <c r="J132" i="12"/>
  <c r="O132" s="1"/>
  <c r="P132"/>
  <c r="O122" i="10"/>
  <c r="P122"/>
  <c r="J141"/>
  <c r="O141" s="1"/>
  <c r="P141"/>
  <c r="J132"/>
  <c r="O132" s="1"/>
  <c r="P132"/>
  <c r="J133"/>
  <c r="O133" s="1"/>
  <c r="P133"/>
  <c r="J147"/>
  <c r="O147" s="1"/>
  <c r="P147"/>
  <c r="J143" i="11"/>
  <c r="O143" s="1"/>
  <c r="P143"/>
  <c r="J136"/>
  <c r="O136" s="1"/>
  <c r="P136"/>
  <c r="J145" i="12"/>
  <c r="O145" s="1"/>
  <c r="P145"/>
  <c r="J147"/>
  <c r="O147" s="1"/>
  <c r="P147"/>
  <c r="J141" i="11"/>
  <c r="O141" s="1"/>
  <c r="P141"/>
  <c r="J140" i="12"/>
  <c r="O140" s="1"/>
  <c r="P140"/>
  <c r="J141"/>
  <c r="O141" s="1"/>
  <c r="P141"/>
  <c r="J138" i="11"/>
  <c r="O138" s="1"/>
  <c r="P138"/>
  <c r="J132"/>
  <c r="O132" s="1"/>
  <c r="P132"/>
  <c r="J131" i="10"/>
  <c r="O131" s="1"/>
  <c r="P131"/>
  <c r="J27" i="11"/>
  <c r="O27" s="1"/>
  <c r="P27"/>
  <c r="J28"/>
  <c r="O28" s="1"/>
  <c r="P28"/>
  <c r="J27" i="12"/>
  <c r="O27" s="1"/>
  <c r="P27"/>
  <c r="O53"/>
  <c r="P53"/>
  <c r="J14"/>
  <c r="O14" s="1"/>
  <c r="P14"/>
  <c r="J31"/>
  <c r="O31" s="1"/>
  <c r="P31"/>
  <c r="O52" i="10"/>
  <c r="P52"/>
  <c r="O27"/>
  <c r="P27"/>
  <c r="O96" i="12"/>
  <c r="P96"/>
  <c r="J18"/>
  <c r="O18" s="1"/>
  <c r="P18"/>
  <c r="J8" i="11"/>
  <c r="O8" s="1"/>
  <c r="P8"/>
  <c r="J74" i="10"/>
  <c r="O74" s="1"/>
  <c r="P74"/>
  <c r="J26" i="12"/>
  <c r="O26" s="1"/>
  <c r="P26"/>
  <c r="J74" i="11"/>
  <c r="O74" s="1"/>
  <c r="P74"/>
  <c r="J92"/>
  <c r="O92" s="1"/>
  <c r="P92"/>
  <c r="J32" i="10"/>
  <c r="O32" s="1"/>
  <c r="P32"/>
  <c r="O56"/>
  <c r="P56"/>
  <c r="O52" i="11"/>
  <c r="P52"/>
  <c r="O11" i="10"/>
  <c r="P11"/>
  <c r="O54"/>
  <c r="P54"/>
  <c r="O55"/>
  <c r="P55"/>
  <c r="J33"/>
  <c r="O33" s="1"/>
  <c r="P33"/>
  <c r="J95"/>
  <c r="O95" s="1"/>
  <c r="P95"/>
  <c r="J18" i="11"/>
  <c r="O18" s="1"/>
  <c r="P18"/>
  <c r="O53"/>
  <c r="P53"/>
  <c r="J14"/>
  <c r="O14" s="1"/>
  <c r="P14"/>
  <c r="J31"/>
  <c r="O31" s="1"/>
  <c r="P31"/>
  <c r="O54" i="12"/>
  <c r="P54"/>
  <c r="J15"/>
  <c r="O15" s="1"/>
  <c r="P15"/>
  <c r="J32"/>
  <c r="O32" s="1"/>
  <c r="P32"/>
  <c r="J73"/>
  <c r="O73" s="1"/>
  <c r="P73"/>
  <c r="K137" i="11"/>
  <c r="P64"/>
  <c r="J94"/>
  <c r="O94" s="1"/>
  <c r="P94"/>
  <c r="J94" i="12"/>
  <c r="O94" s="1"/>
  <c r="P94"/>
  <c r="J8" i="10"/>
  <c r="O8" s="1"/>
  <c r="P8"/>
  <c r="J77" i="12"/>
  <c r="O77" s="1"/>
  <c r="P77"/>
  <c r="J95"/>
  <c r="O95" s="1"/>
  <c r="P95"/>
  <c r="O74"/>
  <c r="P74"/>
  <c r="J11" i="11"/>
  <c r="O11" s="1"/>
  <c r="P11"/>
  <c r="J11" i="12"/>
  <c r="O11" s="1"/>
  <c r="P11"/>
  <c r="J18" i="10"/>
  <c r="O18" s="1"/>
  <c r="P18"/>
  <c r="J14"/>
  <c r="O14" s="1"/>
  <c r="P14"/>
  <c r="J28"/>
  <c r="O28" s="1"/>
  <c r="P28"/>
  <c r="O54" i="11"/>
  <c r="P54"/>
  <c r="J15"/>
  <c r="O15" s="1"/>
  <c r="P15"/>
  <c r="J32"/>
  <c r="O32" s="1"/>
  <c r="P32"/>
  <c r="O55" i="12"/>
  <c r="P55"/>
  <c r="J33"/>
  <c r="O33" s="1"/>
  <c r="P33"/>
  <c r="J26" i="10"/>
  <c r="O26" s="1"/>
  <c r="P26"/>
  <c r="J92"/>
  <c r="O92" s="1"/>
  <c r="P92"/>
  <c r="O96" i="11"/>
  <c r="P96"/>
  <c r="J69" i="12"/>
  <c r="O69" s="1"/>
  <c r="P69"/>
  <c r="J103" i="11"/>
  <c r="O103" s="1"/>
  <c r="P103"/>
  <c r="P9"/>
  <c r="P9" i="12"/>
  <c r="J8"/>
  <c r="O8" s="1"/>
  <c r="P8"/>
  <c r="J26" i="11"/>
  <c r="O26" s="1"/>
  <c r="P26"/>
  <c r="J69"/>
  <c r="O69" s="1"/>
  <c r="P69"/>
  <c r="O96" i="10"/>
  <c r="P96"/>
  <c r="J103"/>
  <c r="O103" s="1"/>
  <c r="P103"/>
  <c r="J102" i="11"/>
  <c r="O102" s="1"/>
  <c r="P102"/>
  <c r="J95"/>
  <c r="O95" s="1"/>
  <c r="P95"/>
  <c r="J17" i="10"/>
  <c r="O17" s="1"/>
  <c r="P17"/>
  <c r="J15"/>
  <c r="O15" s="1"/>
  <c r="P15"/>
  <c r="J31"/>
  <c r="O31" s="1"/>
  <c r="P31"/>
  <c r="O53"/>
  <c r="P53"/>
  <c r="O55" i="11"/>
  <c r="P55"/>
  <c r="J33"/>
  <c r="O33" s="1"/>
  <c r="P33"/>
  <c r="O56" i="12"/>
  <c r="P56"/>
  <c r="O52"/>
  <c r="P52"/>
  <c r="J28"/>
  <c r="O28" s="1"/>
  <c r="P28"/>
  <c r="J69" i="10"/>
  <c r="O69" s="1"/>
  <c r="P69"/>
  <c r="J94"/>
  <c r="O94" s="1"/>
  <c r="P94"/>
  <c r="P9"/>
  <c r="O56" i="11"/>
  <c r="P56"/>
  <c r="J16"/>
  <c r="O16" s="1"/>
  <c r="P16"/>
  <c r="J92" i="12"/>
  <c r="O92" s="1"/>
  <c r="P92"/>
  <c r="J16"/>
  <c r="O16" s="1"/>
  <c r="P16"/>
  <c r="J102"/>
  <c r="O102" s="1"/>
  <c r="P102"/>
  <c r="J103"/>
  <c r="O103" s="1"/>
  <c r="P103"/>
  <c r="J16" i="10"/>
  <c r="O16" s="1"/>
  <c r="P16"/>
  <c r="J6"/>
  <c r="O6" s="1"/>
  <c r="K142" i="12"/>
  <c r="J9"/>
  <c r="O9" s="1"/>
  <c r="J9" i="10"/>
  <c r="O9" s="1"/>
  <c r="J9" i="11"/>
  <c r="O9" s="1"/>
  <c r="K142" i="10"/>
  <c r="K137" i="12"/>
  <c r="J64"/>
  <c r="O64" s="1"/>
  <c r="K125" i="10"/>
  <c r="J64" i="11"/>
  <c r="O64" s="1"/>
  <c r="J77" i="10"/>
  <c r="O77" s="1"/>
  <c r="J19" i="12"/>
  <c r="O19" s="1"/>
  <c r="J20"/>
  <c r="O20" s="1"/>
  <c r="K126"/>
  <c r="K123"/>
  <c r="K124"/>
  <c r="K125"/>
  <c r="O122"/>
  <c r="K127"/>
  <c r="J21"/>
  <c r="O21" s="1"/>
  <c r="K146"/>
  <c r="J20" i="11"/>
  <c r="O20" s="1"/>
  <c r="K126"/>
  <c r="J19"/>
  <c r="O19" s="1"/>
  <c r="K123"/>
  <c r="K124"/>
  <c r="K125"/>
  <c r="O122"/>
  <c r="K127"/>
  <c r="J21"/>
  <c r="O21" s="1"/>
  <c r="J73"/>
  <c r="O73" s="1"/>
  <c r="K146"/>
  <c r="J21" i="10"/>
  <c r="O21" s="1"/>
  <c r="P24"/>
  <c r="J20"/>
  <c r="O20" s="1"/>
  <c r="K126"/>
  <c r="J73"/>
  <c r="O73" s="1"/>
  <c r="K146"/>
  <c r="P137" l="1"/>
  <c r="P23"/>
  <c r="P22"/>
  <c r="P78" i="11"/>
  <c r="J126" i="10"/>
  <c r="O126" s="1"/>
  <c r="P126"/>
  <c r="J146" i="11"/>
  <c r="O146" s="1"/>
  <c r="P146"/>
  <c r="J127" i="12"/>
  <c r="O127" s="1"/>
  <c r="P127"/>
  <c r="J125"/>
  <c r="O125" s="1"/>
  <c r="P125"/>
  <c r="J137"/>
  <c r="O137" s="1"/>
  <c r="P137"/>
  <c r="J127" i="10"/>
  <c r="O127" s="1"/>
  <c r="P127"/>
  <c r="J127" i="11"/>
  <c r="O127" s="1"/>
  <c r="P127"/>
  <c r="J123"/>
  <c r="O123" s="1"/>
  <c r="P123"/>
  <c r="J126" i="12"/>
  <c r="O126" s="1"/>
  <c r="P126"/>
  <c r="J123" i="10"/>
  <c r="O123" s="1"/>
  <c r="P123"/>
  <c r="J142" i="12"/>
  <c r="O142" s="1"/>
  <c r="P142"/>
  <c r="J146" i="10"/>
  <c r="O146" s="1"/>
  <c r="P146"/>
  <c r="J142"/>
  <c r="O142" s="1"/>
  <c r="P142"/>
  <c r="J124" i="11"/>
  <c r="O124" s="1"/>
  <c r="P124"/>
  <c r="J146" i="12"/>
  <c r="O146" s="1"/>
  <c r="P146"/>
  <c r="J123"/>
  <c r="O123" s="1"/>
  <c r="P123"/>
  <c r="J125" i="10"/>
  <c r="O125" s="1"/>
  <c r="P125"/>
  <c r="J125" i="11"/>
  <c r="O125" s="1"/>
  <c r="P125"/>
  <c r="J124" i="12"/>
  <c r="O124" s="1"/>
  <c r="P124"/>
  <c r="J124" i="10"/>
  <c r="O124" s="1"/>
  <c r="P124"/>
  <c r="J137" i="11"/>
  <c r="O137" s="1"/>
  <c r="P137"/>
  <c r="J126"/>
  <c r="O126" s="1"/>
  <c r="P126"/>
  <c r="J78" i="10"/>
  <c r="O78" s="1"/>
  <c r="P78"/>
  <c r="J12"/>
  <c r="O12" s="1"/>
  <c r="P12"/>
  <c r="J12" i="11"/>
  <c r="O12" s="1"/>
  <c r="P12"/>
  <c r="O46" i="12"/>
  <c r="P46"/>
  <c r="J78"/>
  <c r="O78" s="1"/>
  <c r="P78"/>
  <c r="P24" i="11"/>
  <c r="P10"/>
  <c r="J10" i="12"/>
  <c r="O10" s="1"/>
  <c r="P10"/>
  <c r="J10" i="10"/>
  <c r="O10" s="1"/>
  <c r="P10"/>
  <c r="J12" i="12"/>
  <c r="O12" s="1"/>
  <c r="P12"/>
  <c r="J46" i="11"/>
  <c r="O46" s="1"/>
  <c r="P46"/>
  <c r="J13" i="10"/>
  <c r="O13" s="1"/>
  <c r="P13"/>
  <c r="P19"/>
  <c r="J19"/>
  <c r="O19" s="1"/>
  <c r="J10" i="11"/>
  <c r="O10" s="1"/>
  <c r="J22" i="10"/>
  <c r="O22" s="1"/>
  <c r="K130"/>
  <c r="J24"/>
  <c r="O24" s="1"/>
  <c r="K129"/>
  <c r="J24" i="11" l="1"/>
  <c r="O24" s="1"/>
  <c r="K130"/>
  <c r="P130" s="1"/>
  <c r="K128" i="10"/>
  <c r="P128" s="1"/>
  <c r="J23"/>
  <c r="O23" s="1"/>
  <c r="J130"/>
  <c r="O130" s="1"/>
  <c r="P130"/>
  <c r="J129"/>
  <c r="O129" s="1"/>
  <c r="P129"/>
  <c r="J13" i="12"/>
  <c r="O13" s="1"/>
  <c r="P13"/>
  <c r="J22" i="11"/>
  <c r="O22" s="1"/>
  <c r="P22"/>
  <c r="K128" i="12"/>
  <c r="P22"/>
  <c r="J24"/>
  <c r="O24" s="1"/>
  <c r="P24"/>
  <c r="K129"/>
  <c r="P23"/>
  <c r="J23" i="11"/>
  <c r="O23" s="1"/>
  <c r="P23"/>
  <c r="J13"/>
  <c r="O13" s="1"/>
  <c r="P13"/>
  <c r="J46" i="10"/>
  <c r="O46" s="1"/>
  <c r="P46"/>
  <c r="K130" i="12"/>
  <c r="J23"/>
  <c r="O23" s="1"/>
  <c r="K128" i="11"/>
  <c r="K129"/>
  <c r="J22" i="12"/>
  <c r="O22" s="1"/>
  <c r="J128" i="10" l="1"/>
  <c r="O128" s="1"/>
  <c r="J130" i="11"/>
  <c r="O130" s="1"/>
  <c r="J128"/>
  <c r="O128" s="1"/>
  <c r="P128"/>
  <c r="J129"/>
  <c r="O129" s="1"/>
  <c r="P129"/>
  <c r="J130" i="12"/>
  <c r="O130" s="1"/>
  <c r="P130"/>
  <c r="J129"/>
  <c r="O129" s="1"/>
  <c r="P129"/>
  <c r="J128"/>
  <c r="O128" s="1"/>
  <c r="P128"/>
  <c r="J6" i="2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G220" l="1"/>
  <c r="G217"/>
  <c r="G210"/>
  <c r="G205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01"/>
  <c r="G225" l="1"/>
  <c r="G223"/>
  <c r="G218"/>
  <c r="G227"/>
  <c r="G219"/>
  <c r="G221"/>
  <c r="G222"/>
  <c r="G226" l="1"/>
  <c r="G224"/>
  <c r="G228"/>
  <c r="G229"/>
  <c r="G200" l="1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6"/>
  <c r="G154"/>
  <c r="G153"/>
  <c r="G152"/>
  <c r="G151"/>
  <c r="G140"/>
  <c r="G135"/>
  <c r="G129"/>
  <c r="G121"/>
  <c r="G116"/>
  <c r="G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103"/>
  <c r="C67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5"/>
  <c r="G18"/>
  <c r="G23"/>
  <c r="G31"/>
  <c r="G37"/>
  <c r="G42"/>
  <c r="G53"/>
  <c r="G54"/>
  <c r="G55"/>
  <c r="G56"/>
  <c r="G58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5"/>
  <c r="G141"/>
  <c r="G159"/>
  <c r="G158"/>
  <c r="G157"/>
  <c r="G155"/>
  <c r="G150"/>
  <c r="G146"/>
  <c r="G144"/>
  <c r="G143"/>
  <c r="G142"/>
  <c r="G139"/>
  <c r="G138"/>
  <c r="G137"/>
  <c r="G136"/>
  <c r="G134"/>
  <c r="G133"/>
  <c r="G132"/>
  <c r="G111"/>
  <c r="G110"/>
  <c r="G109"/>
  <c r="G108"/>
  <c r="G107"/>
  <c r="G106"/>
  <c r="G105"/>
  <c r="G124" l="1"/>
  <c r="G213"/>
  <c r="G125"/>
  <c r="G214"/>
  <c r="G126"/>
  <c r="G215"/>
  <c r="G120"/>
  <c r="G209"/>
  <c r="G211"/>
  <c r="G204"/>
  <c r="G119"/>
  <c r="G208"/>
  <c r="G112"/>
  <c r="G201"/>
  <c r="G113"/>
  <c r="G202"/>
  <c r="G114"/>
  <c r="G203"/>
  <c r="G117"/>
  <c r="G206"/>
  <c r="G104"/>
  <c r="G61"/>
  <c r="G59"/>
  <c r="G57"/>
  <c r="G49"/>
  <c r="G47"/>
  <c r="G45"/>
  <c r="G43"/>
  <c r="G41"/>
  <c r="G39"/>
  <c r="G35"/>
  <c r="G33"/>
  <c r="G27"/>
  <c r="G25"/>
  <c r="G21"/>
  <c r="G19"/>
  <c r="G17"/>
  <c r="G15"/>
  <c r="G13"/>
  <c r="G11"/>
  <c r="G9"/>
  <c r="G7"/>
  <c r="G115"/>
  <c r="G131"/>
  <c r="G145"/>
  <c r="G147"/>
  <c r="G60"/>
  <c r="G52"/>
  <c r="G48"/>
  <c r="G46"/>
  <c r="G44"/>
  <c r="G40"/>
  <c r="G38"/>
  <c r="G36"/>
  <c r="G34"/>
  <c r="G32"/>
  <c r="G28"/>
  <c r="G26"/>
  <c r="G24"/>
  <c r="G22"/>
  <c r="G20"/>
  <c r="G16"/>
  <c r="G14"/>
  <c r="G12"/>
  <c r="G10"/>
  <c r="G8"/>
  <c r="G6"/>
  <c r="G122"/>
  <c r="G130"/>
  <c r="G216" l="1"/>
  <c r="G123"/>
  <c r="G212"/>
  <c r="G118"/>
  <c r="G207"/>
  <c r="G128"/>
  <c r="G30"/>
  <c r="G148"/>
  <c r="G50"/>
  <c r="G149"/>
  <c r="G51"/>
  <c r="G127"/>
  <c r="G29"/>
</calcChain>
</file>

<file path=xl/comments1.xml><?xml version="1.0" encoding="utf-8"?>
<comments xmlns="http://schemas.openxmlformats.org/spreadsheetml/2006/main">
  <authors>
    <author>10404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10404:</t>
        </r>
        <r>
          <rPr>
            <sz val="9"/>
            <color indexed="81"/>
            <rFont val="Tahoma"/>
            <family val="2"/>
          </rPr>
          <t xml:space="preserve">
A condition type is a representation in the system of some aspect of your daily pricing activities. For example, you can define a different condition type for each kind of price, discount or surcharge that occurs in your business transactions.
A condition type is a key used that defines the attributes of a condition and identify the condition in the system. You can use condition types to calculate expected costs or sales deductions.
Maximum of 4 characters should be used to create a condition type.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10404:</t>
        </r>
        <r>
          <rPr>
            <sz val="9"/>
            <color indexed="81"/>
            <rFont val="Tahoma"/>
            <family val="2"/>
          </rPr>
          <t xml:space="preserve">
A way of grouping materials to which you want to apply the same conditions.
You can create condition records for a material pricing group using the following condition types:
Material pricing group (for example, all non-food products).
A combination of customer and material pricing group.
A combination of price group and material group (for example, all wholesale customers and all non-food products).
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10404:</t>
        </r>
        <r>
          <rPr>
            <sz val="9"/>
            <color indexed="81"/>
            <rFont val="Tahoma"/>
            <family val="2"/>
          </rPr>
          <t xml:space="preserve">
It is the organizational unit, which is
responsible for the sales activities in the company.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10404:</t>
        </r>
        <r>
          <rPr>
            <sz val="9"/>
            <color indexed="81"/>
            <rFont val="Tahoma"/>
            <family val="2"/>
          </rPr>
          <t xml:space="preserve">
It is the channel through which goods are
reaching the customers.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10404:</t>
        </r>
        <r>
          <rPr>
            <sz val="9"/>
            <color indexed="81"/>
            <rFont val="Tahoma"/>
            <family val="2"/>
          </rPr>
          <t xml:space="preserve">
The range of products or services that the company
manufacturing falls into different divisions.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10404:</t>
        </r>
        <r>
          <rPr>
            <sz val="9"/>
            <color indexed="81"/>
            <rFont val="Tahoma"/>
            <family val="2"/>
          </rPr>
          <t xml:space="preserve">
The rate that determines how the system calculates pricing using this condition. Depending on the condition type, the rate can be a fixed amount or a percentage. If the condition includes a pricing scale, the rate displays the first line of the scale.
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10404:</t>
        </r>
        <r>
          <rPr>
            <sz val="9"/>
            <color indexed="81"/>
            <rFont val="Tahoma"/>
            <family val="2"/>
          </rPr>
          <t xml:space="preserve">
The unit that determines whether the condition for a material is based on a percentage or on an amount in a particular currency. The use of the rate unit depends on the condition type (for example, whether the condition is a material price or a customer discount).
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10404:</t>
        </r>
        <r>
          <rPr>
            <sz val="9"/>
            <color indexed="81"/>
            <rFont val="Tahoma"/>
            <family val="2"/>
          </rPr>
          <t xml:space="preserve">
Date from which the condition is valid.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10404:</t>
        </r>
        <r>
          <rPr>
            <sz val="9"/>
            <color indexed="81"/>
            <rFont val="Tahoma"/>
            <family val="2"/>
          </rPr>
          <t xml:space="preserve">
The date up to which the condition is valid.
</t>
        </r>
      </text>
    </comment>
  </commentList>
</comments>
</file>

<file path=xl/sharedStrings.xml><?xml version="1.0" encoding="utf-8"?>
<sst xmlns="http://schemas.openxmlformats.org/spreadsheetml/2006/main" count="4106" uniqueCount="579">
  <si>
    <t>KSCHL</t>
  </si>
  <si>
    <t>KONDM</t>
  </si>
  <si>
    <t>VKORG</t>
  </si>
  <si>
    <t>VTWEG</t>
  </si>
  <si>
    <t>SPART_01</t>
  </si>
  <si>
    <t>KBETR_01</t>
  </si>
  <si>
    <t>KMEIN_01</t>
  </si>
  <si>
    <t>Condition type</t>
  </si>
  <si>
    <t>Material pricing group</t>
  </si>
  <si>
    <t>Sales Organization</t>
  </si>
  <si>
    <t>Distribution Channel</t>
  </si>
  <si>
    <t>Division</t>
  </si>
  <si>
    <t>Condition unit</t>
  </si>
  <si>
    <t>CHAR</t>
  </si>
  <si>
    <t>CURR</t>
  </si>
  <si>
    <t>UNIT</t>
  </si>
  <si>
    <t>Field Name</t>
  </si>
  <si>
    <t>Field Description</t>
  </si>
  <si>
    <t>Type</t>
  </si>
  <si>
    <t>Length</t>
  </si>
  <si>
    <t>Valid From</t>
  </si>
  <si>
    <t>Valid to</t>
  </si>
  <si>
    <t>DATAB</t>
  </si>
  <si>
    <t>DATS</t>
  </si>
  <si>
    <t>Project Id : 2119</t>
  </si>
  <si>
    <t>Prepared By</t>
  </si>
  <si>
    <t>Reviewed By</t>
  </si>
  <si>
    <t>Approved By</t>
  </si>
  <si>
    <t>Name</t>
  </si>
  <si>
    <t>Role</t>
  </si>
  <si>
    <t>Date</t>
  </si>
  <si>
    <t xml:space="preserve">Revision History </t>
  </si>
  <si>
    <t>Version No.</t>
  </si>
  <si>
    <t>Author/Modified By</t>
  </si>
  <si>
    <t>Brief Description of the changes</t>
  </si>
  <si>
    <t>V1.0</t>
  </si>
  <si>
    <t>Template</t>
  </si>
  <si>
    <t>Table of contents</t>
  </si>
  <si>
    <t>Rate (condition amount or percentage) where no scale exist</t>
  </si>
  <si>
    <t>Rakesh</t>
  </si>
  <si>
    <t>Price Master</t>
  </si>
  <si>
    <t>Rakesh Tiwari</t>
  </si>
  <si>
    <t>Lead SD Consultant</t>
  </si>
  <si>
    <t xml:space="preserve"> Price Master</t>
  </si>
  <si>
    <t>Price Group</t>
  </si>
  <si>
    <t>Price Group Code</t>
  </si>
  <si>
    <t>Product</t>
  </si>
  <si>
    <t>Grade</t>
  </si>
  <si>
    <t>Size</t>
  </si>
  <si>
    <t>Price Group Description</t>
  </si>
  <si>
    <t>01</t>
  </si>
  <si>
    <t>WR</t>
  </si>
  <si>
    <t>All</t>
  </si>
  <si>
    <t>02</t>
  </si>
  <si>
    <t>03</t>
  </si>
  <si>
    <t>1012B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</si>
  <si>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</si>
  <si>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</si>
  <si>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</si>
  <si>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</si>
  <si>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</si>
  <si>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</si>
  <si>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</si>
  <si>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</si>
  <si>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</si>
  <si>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</si>
  <si>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</si>
  <si>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</si>
  <si>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</si>
  <si>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</si>
  <si>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</si>
  <si>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</si>
  <si>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</si>
  <si>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</si>
  <si>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</si>
  <si>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</si>
  <si>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</si>
  <si>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</si>
  <si>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</si>
  <si>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</si>
  <si>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</si>
  <si>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</si>
  <si>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</si>
  <si>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</si>
  <si>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</si>
  <si>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</si>
  <si>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</si>
  <si>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</si>
  <si>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</si>
  <si>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</si>
  <si>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</si>
  <si>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</si>
  <si>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</si>
  <si>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</si>
  <si>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</si>
  <si>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</si>
  <si>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</si>
  <si>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</si>
  <si>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</si>
  <si>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</si>
  <si>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</si>
  <si>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</si>
  <si>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1012I</t>
  </si>
  <si>
    <t>50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</si>
  <si>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</si>
  <si>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</si>
  <si>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</si>
  <si>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</si>
  <si>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</si>
  <si>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</si>
  <si>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</si>
  <si>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</si>
  <si>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</si>
  <si>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</si>
  <si>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</si>
  <si>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</si>
  <si>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</si>
  <si>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</si>
  <si>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</si>
  <si>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</si>
  <si>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</si>
  <si>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</si>
  <si>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</si>
  <si>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</si>
  <si>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</si>
  <si>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SWRH27</t>
  </si>
  <si>
    <t>75</t>
  </si>
  <si>
    <t>SWRH32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</si>
  <si>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</si>
  <si>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</si>
  <si>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</si>
  <si>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</si>
  <si>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</si>
  <si>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</si>
  <si>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</si>
  <si>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</si>
  <si>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</si>
  <si>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</si>
  <si>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</si>
  <si>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</si>
  <si>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</si>
  <si>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</si>
  <si>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</si>
  <si>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</si>
  <si>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32 HiSi</t>
  </si>
  <si>
    <t>92</t>
  </si>
  <si>
    <t>93</t>
  </si>
  <si>
    <t>94</t>
  </si>
  <si>
    <t>95</t>
  </si>
  <si>
    <t>96</t>
  </si>
  <si>
    <t>97</t>
  </si>
  <si>
    <t>98</t>
  </si>
  <si>
    <t>ZPR1</t>
  </si>
  <si>
    <t>Indo</t>
  </si>
  <si>
    <t xml:space="preserve">Description </t>
  </si>
  <si>
    <t>INDO</t>
  </si>
  <si>
    <t xml:space="preserve">Indo Sales Organization </t>
  </si>
  <si>
    <t>IWP</t>
  </si>
  <si>
    <t xml:space="preserve">IWP Sales Organization </t>
  </si>
  <si>
    <t>IPP</t>
  </si>
  <si>
    <t xml:space="preserve">IPP Sales Organization </t>
  </si>
  <si>
    <t>IBB</t>
  </si>
  <si>
    <t xml:space="preserve">IBB Sales Organization </t>
  </si>
  <si>
    <t>Code</t>
  </si>
  <si>
    <t>Description</t>
  </si>
  <si>
    <t xml:space="preserve">Domestic Sales </t>
  </si>
  <si>
    <t>Export Sales</t>
  </si>
  <si>
    <t xml:space="preserve">Inter Company Sales </t>
  </si>
  <si>
    <t>Re- Export</t>
  </si>
  <si>
    <t>Prime Billets/Hot Out</t>
  </si>
  <si>
    <t>Non Prime Billets</t>
  </si>
  <si>
    <t>Short Length/Slow moving/Mix Billets</t>
  </si>
  <si>
    <t>Prime Wirerod</t>
  </si>
  <si>
    <t>Non Prime Wirerod</t>
  </si>
  <si>
    <t>Deformed Bar -In Coil</t>
  </si>
  <si>
    <t>Round Bar</t>
  </si>
  <si>
    <t>Flat Bar</t>
  </si>
  <si>
    <t xml:space="preserve">Entity </t>
  </si>
  <si>
    <t>Remarks</t>
  </si>
  <si>
    <t>WR-1012B All  -All</t>
  </si>
  <si>
    <t>WR-1012B-5.5</t>
  </si>
  <si>
    <t>WR-1012B-5.4</t>
  </si>
  <si>
    <t>WR-1012B-7.2 - 17</t>
  </si>
  <si>
    <t>WR-1012B-4.9</t>
  </si>
  <si>
    <t>WR-1012B-4.7</t>
  </si>
  <si>
    <t>WR-1005-All</t>
  </si>
  <si>
    <t>WR-1006-5.5-5.8</t>
  </si>
  <si>
    <t>WR-1006-6.0 - 17</t>
  </si>
  <si>
    <t>WR-1008 All size-all</t>
  </si>
  <si>
    <t>WR-1008-5.5-5.8</t>
  </si>
  <si>
    <t>WR-1008-6.0 - 17</t>
  </si>
  <si>
    <t>WR-1017/SWRM17-All</t>
  </si>
  <si>
    <t>WR-1018-All</t>
  </si>
  <si>
    <t>WR-1010/12/15-5.1</t>
  </si>
  <si>
    <t>WR-1010/12/15-5.5</t>
  </si>
  <si>
    <t>WR-1010/12/15-5.4</t>
  </si>
  <si>
    <t>WR-1010/12/15-5.65</t>
  </si>
  <si>
    <t>WR-1010/2/5-5.8-6.2</t>
  </si>
  <si>
    <t>WR-1010/2/5-6.4-7.2</t>
  </si>
  <si>
    <t>WR-1010/2/5-7.4 - 17</t>
  </si>
  <si>
    <t>WR-1012 All-all</t>
  </si>
  <si>
    <t>WR-1022/SWRM22-All</t>
  </si>
  <si>
    <t>WR-1012I-6</t>
  </si>
  <si>
    <t>WR-1012I-8</t>
  </si>
  <si>
    <t>WR-1012I-10</t>
  </si>
  <si>
    <t>WR-1012I-12</t>
  </si>
  <si>
    <t>WR-SWRH27-All</t>
  </si>
  <si>
    <t>WR-SWRH32-All</t>
  </si>
  <si>
    <t>WR-SWRH37-72B-All</t>
  </si>
  <si>
    <t>WR-32 HiSi-All</t>
  </si>
  <si>
    <t>WR-SWRH77A-82B-5-7.9</t>
  </si>
  <si>
    <t>WR-SWRH77A-82B-8-12</t>
  </si>
  <si>
    <t>WR-SWRH77-82-12.5-16</t>
  </si>
  <si>
    <t>WR-SWRY-11-ALL</t>
  </si>
  <si>
    <t>WR-SWRY-17-ALL</t>
  </si>
  <si>
    <t>WR-XE400P-ALL</t>
  </si>
  <si>
    <t>WR-XE4000-ALL</t>
  </si>
  <si>
    <t>WR-XE4100-ALL</t>
  </si>
  <si>
    <t>WR-1210-ALL</t>
  </si>
  <si>
    <t>WR-1222-ALL</t>
  </si>
  <si>
    <t>WR-ER70S4-ALL</t>
  </si>
  <si>
    <t>WR-ER70S6-ALL</t>
  </si>
  <si>
    <t>WR-EM12-ALL</t>
  </si>
  <si>
    <t>WR-EM12K-ALL</t>
  </si>
  <si>
    <t>WR-EH12K-ALL</t>
  </si>
  <si>
    <t>WR-EH14-ALL</t>
  </si>
  <si>
    <t>DC-SD 390-6</t>
  </si>
  <si>
    <t>DC-SD 390-8</t>
  </si>
  <si>
    <t>DC-SD 390-10</t>
  </si>
  <si>
    <t>DC-SD 390-12</t>
  </si>
  <si>
    <t>DC-500N/MPA-ALL</t>
  </si>
  <si>
    <t>DC-300E-ALL</t>
  </si>
  <si>
    <t>DC-SD 490-ALL</t>
  </si>
  <si>
    <t>DC-Grade 40-ALL</t>
  </si>
  <si>
    <t>DC-Grade 60-ALL</t>
  </si>
  <si>
    <t>Billet-SS400-ALL</t>
  </si>
  <si>
    <t>Billet-U24P/D-ALL</t>
  </si>
  <si>
    <t>Billet-BJKU-ALL</t>
  </si>
  <si>
    <t>Billet-U40D/P-ALL</t>
  </si>
  <si>
    <t>Billet-GRADE 40-ALL</t>
  </si>
  <si>
    <t>Billet-GRADE 60-ALL</t>
  </si>
  <si>
    <t>Billet-SD390-ALL</t>
  </si>
  <si>
    <t>Billet-SS540-ALL</t>
  </si>
  <si>
    <t>Billet-SD490-ALL</t>
  </si>
  <si>
    <t>Billet-1008-ALL</t>
  </si>
  <si>
    <t>Billet-Q195-ALL</t>
  </si>
  <si>
    <t>Billet-1006-ALL</t>
  </si>
  <si>
    <t>Billet-1010-ALL</t>
  </si>
  <si>
    <t>Billet-1012-ALL</t>
  </si>
  <si>
    <t>Billet-1015-ALL</t>
  </si>
  <si>
    <t>Billet-1012B-ALL</t>
  </si>
  <si>
    <t>Billet-500N/Mpa-ALL</t>
  </si>
  <si>
    <t>Billet-SD295A-ALL</t>
  </si>
  <si>
    <t>Billet-SD295B-ALL</t>
  </si>
  <si>
    <t>Billet-SD345-ALL</t>
  </si>
  <si>
    <t>Billet-300E-ALL</t>
  </si>
  <si>
    <t>WR-Stock Lot IQ-ALL</t>
  </si>
  <si>
    <t>WR-Stock Lot SP-ALL</t>
  </si>
  <si>
    <t>LCRJ 5.5-5.5</t>
  </si>
  <si>
    <t>LCRJ 6-8-6.0-8</t>
  </si>
  <si>
    <t>LCRJ 8 up-8 Up</t>
  </si>
  <si>
    <t>HCRJ 5.5-5.5</t>
  </si>
  <si>
    <t>HCRJ 6-8-6.0-8</t>
  </si>
  <si>
    <t>HCRJ 8 up-8 Up</t>
  </si>
  <si>
    <t>EC(LC /HC)5.5-5.5</t>
  </si>
  <si>
    <t>EC(LC/HC)6U-6 &amp; up</t>
  </si>
  <si>
    <t>MingledSmall5.5-5.5</t>
  </si>
  <si>
    <t>MingledS6&amp;Up-6 &amp; up</t>
  </si>
  <si>
    <t>Gepeng-ALL</t>
  </si>
  <si>
    <t>Misroll-ALL</t>
  </si>
  <si>
    <t>BR/Short Length-ALL</t>
  </si>
  <si>
    <t>Prime Billets</t>
  </si>
  <si>
    <t xml:space="preserve"> Prime Wirerod</t>
  </si>
  <si>
    <t>Short coils/Mis roll/End cuttings/Begel</t>
  </si>
  <si>
    <t>Deformed Bar-In coil</t>
  </si>
  <si>
    <t>Drawn Wire</t>
  </si>
  <si>
    <t>Besi Beston</t>
  </si>
  <si>
    <t>Kawat Potong</t>
  </si>
  <si>
    <t>Nails</t>
  </si>
  <si>
    <t>Deformed Bar</t>
  </si>
  <si>
    <t>Round Bar/BJKU</t>
  </si>
  <si>
    <t>Angles</t>
  </si>
  <si>
    <t>Channel</t>
  </si>
  <si>
    <t>By Products</t>
  </si>
  <si>
    <t>INDO/IWP//IPP/IBB</t>
  </si>
  <si>
    <t>End cutting/Nail wire reject, Gram Paku</t>
  </si>
  <si>
    <t xml:space="preserve">Secondary </t>
  </si>
  <si>
    <t>Stock Lot, low carbon and High carbon reject</t>
  </si>
  <si>
    <t>KG</t>
  </si>
  <si>
    <t>Pricing group Description in maintained SAP</t>
  </si>
  <si>
    <t>Base</t>
  </si>
  <si>
    <t>Base1</t>
  </si>
  <si>
    <t xml:space="preserve">1012B All  </t>
  </si>
  <si>
    <t>Base1 - 25</t>
  </si>
  <si>
    <t>5.65-5.8</t>
  </si>
  <si>
    <t>7.2 - 17</t>
  </si>
  <si>
    <t>5.5-5.8</t>
  </si>
  <si>
    <t>6.0 - 17</t>
  </si>
  <si>
    <t>1008 All size</t>
  </si>
  <si>
    <t>all</t>
  </si>
  <si>
    <t>1017/SWRM17</t>
  </si>
  <si>
    <t>Base2+25</t>
  </si>
  <si>
    <t>1010/12/15</t>
  </si>
  <si>
    <t>Base3</t>
  </si>
  <si>
    <t>1010/2/5</t>
  </si>
  <si>
    <t>5.8-6.2</t>
  </si>
  <si>
    <t>6.4-7.2</t>
  </si>
  <si>
    <t>7.4 - 17</t>
  </si>
  <si>
    <t>1012 All</t>
  </si>
  <si>
    <t>1022/SWRM22</t>
  </si>
  <si>
    <t>Base4</t>
  </si>
  <si>
    <t>Base5+100</t>
  </si>
  <si>
    <t>SWRH37-72B</t>
  </si>
  <si>
    <t>Base5</t>
  </si>
  <si>
    <t>SWRH77A-82B</t>
  </si>
  <si>
    <t>5-7.9</t>
  </si>
  <si>
    <t>8-12</t>
  </si>
  <si>
    <t>SWRH77-82</t>
  </si>
  <si>
    <t>12.5-16</t>
  </si>
  <si>
    <t>SWRY-11</t>
  </si>
  <si>
    <t>ALL</t>
  </si>
  <si>
    <t>Base6</t>
  </si>
  <si>
    <t>SWRY-17</t>
  </si>
  <si>
    <t>XE400P</t>
  </si>
  <si>
    <t>XE4000</t>
  </si>
  <si>
    <t>XE4100</t>
  </si>
  <si>
    <t>Base6+300</t>
  </si>
  <si>
    <t>ER70S4</t>
  </si>
  <si>
    <t>Base6+800</t>
  </si>
  <si>
    <t>ER70S6</t>
  </si>
  <si>
    <t>EM12</t>
  </si>
  <si>
    <t>EM12K</t>
  </si>
  <si>
    <t>EH12K</t>
  </si>
  <si>
    <t>EH14</t>
  </si>
  <si>
    <t>DC</t>
  </si>
  <si>
    <t>SD 390</t>
  </si>
  <si>
    <t>Base8</t>
  </si>
  <si>
    <t>500N/MPA</t>
  </si>
  <si>
    <t>300E</t>
  </si>
  <si>
    <t>SD 490</t>
  </si>
  <si>
    <t>Grade 40</t>
  </si>
  <si>
    <t>Grade 60</t>
  </si>
  <si>
    <t>Billet</t>
  </si>
  <si>
    <t>SS400</t>
  </si>
  <si>
    <t>Base9</t>
  </si>
  <si>
    <t>U24P/D</t>
  </si>
  <si>
    <t>BJKU</t>
  </si>
  <si>
    <t>U40D/P</t>
  </si>
  <si>
    <t>Base10</t>
  </si>
  <si>
    <t>GRADE 40</t>
  </si>
  <si>
    <t>GRADE 60</t>
  </si>
  <si>
    <t>SD390</t>
  </si>
  <si>
    <t>SS540</t>
  </si>
  <si>
    <t>Base11</t>
  </si>
  <si>
    <t>SD490</t>
  </si>
  <si>
    <t>Base12</t>
  </si>
  <si>
    <t>Q195</t>
  </si>
  <si>
    <t>500N/Mpa</t>
  </si>
  <si>
    <t>SD295A</t>
  </si>
  <si>
    <t>SD295B</t>
  </si>
  <si>
    <t>SD345</t>
  </si>
  <si>
    <t>Stock Lot IQ</t>
  </si>
  <si>
    <t>Stock Lot SP</t>
  </si>
  <si>
    <t>NP</t>
  </si>
  <si>
    <t>LCRJ 5.5</t>
  </si>
  <si>
    <t>LCRJ 6-8</t>
  </si>
  <si>
    <t>6.0-8</t>
  </si>
  <si>
    <t>LCRJ 8 up</t>
  </si>
  <si>
    <t>8 Up</t>
  </si>
  <si>
    <t>HCRJ 5.5</t>
  </si>
  <si>
    <t>HCRJ 6-8</t>
  </si>
  <si>
    <t>HCRJ 8 up</t>
  </si>
  <si>
    <t>EC(LC /HC)5.5</t>
  </si>
  <si>
    <t>EC(LC/HC)6U</t>
  </si>
  <si>
    <t>6 &amp; up</t>
  </si>
  <si>
    <t>MingledSmall5.5</t>
  </si>
  <si>
    <t>MingledS6&amp;Up</t>
  </si>
  <si>
    <t>Gepeng</t>
  </si>
  <si>
    <t>Misroll</t>
  </si>
  <si>
    <t>BR/Short Length</t>
  </si>
  <si>
    <t>Base2+200-$25</t>
  </si>
  <si>
    <t>Base2 +100-$25</t>
  </si>
  <si>
    <t>Base2 + 50-$25</t>
  </si>
  <si>
    <t>Base2-$25</t>
  </si>
  <si>
    <t>Base2-50-$25</t>
  </si>
  <si>
    <t>Base2+25-$25</t>
  </si>
  <si>
    <t>Base3+25-$25</t>
  </si>
  <si>
    <t>Base3-$25</t>
  </si>
  <si>
    <t>Base3 - 50-$25</t>
  </si>
  <si>
    <t>Base3 - 75-$25</t>
  </si>
  <si>
    <t>Base3 - 150-$25</t>
  </si>
  <si>
    <t>Base6-$25</t>
  </si>
  <si>
    <t>Base8-$25</t>
  </si>
  <si>
    <t>Base6+900</t>
  </si>
  <si>
    <t>Base2+150</t>
  </si>
  <si>
    <t>Base8+360</t>
  </si>
  <si>
    <t>Base2+1080</t>
  </si>
  <si>
    <t>Base8+125</t>
  </si>
  <si>
    <t>Base10+200</t>
  </si>
  <si>
    <t>Base10+1080</t>
  </si>
  <si>
    <t>Base10+50</t>
  </si>
  <si>
    <t>Base10+100</t>
  </si>
  <si>
    <t>Base2-1025</t>
  </si>
  <si>
    <t>Base5-1025</t>
  </si>
  <si>
    <t>Base1*85%</t>
  </si>
  <si>
    <t>Base1*80%</t>
  </si>
  <si>
    <t>Base1*75%</t>
  </si>
  <si>
    <t>Base1*70%</t>
  </si>
  <si>
    <t>Base1*65%</t>
  </si>
  <si>
    <t>Base1*60%</t>
  </si>
  <si>
    <t>Base1*40%</t>
  </si>
  <si>
    <t>Base12*60%</t>
  </si>
  <si>
    <t>Base2+1080-$25</t>
  </si>
  <si>
    <t>Base2+150-$25</t>
  </si>
  <si>
    <t>Base8+360-$25</t>
  </si>
  <si>
    <t>Base8+125-$25</t>
  </si>
  <si>
    <t xml:space="preserve">Re- export created for our internal pricing </t>
  </si>
  <si>
    <t>Exchange rate</t>
  </si>
  <si>
    <t>31.12.2014</t>
  </si>
  <si>
    <t>Exc Rate 1 USD excl tax</t>
  </si>
  <si>
    <t>19.05.2014</t>
  </si>
  <si>
    <t>WR-1012B-4.2</t>
  </si>
  <si>
    <t>A1</t>
  </si>
  <si>
    <t>A2</t>
  </si>
  <si>
    <t>WR-1012B-4.5</t>
  </si>
  <si>
    <t>A3</t>
  </si>
  <si>
    <t>WR-1012B 5.65</t>
  </si>
  <si>
    <t>WR-1006-6.0 - 13.9</t>
  </si>
  <si>
    <t>WR-1008-6.0 - 13.9</t>
  </si>
  <si>
    <t>A4</t>
  </si>
  <si>
    <t>A5</t>
  </si>
  <si>
    <t>A6</t>
  </si>
  <si>
    <t>Base3 + 50</t>
  </si>
  <si>
    <t>Base4 + 50</t>
  </si>
  <si>
    <t>Base2+50</t>
  </si>
  <si>
    <t xml:space="preserve">Base2 </t>
  </si>
  <si>
    <t>Base2 + 100</t>
  </si>
  <si>
    <t>Base5+150</t>
  </si>
  <si>
    <t xml:space="preserve">Base3 </t>
  </si>
  <si>
    <t>Base1 + 400</t>
  </si>
  <si>
    <t>Base1 + 300</t>
  </si>
  <si>
    <t xml:space="preserve">Base1 </t>
  </si>
  <si>
    <t>Base1 - 50</t>
  </si>
  <si>
    <t>WR-1012B-5.1-5.2</t>
  </si>
  <si>
    <t>A7</t>
  </si>
  <si>
    <t>A8</t>
  </si>
  <si>
    <t>14-17</t>
  </si>
  <si>
    <t>SAE-1006 - 5.5-5.8</t>
  </si>
  <si>
    <t>6.0 - 13.9</t>
  </si>
  <si>
    <t>7.4 - 13.9</t>
  </si>
  <si>
    <t>WR-1010/2/5-7.4 - 13.9</t>
  </si>
  <si>
    <t>SAE-1006 - 6.0-13.9</t>
  </si>
  <si>
    <t>Base4+25</t>
  </si>
  <si>
    <t>A9</t>
  </si>
  <si>
    <t>1006Q</t>
  </si>
  <si>
    <t>5.5 - 15</t>
  </si>
  <si>
    <t>WR-1006Q-5.5-15</t>
  </si>
  <si>
    <t>Base4+50</t>
  </si>
  <si>
    <t>Base1 + 75</t>
  </si>
  <si>
    <t>Base1 + 150</t>
  </si>
  <si>
    <t>6.0-6.8</t>
  </si>
  <si>
    <t>WR-1012B-6.0-6.8</t>
  </si>
  <si>
    <t>WR-1012B-7.0</t>
  </si>
  <si>
    <t>Base1 - 75</t>
  </si>
  <si>
    <t>C1</t>
  </si>
  <si>
    <t>Base2 +25</t>
  </si>
  <si>
    <t>LINE B</t>
  </si>
  <si>
    <t>1B</t>
  </si>
  <si>
    <t>3B</t>
  </si>
  <si>
    <t>4B</t>
  </si>
  <si>
    <t>WR-1012B 5.8-5.65</t>
  </si>
  <si>
    <t>5B</t>
  </si>
  <si>
    <t>6B</t>
  </si>
  <si>
    <t>7B</t>
  </si>
  <si>
    <t>8B</t>
  </si>
  <si>
    <t>9B</t>
  </si>
  <si>
    <t>2B</t>
  </si>
  <si>
    <t>WR-1012B 5.8</t>
  </si>
  <si>
    <t>C2</t>
  </si>
  <si>
    <t>C3</t>
  </si>
  <si>
    <t>LINE A</t>
  </si>
  <si>
    <t>Base7</t>
  </si>
  <si>
    <t>52</t>
  </si>
  <si>
    <t>CHQ 8A</t>
  </si>
  <si>
    <t>WR-CHQ 8A-ALL</t>
  </si>
  <si>
    <t>WR-CHQ 18A-ALL</t>
  </si>
  <si>
    <t>Base4 + 100</t>
  </si>
  <si>
    <t>Base1 + 50</t>
  </si>
  <si>
    <t>Base4+100</t>
  </si>
  <si>
    <t>CHQ 18A</t>
  </si>
  <si>
    <t>*</t>
  </si>
  <si>
    <t>7.2 - 15</t>
  </si>
  <si>
    <t>16-22</t>
  </si>
  <si>
    <t>WR-1012B-16-22</t>
  </si>
  <si>
    <t>Base1 + 25</t>
  </si>
  <si>
    <t>CHQ 22A</t>
  </si>
  <si>
    <t>Base7 + 150</t>
  </si>
  <si>
    <t>C4</t>
  </si>
  <si>
    <t>C5</t>
  </si>
  <si>
    <t>WR-1006-16 - 22.0</t>
  </si>
  <si>
    <t>WR-1008-16 - 22.0</t>
  </si>
  <si>
    <t>WR-1012-16 - 22.0</t>
  </si>
  <si>
    <t>WR-1006-10 - 15.0</t>
  </si>
  <si>
    <t>WR-1008-10 - 15.0</t>
  </si>
  <si>
    <t>WR-1012-10 - 15.0</t>
  </si>
  <si>
    <t>10-15</t>
  </si>
  <si>
    <t>C6</t>
  </si>
  <si>
    <t>C7</t>
  </si>
  <si>
    <t>C8</t>
  </si>
  <si>
    <t>WR-CHQ 22A-ALL</t>
  </si>
  <si>
    <t>WR-1012B-7.2 - 15</t>
  </si>
  <si>
    <t>WR-1012B-6.0-6.4</t>
  </si>
  <si>
    <t>6.0-6.4</t>
  </si>
  <si>
    <t>WR-1012B-6.5 - 9.5</t>
  </si>
  <si>
    <t>6.5 - 9.5</t>
  </si>
  <si>
    <t>WR-1012B-11 - 12</t>
  </si>
  <si>
    <t xml:space="preserve">11 - 12 </t>
  </si>
  <si>
    <t>WR-1012B-10</t>
  </si>
  <si>
    <t>10.5</t>
  </si>
  <si>
    <t>12.5 - 16</t>
  </si>
  <si>
    <t>17-22</t>
  </si>
  <si>
    <t>WR-1012B-10.5</t>
  </si>
  <si>
    <t>WR-1012B-12.5 - 16</t>
  </si>
  <si>
    <t>WR-1012B-17 - 22</t>
  </si>
  <si>
    <t>Base + 100</t>
  </si>
  <si>
    <t>Base + 50</t>
  </si>
  <si>
    <t xml:space="preserve">Base </t>
  </si>
  <si>
    <t>Base - 250</t>
  </si>
  <si>
    <t>Base + 75</t>
  </si>
  <si>
    <t>Base + 150</t>
  </si>
  <si>
    <t>Base -250</t>
  </si>
  <si>
    <t>WR-1006-6.5 - 9.5</t>
  </si>
  <si>
    <t>WR-1006-11 - 12.0</t>
  </si>
  <si>
    <t>WR-1006-17 - 22.0</t>
  </si>
  <si>
    <t>11 - 12</t>
  </si>
  <si>
    <t>17 - 22</t>
  </si>
  <si>
    <t>WR-1006-10</t>
  </si>
  <si>
    <t>WR-1006-10.5</t>
  </si>
  <si>
    <t>WR-1006-12.5 - 16</t>
  </si>
  <si>
    <t>WR-1008-6.5 - 9.5</t>
  </si>
  <si>
    <t>11-12</t>
  </si>
  <si>
    <t>WR-1008-11 - 12.0</t>
  </si>
  <si>
    <t>WR-1008-17 - 22.0</t>
  </si>
  <si>
    <t>WR-1008-10</t>
  </si>
  <si>
    <t>WR-1008-10.5</t>
  </si>
  <si>
    <t>WR-1008-12.5 - 16</t>
  </si>
  <si>
    <t>5.8-6.4</t>
  </si>
  <si>
    <t>6.5-9.5</t>
  </si>
  <si>
    <t>WR-1010/2/5-6.5-9.5</t>
  </si>
  <si>
    <t>WR-1010/2/5-10.5</t>
  </si>
  <si>
    <t>WR-1010/12/15-10</t>
  </si>
  <si>
    <t>WR-1010/12/15-17 - 22.0</t>
  </si>
  <si>
    <t>WR-1010/12/15-11 - 12</t>
  </si>
  <si>
    <t>WR-1010/12/15-12.5 - 16</t>
  </si>
  <si>
    <t>Base + 300</t>
  </si>
  <si>
    <t>Base + 400</t>
  </si>
  <si>
    <t>5.5-6.4</t>
  </si>
  <si>
    <t>WR-1006-5.5-6.4</t>
  </si>
  <si>
    <t>WR-1008-5.5-6.4</t>
  </si>
  <si>
    <t>WR-1010/2/5-5.8-6.4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</si>
  <si>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</si>
  <si>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</si>
  <si>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</si>
  <si>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</si>
  <si>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</si>
  <si>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</si>
  <si>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</si>
  <si>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</si>
  <si>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</si>
  <si>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</si>
  <si>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</si>
  <si>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SWRH42A</t>
  </si>
  <si>
    <t>WR-SWRH42A-All</t>
  </si>
  <si>
    <t>Base+450</t>
  </si>
  <si>
    <t>SWRH67-72</t>
  </si>
  <si>
    <t>SWRH52-62</t>
  </si>
  <si>
    <t>Base+300</t>
  </si>
  <si>
    <t>B6</t>
  </si>
  <si>
    <t>B7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</si>
</sst>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9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Book Antiqua"/>
      <family val="1"/>
    </font>
    <font>
      <b/>
      <sz val="14"/>
      <color indexed="9"/>
      <name val="Arial"/>
      <family val="2"/>
    </font>
    <font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8"/>
        <bgColor indexed="58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AE1E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</cellStyleXfs>
  <cellXfs count="39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4" borderId="4" xfId="0" applyFont="1" applyFill="1" applyBorder="1"/>
    <xf numFmtId="0" fontId="0" fillId="4" borderId="0" xfId="0" applyFont="1" applyFill="1" applyBorder="1"/>
    <xf numFmtId="0" fontId="0" fillId="4" borderId="5" xfId="0" applyFont="1" applyFill="1" applyBorder="1" applyAlignment="1"/>
    <xf numFmtId="49" fontId="4" fillId="5" borderId="6" xfId="0" applyNumberFormat="1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 vertical="center"/>
    </xf>
    <xf numFmtId="14" fontId="0" fillId="4" borderId="6" xfId="0" applyNumberFormat="1" applyFont="1" applyFill="1" applyBorder="1" applyAlignment="1">
      <alignment horizontal="center"/>
    </xf>
    <xf numFmtId="15" fontId="0" fillId="4" borderId="6" xfId="0" applyNumberFormat="1" applyFont="1" applyFill="1" applyBorder="1" applyAlignment="1">
      <alignment horizontal="left" vertical="center"/>
    </xf>
    <xf numFmtId="0" fontId="0" fillId="4" borderId="5" xfId="0" applyFont="1" applyFill="1" applyBorder="1"/>
    <xf numFmtId="49" fontId="4" fillId="5" borderId="7" xfId="0" applyNumberFormat="1" applyFont="1" applyFill="1" applyBorder="1" applyAlignment="1">
      <alignment horizontal="center" vertical="center" wrapText="1"/>
    </xf>
    <xf numFmtId="49" fontId="4" fillId="5" borderId="8" xfId="0" applyNumberFormat="1" applyFont="1" applyFill="1" applyBorder="1" applyAlignment="1">
      <alignment horizontal="center" vertical="center" wrapText="1"/>
    </xf>
    <xf numFmtId="49" fontId="4" fillId="5" borderId="9" xfId="0" applyNumberFormat="1" applyFont="1" applyFill="1" applyBorder="1" applyAlignment="1">
      <alignment horizontal="center" vertical="center" wrapText="1"/>
    </xf>
    <xf numFmtId="49" fontId="4" fillId="5" borderId="10" xfId="0" applyNumberFormat="1" applyFont="1" applyFill="1" applyBorder="1" applyAlignment="1">
      <alignment horizontal="center" vertical="center" wrapText="1"/>
    </xf>
    <xf numFmtId="14" fontId="0" fillId="0" borderId="11" xfId="0" applyNumberFormat="1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 wrapText="1"/>
    </xf>
    <xf numFmtId="164" fontId="0" fillId="0" borderId="14" xfId="0" applyNumberFormat="1" applyFont="1" applyBorder="1" applyAlignment="1">
      <alignment vertical="center"/>
    </xf>
    <xf numFmtId="15" fontId="0" fillId="0" borderId="11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15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 wrapText="1"/>
    </xf>
    <xf numFmtId="0" fontId="0" fillId="0" borderId="14" xfId="0" applyBorder="1"/>
    <xf numFmtId="15" fontId="0" fillId="0" borderId="6" xfId="0" applyNumberFormat="1" applyBorder="1"/>
    <xf numFmtId="0" fontId="0" fillId="0" borderId="6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8" fillId="0" borderId="0" xfId="2" applyNumberFormat="1" applyFont="1" applyFill="1" applyBorder="1" applyAlignment="1" applyProtection="1"/>
    <xf numFmtId="0" fontId="7" fillId="6" borderId="19" xfId="0" applyFont="1" applyFill="1" applyBorder="1" applyAlignment="1">
      <alignment horizontal="center"/>
    </xf>
    <xf numFmtId="0" fontId="0" fillId="0" borderId="20" xfId="0" applyBorder="1"/>
    <xf numFmtId="0" fontId="0" fillId="4" borderId="6" xfId="0" applyFill="1" applyBorder="1" applyAlignment="1">
      <alignment horizontal="center"/>
    </xf>
    <xf numFmtId="0" fontId="0" fillId="0" borderId="12" xfId="0" applyBorder="1" applyAlignment="1">
      <alignment vertical="center"/>
    </xf>
    <xf numFmtId="43" fontId="0" fillId="0" borderId="19" xfId="1" applyFont="1" applyFill="1" applyBorder="1"/>
    <xf numFmtId="0" fontId="0" fillId="0" borderId="19" xfId="0" applyFill="1" applyBorder="1"/>
    <xf numFmtId="0" fontId="11" fillId="0" borderId="19" xfId="0" applyFont="1" applyFill="1" applyBorder="1" applyAlignment="1">
      <alignment horizontal="left" wrapText="1"/>
    </xf>
    <xf numFmtId="0" fontId="0" fillId="0" borderId="19" xfId="0" applyFill="1" applyBorder="1" applyAlignment="1">
      <alignment horizontal="center" wrapText="1"/>
    </xf>
    <xf numFmtId="0" fontId="0" fillId="0" borderId="19" xfId="0" applyFill="1" applyBorder="1" applyAlignment="1">
      <alignment horizontal="left" wrapText="1"/>
    </xf>
    <xf numFmtId="0" fontId="0" fillId="0" borderId="19" xfId="0" applyFill="1" applyBorder="1" applyAlignment="1">
      <alignment horizontal="left"/>
    </xf>
    <xf numFmtId="164" fontId="11" fillId="0" borderId="19" xfId="1" applyNumberFormat="1" applyFont="1" applyFill="1" applyBorder="1" applyAlignment="1">
      <alignment horizontal="center" wrapText="1"/>
    </xf>
    <xf numFmtId="0" fontId="0" fillId="0" borderId="19" xfId="0" applyFont="1" applyFill="1" applyBorder="1" applyAlignment="1">
      <alignment horizontal="left" wrapText="1"/>
    </xf>
    <xf numFmtId="0" fontId="11" fillId="0" borderId="19" xfId="0" applyFont="1" applyFill="1" applyBorder="1" applyAlignment="1">
      <alignment horizontal="left"/>
    </xf>
    <xf numFmtId="0" fontId="0" fillId="0" borderId="0" xfId="0" applyFill="1"/>
    <xf numFmtId="0" fontId="12" fillId="8" borderId="6" xfId="0" applyFont="1" applyFill="1" applyBorder="1"/>
    <xf numFmtId="0" fontId="0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9" borderId="19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left"/>
    </xf>
    <xf numFmtId="0" fontId="0" fillId="0" borderId="19" xfId="0" applyFill="1" applyBorder="1" applyAlignment="1">
      <alignment horizontal="center"/>
    </xf>
    <xf numFmtId="0" fontId="13" fillId="0" borderId="23" xfId="0" applyFont="1" applyBorder="1" applyAlignment="1">
      <alignment horizontal="left" vertical="top" wrapText="1"/>
    </xf>
    <xf numFmtId="0" fontId="14" fillId="9" borderId="24" xfId="0" applyFont="1" applyFill="1" applyBorder="1" applyAlignment="1">
      <alignment horizontal="left" vertical="top" wrapText="1"/>
    </xf>
    <xf numFmtId="0" fontId="14" fillId="0" borderId="24" xfId="0" applyFont="1" applyBorder="1" applyAlignment="1">
      <alignment horizontal="left" vertical="top" wrapText="1"/>
    </xf>
    <xf numFmtId="0" fontId="13" fillId="0" borderId="25" xfId="0" applyFont="1" applyBorder="1" applyAlignment="1">
      <alignment horizontal="left" vertical="top" wrapText="1"/>
    </xf>
    <xf numFmtId="0" fontId="14" fillId="9" borderId="26" xfId="0" applyFont="1" applyFill="1" applyBorder="1" applyAlignment="1">
      <alignment horizontal="left" vertical="top" wrapText="1"/>
    </xf>
    <xf numFmtId="0" fontId="13" fillId="0" borderId="26" xfId="0" applyFont="1" applyBorder="1" applyAlignment="1">
      <alignment horizontal="left" vertical="top" wrapText="1"/>
    </xf>
    <xf numFmtId="0" fontId="14" fillId="0" borderId="26" xfId="0" applyFont="1" applyBorder="1" applyAlignment="1">
      <alignment horizontal="left" vertical="top" wrapText="1"/>
    </xf>
    <xf numFmtId="0" fontId="11" fillId="0" borderId="26" xfId="0" applyFont="1" applyBorder="1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11" fillId="10" borderId="19" xfId="0" quotePrefix="1" applyFont="1" applyFill="1" applyBorder="1"/>
    <xf numFmtId="43" fontId="11" fillId="0" borderId="19" xfId="1" applyFont="1" applyFill="1" applyBorder="1" applyAlignment="1">
      <alignment horizontal="right"/>
    </xf>
    <xf numFmtId="0" fontId="11" fillId="0" borderId="19" xfId="0" applyFont="1" applyFill="1" applyBorder="1"/>
    <xf numFmtId="0" fontId="15" fillId="0" borderId="19" xfId="0" applyFont="1" applyFill="1" applyBorder="1"/>
    <xf numFmtId="0" fontId="15" fillId="0" borderId="19" xfId="0" applyFont="1" applyFill="1" applyBorder="1" applyAlignment="1">
      <alignment horizontal="left" wrapText="1"/>
    </xf>
    <xf numFmtId="0" fontId="15" fillId="0" borderId="19" xfId="0" applyFont="1" applyFill="1" applyBorder="1" applyAlignment="1">
      <alignment horizontal="center" wrapText="1"/>
    </xf>
    <xf numFmtId="43" fontId="15" fillId="0" borderId="19" xfId="1" applyFont="1" applyFill="1" applyBorder="1"/>
    <xf numFmtId="0" fontId="15" fillId="0" borderId="0" xfId="0" applyFont="1" applyFill="1"/>
    <xf numFmtId="0" fontId="15" fillId="0" borderId="19" xfId="0" applyFont="1" applyFill="1" applyBorder="1" applyAlignment="1">
      <alignment horizontal="left"/>
    </xf>
    <xf numFmtId="16" fontId="15" fillId="0" borderId="19" xfId="0" quotePrefix="1" applyNumberFormat="1" applyFont="1" applyFill="1" applyBorder="1" applyAlignment="1">
      <alignment horizontal="center" wrapText="1"/>
    </xf>
    <xf numFmtId="43" fontId="11" fillId="0" borderId="19" xfId="1" applyFont="1" applyFill="1" applyBorder="1" applyAlignment="1">
      <alignment horizontal="left"/>
    </xf>
    <xf numFmtId="2" fontId="0" fillId="0" borderId="19" xfId="0" quotePrefix="1" applyNumberFormat="1" applyFill="1" applyBorder="1" applyAlignment="1">
      <alignment horizontal="center" wrapText="1"/>
    </xf>
    <xf numFmtId="0" fontId="11" fillId="0" borderId="19" xfId="0" quotePrefix="1" applyFont="1" applyFill="1" applyBorder="1" applyAlignment="1">
      <alignment horizontal="left" wrapText="1"/>
    </xf>
    <xf numFmtId="0" fontId="15" fillId="0" borderId="27" xfId="0" applyFont="1" applyFill="1" applyBorder="1"/>
    <xf numFmtId="0" fontId="15" fillId="0" borderId="27" xfId="0" applyFont="1" applyFill="1" applyBorder="1" applyAlignment="1">
      <alignment horizontal="left"/>
    </xf>
    <xf numFmtId="0" fontId="15" fillId="0" borderId="27" xfId="0" applyFont="1" applyFill="1" applyBorder="1" applyAlignment="1">
      <alignment horizontal="center" wrapText="1"/>
    </xf>
    <xf numFmtId="43" fontId="15" fillId="0" borderId="27" xfId="1" applyFont="1" applyFill="1" applyBorder="1"/>
    <xf numFmtId="0" fontId="0" fillId="7" borderId="0" xfId="0" applyFill="1" applyAlignment="1">
      <alignment horizontal="center"/>
    </xf>
    <xf numFmtId="0" fontId="11" fillId="0" borderId="0" xfId="0" applyFont="1" applyFill="1" applyAlignment="1">
      <alignment horizontal="left"/>
    </xf>
    <xf numFmtId="43" fontId="11" fillId="0" borderId="0" xfId="1" applyFont="1" applyFill="1" applyAlignment="1">
      <alignment horizontal="right"/>
    </xf>
    <xf numFmtId="43" fontId="11" fillId="0" borderId="27" xfId="1" applyFont="1" applyFill="1" applyBorder="1" applyAlignment="1">
      <alignment horizontal="right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0" fillId="7" borderId="0" xfId="0" applyFill="1" applyAlignment="1">
      <alignment vertical="center" wrapText="1"/>
    </xf>
    <xf numFmtId="0" fontId="0" fillId="7" borderId="0" xfId="0" applyFill="1" applyAlignment="1">
      <alignment horizontal="center" vertical="center" wrapText="1"/>
    </xf>
    <xf numFmtId="43" fontId="0" fillId="12" borderId="19" xfId="1" applyFont="1" applyFill="1" applyBorder="1"/>
    <xf numFmtId="43" fontId="0" fillId="13" borderId="19" xfId="1" applyFont="1" applyFill="1" applyBorder="1"/>
    <xf numFmtId="0" fontId="11" fillId="13" borderId="19" xfId="0" applyFont="1" applyFill="1" applyBorder="1" applyAlignment="1">
      <alignment horizontal="left"/>
    </xf>
    <xf numFmtId="43" fontId="11" fillId="13" borderId="19" xfId="1" applyFont="1" applyFill="1" applyBorder="1" applyAlignment="1">
      <alignment horizontal="right"/>
    </xf>
    <xf numFmtId="0" fontId="11" fillId="10" borderId="0" xfId="0" quotePrefix="1" applyFont="1" applyFill="1" applyBorder="1"/>
    <xf numFmtId="0" fontId="0" fillId="0" borderId="0" xfId="0" applyFill="1" applyBorder="1"/>
    <xf numFmtId="0" fontId="15" fillId="0" borderId="0" xfId="0" applyFont="1" applyFill="1" applyBorder="1" applyAlignment="1">
      <alignment horizontal="center" wrapText="1"/>
    </xf>
    <xf numFmtId="43" fontId="15" fillId="0" borderId="0" xfId="1" applyFont="1" applyFill="1" applyBorder="1"/>
    <xf numFmtId="0" fontId="15" fillId="0" borderId="0" xfId="0" applyFont="1" applyFill="1" applyBorder="1"/>
    <xf numFmtId="43" fontId="11" fillId="0" borderId="0" xfId="1" applyFont="1" applyFill="1" applyBorder="1" applyAlignment="1">
      <alignment horizontal="right"/>
    </xf>
    <xf numFmtId="0" fontId="1" fillId="0" borderId="0" xfId="0" quotePrefix="1" applyFont="1" applyFill="1"/>
    <xf numFmtId="0" fontId="1" fillId="0" borderId="0" xfId="0" applyFont="1" applyFill="1"/>
    <xf numFmtId="0" fontId="16" fillId="0" borderId="28" xfId="0" applyFont="1" applyFill="1" applyBorder="1" applyAlignment="1"/>
    <xf numFmtId="165" fontId="0" fillId="3" borderId="0" xfId="1" applyNumberFormat="1" applyFont="1" applyFill="1" applyAlignment="1">
      <alignment horizontal="center"/>
    </xf>
    <xf numFmtId="165" fontId="0" fillId="7" borderId="0" xfId="1" applyNumberFormat="1" applyFont="1" applyFill="1" applyAlignment="1">
      <alignment horizontal="center" vertical="center" wrapText="1"/>
    </xf>
    <xf numFmtId="165" fontId="0" fillId="0" borderId="0" xfId="1" applyNumberFormat="1" applyFont="1" applyAlignment="1">
      <alignment horizontal="center"/>
    </xf>
    <xf numFmtId="165" fontId="0" fillId="7" borderId="0" xfId="1" applyNumberFormat="1" applyFont="1" applyFill="1" applyAlignment="1">
      <alignment horizontal="center"/>
    </xf>
    <xf numFmtId="0" fontId="11" fillId="14" borderId="0" xfId="0" applyFont="1" applyFill="1" applyAlignment="1">
      <alignment vertical="center" wrapText="1"/>
    </xf>
    <xf numFmtId="0" fontId="11" fillId="14" borderId="0" xfId="0" applyFont="1" applyFill="1"/>
    <xf numFmtId="0" fontId="0" fillId="14" borderId="0" xfId="0" applyFill="1"/>
    <xf numFmtId="165" fontId="17" fillId="0" borderId="0" xfId="1" applyNumberFormat="1" applyFont="1" applyFill="1" applyAlignment="1">
      <alignment horizontal="right"/>
    </xf>
    <xf numFmtId="0" fontId="1" fillId="14" borderId="0" xfId="0" applyFont="1" applyFill="1"/>
    <xf numFmtId="0" fontId="5" fillId="10" borderId="27" xfId="0" applyFont="1" applyFill="1" applyBorder="1" applyAlignment="1">
      <alignment vertical="center" wrapText="1"/>
    </xf>
    <xf numFmtId="0" fontId="5" fillId="0" borderId="27" xfId="0" applyFont="1" applyFill="1" applyBorder="1" applyAlignment="1">
      <alignment vertical="center" wrapText="1"/>
    </xf>
    <xf numFmtId="0" fontId="5" fillId="0" borderId="27" xfId="0" applyFont="1" applyFill="1" applyBorder="1" applyAlignment="1">
      <alignment horizontal="left" vertical="center" wrapText="1"/>
    </xf>
    <xf numFmtId="0" fontId="5" fillId="0" borderId="27" xfId="0" applyFont="1" applyFill="1" applyBorder="1" applyAlignment="1">
      <alignment horizontal="center" vertical="center" wrapText="1"/>
    </xf>
    <xf numFmtId="43" fontId="0" fillId="0" borderId="27" xfId="1" applyFont="1" applyFill="1" applyBorder="1" applyAlignment="1">
      <alignment vertical="center" wrapText="1"/>
    </xf>
    <xf numFmtId="0" fontId="0" fillId="0" borderId="27" xfId="0" applyFill="1" applyBorder="1" applyAlignment="1">
      <alignment vertical="center" wrapText="1"/>
    </xf>
    <xf numFmtId="0" fontId="11" fillId="0" borderId="27" xfId="0" applyFont="1" applyFill="1" applyBorder="1" applyAlignment="1">
      <alignment horizontal="left" vertical="center" wrapText="1"/>
    </xf>
    <xf numFmtId="165" fontId="17" fillId="0" borderId="27" xfId="1" applyNumberFormat="1" applyFont="1" applyFill="1" applyBorder="1" applyAlignment="1">
      <alignment horizontal="left" vertical="center" wrapText="1"/>
    </xf>
    <xf numFmtId="43" fontId="1" fillId="0" borderId="27" xfId="1" applyFont="1" applyFill="1" applyBorder="1" applyAlignment="1">
      <alignment horizontal="left" vertical="center" wrapText="1"/>
    </xf>
    <xf numFmtId="0" fontId="0" fillId="0" borderId="29" xfId="0" applyFill="1" applyBorder="1"/>
    <xf numFmtId="0" fontId="11" fillId="0" borderId="29" xfId="0" applyFont="1" applyFill="1" applyBorder="1" applyAlignment="1">
      <alignment horizontal="left" wrapText="1"/>
    </xf>
    <xf numFmtId="43" fontId="0" fillId="0" borderId="29" xfId="1" applyFont="1" applyFill="1" applyBorder="1"/>
    <xf numFmtId="0" fontId="5" fillId="10" borderId="29" xfId="0" applyFont="1" applyFill="1" applyBorder="1" applyAlignment="1">
      <alignment vertical="center" wrapText="1"/>
    </xf>
    <xf numFmtId="0" fontId="5" fillId="0" borderId="29" xfId="0" applyFont="1" applyFill="1" applyBorder="1" applyAlignment="1">
      <alignment vertical="center" wrapText="1"/>
    </xf>
    <xf numFmtId="0" fontId="5" fillId="0" borderId="29" xfId="0" applyFont="1" applyFill="1" applyBorder="1" applyAlignment="1">
      <alignment horizontal="left" vertical="center" wrapText="1"/>
    </xf>
    <xf numFmtId="0" fontId="5" fillId="0" borderId="29" xfId="0" applyFont="1" applyFill="1" applyBorder="1" applyAlignment="1">
      <alignment horizontal="center" vertical="center" wrapText="1"/>
    </xf>
    <xf numFmtId="43" fontId="0" fillId="0" borderId="29" xfId="1" applyFont="1" applyFill="1" applyBorder="1" applyAlignment="1">
      <alignment vertical="center" wrapText="1"/>
    </xf>
    <xf numFmtId="0" fontId="0" fillId="0" borderId="29" xfId="0" applyFill="1" applyBorder="1" applyAlignment="1">
      <alignment vertical="center" wrapText="1"/>
    </xf>
    <xf numFmtId="0" fontId="11" fillId="14" borderId="28" xfId="0" applyFont="1" applyFill="1" applyBorder="1" applyAlignment="1">
      <alignment vertical="center" wrapText="1"/>
    </xf>
    <xf numFmtId="0" fontId="0" fillId="0" borderId="28" xfId="0" applyFill="1" applyBorder="1" applyAlignment="1">
      <alignment vertical="center" wrapText="1"/>
    </xf>
    <xf numFmtId="0" fontId="11" fillId="0" borderId="29" xfId="0" applyFont="1" applyFill="1" applyBorder="1" applyAlignment="1">
      <alignment horizontal="left" vertical="center" wrapText="1"/>
    </xf>
    <xf numFmtId="165" fontId="18" fillId="15" borderId="29" xfId="1" applyNumberFormat="1" applyFont="1" applyFill="1" applyBorder="1" applyAlignment="1">
      <alignment horizontal="left" vertical="center" wrapText="1"/>
    </xf>
    <xf numFmtId="165" fontId="5" fillId="15" borderId="29" xfId="1" applyNumberFormat="1" applyFont="1" applyFill="1" applyBorder="1" applyAlignment="1">
      <alignment horizontal="left" vertical="center" wrapText="1"/>
    </xf>
    <xf numFmtId="0" fontId="0" fillId="17" borderId="19" xfId="0" applyFill="1" applyBorder="1"/>
    <xf numFmtId="0" fontId="0" fillId="17" borderId="19" xfId="0" applyFill="1" applyBorder="1" applyAlignment="1">
      <alignment horizontal="left" wrapText="1"/>
    </xf>
    <xf numFmtId="43" fontId="0" fillId="17" borderId="19" xfId="1" applyFont="1" applyFill="1" applyBorder="1"/>
    <xf numFmtId="0" fontId="11" fillId="17" borderId="0" xfId="0" applyFont="1" applyFill="1"/>
    <xf numFmtId="0" fontId="0" fillId="17" borderId="0" xfId="0" applyFill="1"/>
    <xf numFmtId="0" fontId="15" fillId="17" borderId="19" xfId="0" applyFont="1" applyFill="1" applyBorder="1"/>
    <xf numFmtId="0" fontId="15" fillId="17" borderId="19" xfId="0" applyFont="1" applyFill="1" applyBorder="1" applyAlignment="1">
      <alignment horizontal="left" wrapText="1"/>
    </xf>
    <xf numFmtId="16" fontId="15" fillId="17" borderId="19" xfId="0" quotePrefix="1" applyNumberFormat="1" applyFont="1" applyFill="1" applyBorder="1" applyAlignment="1">
      <alignment horizontal="center" wrapText="1"/>
    </xf>
    <xf numFmtId="43" fontId="15" fillId="17" borderId="19" xfId="1" applyFont="1" applyFill="1" applyBorder="1"/>
    <xf numFmtId="0" fontId="15" fillId="17" borderId="0" xfId="0" applyFont="1" applyFill="1"/>
    <xf numFmtId="0" fontId="1" fillId="17" borderId="19" xfId="0" applyFont="1" applyFill="1" applyBorder="1"/>
    <xf numFmtId="0" fontId="1" fillId="17" borderId="19" xfId="0" applyFont="1" applyFill="1" applyBorder="1" applyAlignment="1">
      <alignment horizontal="center" wrapText="1"/>
    </xf>
    <xf numFmtId="0" fontId="1" fillId="17" borderId="0" xfId="0" applyFont="1" applyFill="1"/>
    <xf numFmtId="0" fontId="11" fillId="17" borderId="19" xfId="0" applyFont="1" applyFill="1" applyBorder="1" applyAlignment="1">
      <alignment horizontal="center" wrapText="1"/>
    </xf>
    <xf numFmtId="165" fontId="0" fillId="0" borderId="0" xfId="0" applyNumberFormat="1" applyFill="1"/>
    <xf numFmtId="43" fontId="0" fillId="0" borderId="0" xfId="0" applyNumberFormat="1" applyFill="1"/>
    <xf numFmtId="43" fontId="11" fillId="18" borderId="19" xfId="1" applyFont="1" applyFill="1" applyBorder="1" applyAlignment="1">
      <alignment horizontal="right"/>
    </xf>
    <xf numFmtId="165" fontId="17" fillId="13" borderId="19" xfId="1" applyNumberFormat="1" applyFont="1" applyFill="1" applyBorder="1" applyAlignment="1">
      <alignment horizontal="right"/>
    </xf>
    <xf numFmtId="43" fontId="1" fillId="0" borderId="19" xfId="1" applyFont="1" applyFill="1" applyBorder="1" applyAlignment="1">
      <alignment horizontal="left"/>
    </xf>
    <xf numFmtId="43" fontId="1" fillId="0" borderId="19" xfId="1" applyFont="1" applyFill="1" applyBorder="1" applyAlignment="1">
      <alignment horizontal="right"/>
    </xf>
    <xf numFmtId="165" fontId="17" fillId="13" borderId="27" xfId="1" applyNumberFormat="1" applyFont="1" applyFill="1" applyBorder="1" applyAlignment="1">
      <alignment horizontal="right"/>
    </xf>
    <xf numFmtId="165" fontId="17" fillId="13" borderId="29" xfId="1" applyNumberFormat="1" applyFont="1" applyFill="1" applyBorder="1" applyAlignment="1">
      <alignment horizontal="right"/>
    </xf>
    <xf numFmtId="165" fontId="17" fillId="13" borderId="19" xfId="1" applyNumberFormat="1" applyFont="1" applyFill="1" applyBorder="1" applyAlignment="1">
      <alignment horizontal="left"/>
    </xf>
    <xf numFmtId="165" fontId="17" fillId="13" borderId="0" xfId="1" applyNumberFormat="1" applyFont="1" applyFill="1" applyBorder="1" applyAlignment="1">
      <alignment horizontal="right"/>
    </xf>
    <xf numFmtId="165" fontId="17" fillId="13" borderId="0" xfId="1" applyNumberFormat="1" applyFont="1" applyFill="1" applyAlignment="1">
      <alignment horizontal="right"/>
    </xf>
    <xf numFmtId="165" fontId="11" fillId="16" borderId="19" xfId="1" applyNumberFormat="1" applyFont="1" applyFill="1" applyBorder="1" applyAlignment="1">
      <alignment horizontal="right"/>
    </xf>
    <xf numFmtId="43" fontId="1" fillId="13" borderId="19" xfId="1" applyFont="1" applyFill="1" applyBorder="1" applyAlignment="1">
      <alignment horizontal="right"/>
    </xf>
    <xf numFmtId="0" fontId="11" fillId="13" borderId="29" xfId="0" applyFont="1" applyFill="1" applyBorder="1" applyAlignment="1">
      <alignment horizontal="left"/>
    </xf>
    <xf numFmtId="0" fontId="1" fillId="13" borderId="19" xfId="0" applyFont="1" applyFill="1" applyBorder="1" applyAlignment="1">
      <alignment horizontal="left"/>
    </xf>
    <xf numFmtId="0" fontId="11" fillId="13" borderId="0" xfId="0" applyFont="1" applyFill="1" applyBorder="1" applyAlignment="1">
      <alignment horizontal="left"/>
    </xf>
    <xf numFmtId="0" fontId="11" fillId="13" borderId="0" xfId="0" applyFont="1" applyFill="1" applyAlignment="1">
      <alignment horizontal="left"/>
    </xf>
    <xf numFmtId="43" fontId="18" fillId="11" borderId="19" xfId="1" applyFont="1" applyFill="1" applyBorder="1" applyAlignment="1">
      <alignment horizontal="right"/>
    </xf>
    <xf numFmtId="0" fontId="15" fillId="13" borderId="19" xfId="0" applyFont="1" applyFill="1" applyBorder="1" applyAlignment="1">
      <alignment horizontal="left"/>
    </xf>
    <xf numFmtId="165" fontId="15" fillId="13" borderId="19" xfId="1" applyNumberFormat="1" applyFont="1" applyFill="1" applyBorder="1" applyAlignment="1">
      <alignment horizontal="right"/>
    </xf>
    <xf numFmtId="43" fontId="15" fillId="13" borderId="19" xfId="1" applyFont="1" applyFill="1" applyBorder="1" applyAlignment="1">
      <alignment horizontal="right"/>
    </xf>
    <xf numFmtId="0" fontId="11" fillId="10" borderId="19" xfId="0" quotePrefix="1" applyFont="1" applyFill="1" applyBorder="1" applyAlignment="1">
      <alignment vertical="center"/>
    </xf>
    <xf numFmtId="0" fontId="15" fillId="0" borderId="19" xfId="0" applyFont="1" applyFill="1" applyBorder="1" applyAlignment="1">
      <alignment vertical="center"/>
    </xf>
    <xf numFmtId="0" fontId="15" fillId="0" borderId="19" xfId="0" applyFont="1" applyFill="1" applyBorder="1" applyAlignment="1">
      <alignment horizontal="left" vertical="center" wrapText="1"/>
    </xf>
    <xf numFmtId="16" fontId="15" fillId="0" borderId="19" xfId="0" quotePrefix="1" applyNumberFormat="1" applyFont="1" applyFill="1" applyBorder="1" applyAlignment="1">
      <alignment horizontal="center" vertical="center" wrapText="1"/>
    </xf>
    <xf numFmtId="43" fontId="15" fillId="0" borderId="19" xfId="1" applyFont="1" applyFill="1" applyBorder="1" applyAlignment="1">
      <alignment vertical="center"/>
    </xf>
    <xf numFmtId="0" fontId="11" fillId="14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" fillId="13" borderId="19" xfId="0" applyFont="1" applyFill="1" applyBorder="1" applyAlignment="1">
      <alignment horizontal="left" vertical="center"/>
    </xf>
    <xf numFmtId="165" fontId="17" fillId="13" borderId="19" xfId="1" applyNumberFormat="1" applyFont="1" applyFill="1" applyBorder="1" applyAlignment="1">
      <alignment horizontal="right" vertical="center"/>
    </xf>
    <xf numFmtId="43" fontId="11" fillId="0" borderId="19" xfId="1" applyFont="1" applyFill="1" applyBorder="1" applyAlignment="1">
      <alignment horizontal="right" vertical="center"/>
    </xf>
    <xf numFmtId="0" fontId="1" fillId="17" borderId="27" xfId="0" applyFont="1" applyFill="1" applyBorder="1"/>
    <xf numFmtId="0" fontId="15" fillId="17" borderId="27" xfId="0" applyFont="1" applyFill="1" applyBorder="1"/>
    <xf numFmtId="0" fontId="15" fillId="17" borderId="27" xfId="0" applyFont="1" applyFill="1" applyBorder="1" applyAlignment="1">
      <alignment horizontal="left" wrapText="1"/>
    </xf>
    <xf numFmtId="0" fontId="15" fillId="17" borderId="27" xfId="0" applyFont="1" applyFill="1" applyBorder="1" applyAlignment="1">
      <alignment horizontal="center" wrapText="1"/>
    </xf>
    <xf numFmtId="43" fontId="15" fillId="17" borderId="27" xfId="1" applyFont="1" applyFill="1" applyBorder="1"/>
    <xf numFmtId="0" fontId="0" fillId="17" borderId="27" xfId="0" applyFill="1" applyBorder="1"/>
    <xf numFmtId="0" fontId="1" fillId="13" borderId="27" xfId="0" applyFont="1" applyFill="1" applyBorder="1" applyAlignment="1">
      <alignment horizontal="left"/>
    </xf>
    <xf numFmtId="43" fontId="11" fillId="13" borderId="27" xfId="1" applyFont="1" applyFill="1" applyBorder="1" applyAlignment="1">
      <alignment horizontal="right"/>
    </xf>
    <xf numFmtId="0" fontId="0" fillId="17" borderId="27" xfId="0" applyFill="1" applyBorder="1" applyAlignment="1">
      <alignment horizontal="left" wrapText="1"/>
    </xf>
    <xf numFmtId="0" fontId="0" fillId="17" borderId="27" xfId="0" applyFill="1" applyBorder="1" applyAlignment="1">
      <alignment horizontal="center" wrapText="1"/>
    </xf>
    <xf numFmtId="43" fontId="0" fillId="17" borderId="27" xfId="1" applyFont="1" applyFill="1" applyBorder="1"/>
    <xf numFmtId="0" fontId="1" fillId="17" borderId="27" xfId="0" applyFont="1" applyFill="1" applyBorder="1" applyAlignment="1">
      <alignment horizontal="left" vertical="center"/>
    </xf>
    <xf numFmtId="0" fontId="11" fillId="14" borderId="19" xfId="0" applyFont="1" applyFill="1" applyBorder="1"/>
    <xf numFmtId="165" fontId="0" fillId="0" borderId="0" xfId="0" applyNumberFormat="1" applyFill="1" applyAlignment="1">
      <alignment vertical="center"/>
    </xf>
    <xf numFmtId="43" fontId="0" fillId="0" borderId="0" xfId="0" applyNumberFormat="1" applyFill="1" applyAlignment="1">
      <alignment vertical="center"/>
    </xf>
    <xf numFmtId="0" fontId="1" fillId="10" borderId="19" xfId="0" quotePrefix="1" applyFont="1" applyFill="1" applyBorder="1"/>
    <xf numFmtId="0" fontId="1" fillId="14" borderId="19" xfId="0" applyFont="1" applyFill="1" applyBorder="1"/>
    <xf numFmtId="0" fontId="11" fillId="19" borderId="29" xfId="0" quotePrefix="1" applyFont="1" applyFill="1" applyBorder="1"/>
    <xf numFmtId="0" fontId="0" fillId="19" borderId="29" xfId="0" applyFill="1" applyBorder="1"/>
    <xf numFmtId="0" fontId="11" fillId="19" borderId="29" xfId="0" applyFont="1" applyFill="1" applyBorder="1" applyAlignment="1">
      <alignment horizontal="left" wrapText="1"/>
    </xf>
    <xf numFmtId="0" fontId="11" fillId="19" borderId="29" xfId="0" applyFont="1" applyFill="1" applyBorder="1" applyAlignment="1">
      <alignment horizontal="center" wrapText="1"/>
    </xf>
    <xf numFmtId="43" fontId="0" fillId="19" borderId="29" xfId="1" applyFont="1" applyFill="1" applyBorder="1"/>
    <xf numFmtId="0" fontId="1" fillId="19" borderId="0" xfId="0" applyFont="1" applyFill="1"/>
    <xf numFmtId="0" fontId="0" fillId="19" borderId="0" xfId="0" applyFill="1"/>
    <xf numFmtId="165" fontId="17" fillId="19" borderId="29" xfId="1" applyNumberFormat="1" applyFont="1" applyFill="1" applyBorder="1" applyAlignment="1">
      <alignment horizontal="right"/>
    </xf>
    <xf numFmtId="43" fontId="1" fillId="19" borderId="19" xfId="1" applyFont="1" applyFill="1" applyBorder="1" applyAlignment="1">
      <alignment horizontal="right"/>
    </xf>
    <xf numFmtId="0" fontId="11" fillId="19" borderId="19" xfId="0" quotePrefix="1" applyFont="1" applyFill="1" applyBorder="1"/>
    <xf numFmtId="0" fontId="11" fillId="19" borderId="19" xfId="0" applyFont="1" applyFill="1" applyBorder="1"/>
    <xf numFmtId="0" fontId="0" fillId="19" borderId="19" xfId="0" applyFill="1" applyBorder="1" applyAlignment="1">
      <alignment horizontal="left" wrapText="1"/>
    </xf>
    <xf numFmtId="0" fontId="11" fillId="19" borderId="19" xfId="0" applyFont="1" applyFill="1" applyBorder="1" applyAlignment="1">
      <alignment horizontal="center" wrapText="1"/>
    </xf>
    <xf numFmtId="43" fontId="0" fillId="19" borderId="19" xfId="1" applyFont="1" applyFill="1" applyBorder="1"/>
    <xf numFmtId="0" fontId="0" fillId="19" borderId="19" xfId="0" applyFill="1" applyBorder="1"/>
    <xf numFmtId="0" fontId="11" fillId="19" borderId="0" xfId="0" applyFont="1" applyFill="1"/>
    <xf numFmtId="0" fontId="11" fillId="19" borderId="19" xfId="0" applyFont="1" applyFill="1" applyBorder="1" applyAlignment="1">
      <alignment horizontal="left"/>
    </xf>
    <xf numFmtId="165" fontId="17" fillId="19" borderId="19" xfId="1" applyNumberFormat="1" applyFont="1" applyFill="1" applyBorder="1" applyAlignment="1">
      <alignment horizontal="right"/>
    </xf>
    <xf numFmtId="43" fontId="11" fillId="19" borderId="19" xfId="1" applyFont="1" applyFill="1" applyBorder="1" applyAlignment="1">
      <alignment horizontal="right"/>
    </xf>
    <xf numFmtId="0" fontId="1" fillId="19" borderId="19" xfId="0" applyFont="1" applyFill="1" applyBorder="1" applyAlignment="1">
      <alignment horizontal="left"/>
    </xf>
    <xf numFmtId="164" fontId="1" fillId="19" borderId="19" xfId="0" applyNumberFormat="1" applyFont="1" applyFill="1" applyBorder="1" applyAlignment="1">
      <alignment horizontal="center" wrapText="1"/>
    </xf>
    <xf numFmtId="165" fontId="0" fillId="19" borderId="0" xfId="0" applyNumberFormat="1" applyFill="1"/>
    <xf numFmtId="43" fontId="0" fillId="19" borderId="0" xfId="0" applyNumberFormat="1" applyFill="1"/>
    <xf numFmtId="0" fontId="1" fillId="19" borderId="29" xfId="0" applyFont="1" applyFill="1" applyBorder="1" applyAlignment="1">
      <alignment horizontal="left" wrapText="1"/>
    </xf>
    <xf numFmtId="0" fontId="0" fillId="0" borderId="29" xfId="0" applyFill="1" applyBorder="1" applyAlignment="1">
      <alignment horizontal="center" wrapText="1"/>
    </xf>
    <xf numFmtId="43" fontId="11" fillId="0" borderId="29" xfId="1" applyFont="1" applyFill="1" applyBorder="1" applyAlignment="1">
      <alignment horizontal="right"/>
    </xf>
    <xf numFmtId="0" fontId="5" fillId="11" borderId="29" xfId="0" applyFont="1" applyFill="1" applyBorder="1"/>
    <xf numFmtId="0" fontId="0" fillId="0" borderId="29" xfId="0" applyBorder="1"/>
    <xf numFmtId="0" fontId="15" fillId="0" borderId="29" xfId="0" applyFont="1" applyFill="1" applyBorder="1" applyAlignment="1">
      <alignment horizontal="center" wrapText="1"/>
    </xf>
    <xf numFmtId="43" fontId="15" fillId="0" borderId="29" xfId="1" applyFont="1" applyFill="1" applyBorder="1"/>
    <xf numFmtId="0" fontId="15" fillId="0" borderId="29" xfId="0" applyFont="1" applyFill="1" applyBorder="1"/>
    <xf numFmtId="0" fontId="1" fillId="19" borderId="29" xfId="0" applyFont="1" applyFill="1" applyBorder="1"/>
    <xf numFmtId="0" fontId="11" fillId="19" borderId="29" xfId="0" applyFont="1" applyFill="1" applyBorder="1"/>
    <xf numFmtId="0" fontId="1" fillId="19" borderId="19" xfId="0" applyFont="1" applyFill="1" applyBorder="1"/>
    <xf numFmtId="0" fontId="1" fillId="20" borderId="19" xfId="0" quotePrefix="1" applyFont="1" applyFill="1" applyBorder="1"/>
    <xf numFmtId="0" fontId="0" fillId="20" borderId="19" xfId="0" applyFill="1" applyBorder="1"/>
    <xf numFmtId="0" fontId="0" fillId="20" borderId="19" xfId="0" applyFill="1" applyBorder="1" applyAlignment="1">
      <alignment horizontal="center" wrapText="1"/>
    </xf>
    <xf numFmtId="43" fontId="0" fillId="20" borderId="19" xfId="1" applyFont="1" applyFill="1" applyBorder="1"/>
    <xf numFmtId="0" fontId="1" fillId="20" borderId="0" xfId="0" applyFont="1" applyFill="1"/>
    <xf numFmtId="0" fontId="0" fillId="20" borderId="0" xfId="0" applyFill="1"/>
    <xf numFmtId="0" fontId="1" fillId="20" borderId="19" xfId="0" applyFont="1" applyFill="1" applyBorder="1" applyAlignment="1">
      <alignment horizontal="left"/>
    </xf>
    <xf numFmtId="165" fontId="17" fillId="20" borderId="19" xfId="1" applyNumberFormat="1" applyFont="1" applyFill="1" applyBorder="1" applyAlignment="1">
      <alignment horizontal="right"/>
    </xf>
    <xf numFmtId="0" fontId="0" fillId="20" borderId="19" xfId="0" applyFont="1" applyFill="1" applyBorder="1" applyAlignment="1">
      <alignment horizontal="left" wrapText="1"/>
    </xf>
    <xf numFmtId="0" fontId="1" fillId="20" borderId="19" xfId="0" quotePrefix="1" applyFont="1" applyFill="1" applyBorder="1" applyAlignment="1">
      <alignment horizontal="left"/>
    </xf>
    <xf numFmtId="0" fontId="1" fillId="19" borderId="29" xfId="0" applyFont="1" applyFill="1" applyBorder="1" applyAlignment="1">
      <alignment horizontal="left"/>
    </xf>
    <xf numFmtId="0" fontId="0" fillId="20" borderId="19" xfId="0" applyFill="1" applyBorder="1" applyAlignment="1">
      <alignment horizontal="left" wrapText="1"/>
    </xf>
    <xf numFmtId="43" fontId="18" fillId="11" borderId="19" xfId="1" applyFont="1" applyFill="1" applyBorder="1" applyAlignment="1">
      <alignment horizontal="left"/>
    </xf>
    <xf numFmtId="43" fontId="11" fillId="11" borderId="19" xfId="1" applyFont="1" applyFill="1" applyBorder="1" applyAlignment="1">
      <alignment horizontal="right"/>
    </xf>
    <xf numFmtId="0" fontId="1" fillId="13" borderId="19" xfId="0" applyFont="1" applyFill="1" applyBorder="1"/>
    <xf numFmtId="0" fontId="0" fillId="13" borderId="19" xfId="0" applyFill="1" applyBorder="1"/>
    <xf numFmtId="0" fontId="0" fillId="13" borderId="19" xfId="0" applyFill="1" applyBorder="1" applyAlignment="1">
      <alignment horizontal="left" wrapText="1"/>
    </xf>
    <xf numFmtId="0" fontId="0" fillId="13" borderId="0" xfId="0" applyFill="1"/>
    <xf numFmtId="0" fontId="1" fillId="13" borderId="19" xfId="0" applyFont="1" applyFill="1" applyBorder="1" applyAlignment="1">
      <alignment horizontal="center" wrapText="1"/>
    </xf>
    <xf numFmtId="0" fontId="15" fillId="13" borderId="19" xfId="0" applyFont="1" applyFill="1" applyBorder="1"/>
    <xf numFmtId="0" fontId="15" fillId="13" borderId="19" xfId="0" applyFont="1" applyFill="1" applyBorder="1" applyAlignment="1">
      <alignment horizontal="left" wrapText="1"/>
    </xf>
    <xf numFmtId="43" fontId="15" fillId="13" borderId="19" xfId="1" applyFont="1" applyFill="1" applyBorder="1"/>
    <xf numFmtId="0" fontId="15" fillId="13" borderId="0" xfId="0" applyFont="1" applyFill="1"/>
    <xf numFmtId="16" fontId="15" fillId="13" borderId="19" xfId="0" quotePrefix="1" applyNumberFormat="1" applyFont="1" applyFill="1" applyBorder="1" applyAlignment="1">
      <alignment horizontal="center" wrapText="1"/>
    </xf>
    <xf numFmtId="0" fontId="0" fillId="13" borderId="19" xfId="0" applyFill="1" applyBorder="1" applyAlignment="1">
      <alignment horizontal="center" wrapText="1"/>
    </xf>
    <xf numFmtId="0" fontId="5" fillId="13" borderId="27" xfId="0" applyFont="1" applyFill="1" applyBorder="1" applyAlignment="1">
      <alignment vertical="center" wrapText="1"/>
    </xf>
    <xf numFmtId="0" fontId="5" fillId="13" borderId="29" xfId="0" applyFont="1" applyFill="1" applyBorder="1" applyAlignment="1">
      <alignment vertical="center" wrapText="1"/>
    </xf>
    <xf numFmtId="0" fontId="1" fillId="19" borderId="19" xfId="0" applyFont="1" applyFill="1" applyBorder="1" applyAlignment="1">
      <alignment horizontal="center" wrapText="1"/>
    </xf>
    <xf numFmtId="43" fontId="5" fillId="0" borderId="27" xfId="1" applyFont="1" applyFill="1" applyBorder="1" applyAlignment="1">
      <alignment vertical="center" wrapText="1"/>
    </xf>
    <xf numFmtId="165" fontId="0" fillId="13" borderId="0" xfId="0" applyNumberFormat="1" applyFill="1"/>
    <xf numFmtId="43" fontId="0" fillId="13" borderId="0" xfId="0" applyNumberFormat="1" applyFill="1"/>
    <xf numFmtId="0" fontId="11" fillId="19" borderId="30" xfId="0" quotePrefix="1" applyFont="1" applyFill="1" applyBorder="1"/>
    <xf numFmtId="0" fontId="0" fillId="19" borderId="30" xfId="0" applyFill="1" applyBorder="1"/>
    <xf numFmtId="0" fontId="11" fillId="19" borderId="30" xfId="0" applyFont="1" applyFill="1" applyBorder="1" applyAlignment="1">
      <alignment horizontal="left" wrapText="1"/>
    </xf>
    <xf numFmtId="0" fontId="11" fillId="19" borderId="30" xfId="0" applyFont="1" applyFill="1" applyBorder="1" applyAlignment="1">
      <alignment horizontal="center" wrapText="1"/>
    </xf>
    <xf numFmtId="43" fontId="0" fillId="19" borderId="30" xfId="1" applyFont="1" applyFill="1" applyBorder="1"/>
    <xf numFmtId="165" fontId="17" fillId="19" borderId="30" xfId="1" applyNumberFormat="1" applyFont="1" applyFill="1" applyBorder="1" applyAlignment="1">
      <alignment horizontal="right"/>
    </xf>
    <xf numFmtId="43" fontId="1" fillId="19" borderId="27" xfId="1" applyFont="1" applyFill="1" applyBorder="1" applyAlignment="1">
      <alignment horizontal="right"/>
    </xf>
    <xf numFmtId="0" fontId="11" fillId="19" borderId="30" xfId="0" applyFont="1" applyFill="1" applyBorder="1" applyAlignment="1">
      <alignment horizontal="left"/>
    </xf>
    <xf numFmtId="43" fontId="1" fillId="19" borderId="30" xfId="1" applyFont="1" applyFill="1" applyBorder="1" applyAlignment="1">
      <alignment horizontal="right"/>
    </xf>
    <xf numFmtId="0" fontId="11" fillId="13" borderId="19" xfId="0" quotePrefix="1" applyFont="1" applyFill="1" applyBorder="1"/>
    <xf numFmtId="0" fontId="11" fillId="13" borderId="19" xfId="0" applyFont="1" applyFill="1" applyBorder="1" applyAlignment="1">
      <alignment horizontal="left" wrapText="1"/>
    </xf>
    <xf numFmtId="0" fontId="1" fillId="13" borderId="19" xfId="0" applyFont="1" applyFill="1" applyBorder="1" applyAlignment="1">
      <alignment horizontal="left" wrapText="1"/>
    </xf>
    <xf numFmtId="0" fontId="11" fillId="13" borderId="19" xfId="0" applyFont="1" applyFill="1" applyBorder="1"/>
    <xf numFmtId="0" fontId="1" fillId="0" borderId="19" xfId="0" quotePrefix="1" applyFont="1" applyFill="1" applyBorder="1" applyAlignment="1">
      <alignment horizontal="center" wrapText="1"/>
    </xf>
    <xf numFmtId="165" fontId="1" fillId="13" borderId="19" xfId="1" applyNumberFormat="1" applyFont="1" applyFill="1" applyBorder="1" applyAlignment="1">
      <alignment horizontal="right"/>
    </xf>
    <xf numFmtId="43" fontId="1" fillId="13" borderId="19" xfId="1" applyFont="1" applyFill="1" applyBorder="1" applyAlignment="1">
      <alignment horizontal="right" vertical="center"/>
    </xf>
    <xf numFmtId="0" fontId="11" fillId="16" borderId="19" xfId="0" quotePrefix="1" applyFont="1" applyFill="1" applyBorder="1"/>
    <xf numFmtId="0" fontId="0" fillId="16" borderId="19" xfId="0" applyFill="1" applyBorder="1"/>
    <xf numFmtId="0" fontId="0" fillId="16" borderId="19" xfId="0" applyFill="1" applyBorder="1" applyAlignment="1">
      <alignment horizontal="left" wrapText="1"/>
    </xf>
    <xf numFmtId="0" fontId="0" fillId="16" borderId="19" xfId="0" applyFill="1" applyBorder="1" applyAlignment="1">
      <alignment horizontal="center" wrapText="1"/>
    </xf>
    <xf numFmtId="43" fontId="0" fillId="16" borderId="19" xfId="1" applyFont="1" applyFill="1" applyBorder="1"/>
    <xf numFmtId="0" fontId="11" fillId="16" borderId="0" xfId="0" applyFont="1" applyFill="1"/>
    <xf numFmtId="0" fontId="0" fillId="16" borderId="0" xfId="0" applyFill="1"/>
    <xf numFmtId="0" fontId="1" fillId="16" borderId="19" xfId="0" applyFont="1" applyFill="1" applyBorder="1" applyAlignment="1">
      <alignment horizontal="left"/>
    </xf>
    <xf numFmtId="165" fontId="17" fillId="16" borderId="19" xfId="1" applyNumberFormat="1" applyFont="1" applyFill="1" applyBorder="1" applyAlignment="1">
      <alignment horizontal="right"/>
    </xf>
    <xf numFmtId="43" fontId="11" fillId="16" borderId="19" xfId="1" applyFont="1" applyFill="1" applyBorder="1" applyAlignment="1">
      <alignment horizontal="right"/>
    </xf>
    <xf numFmtId="0" fontId="15" fillId="16" borderId="19" xfId="0" applyFont="1" applyFill="1" applyBorder="1"/>
    <xf numFmtId="0" fontId="15" fillId="16" borderId="19" xfId="0" applyFont="1" applyFill="1" applyBorder="1" applyAlignment="1">
      <alignment horizontal="left" wrapText="1"/>
    </xf>
    <xf numFmtId="0" fontId="15" fillId="16" borderId="19" xfId="0" applyFont="1" applyFill="1" applyBorder="1" applyAlignment="1">
      <alignment horizontal="center" wrapText="1"/>
    </xf>
    <xf numFmtId="43" fontId="15" fillId="16" borderId="19" xfId="1" applyFont="1" applyFill="1" applyBorder="1"/>
    <xf numFmtId="16" fontId="15" fillId="16" borderId="19" xfId="0" quotePrefix="1" applyNumberFormat="1" applyFont="1" applyFill="1" applyBorder="1" applyAlignment="1">
      <alignment horizontal="center" wrapText="1"/>
    </xf>
    <xf numFmtId="0" fontId="1" fillId="13" borderId="27" xfId="0" applyFont="1" applyFill="1" applyBorder="1"/>
    <xf numFmtId="43" fontId="11" fillId="13" borderId="0" xfId="1" applyFont="1" applyFill="1" applyAlignment="1">
      <alignment horizontal="right"/>
    </xf>
    <xf numFmtId="0" fontId="5" fillId="13" borderId="27" xfId="0" applyFont="1" applyFill="1" applyBorder="1" applyAlignment="1">
      <alignment horizontal="left" vertical="center" wrapText="1"/>
    </xf>
    <xf numFmtId="0" fontId="5" fillId="13" borderId="27" xfId="0" applyFont="1" applyFill="1" applyBorder="1" applyAlignment="1">
      <alignment horizontal="center" vertical="center" wrapText="1"/>
    </xf>
    <xf numFmtId="43" fontId="0" fillId="13" borderId="27" xfId="1" applyFont="1" applyFill="1" applyBorder="1" applyAlignment="1">
      <alignment vertical="center" wrapText="1"/>
    </xf>
    <xf numFmtId="0" fontId="0" fillId="13" borderId="27" xfId="0" applyFill="1" applyBorder="1" applyAlignment="1">
      <alignment vertical="center" wrapText="1"/>
    </xf>
    <xf numFmtId="0" fontId="1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1" fillId="13" borderId="27" xfId="0" applyFont="1" applyFill="1" applyBorder="1" applyAlignment="1">
      <alignment horizontal="left" vertical="center" wrapText="1"/>
    </xf>
    <xf numFmtId="165" fontId="17" fillId="13" borderId="27" xfId="1" applyNumberFormat="1" applyFont="1" applyFill="1" applyBorder="1" applyAlignment="1">
      <alignment horizontal="left" vertical="center" wrapText="1"/>
    </xf>
    <xf numFmtId="43" fontId="1" fillId="13" borderId="27" xfId="1" applyFont="1" applyFill="1" applyBorder="1" applyAlignment="1">
      <alignment horizontal="left" vertical="center" wrapText="1"/>
    </xf>
    <xf numFmtId="0" fontId="5" fillId="13" borderId="29" xfId="0" applyFont="1" applyFill="1" applyBorder="1" applyAlignment="1">
      <alignment horizontal="left" vertical="center" wrapText="1"/>
    </xf>
    <xf numFmtId="0" fontId="5" fillId="13" borderId="29" xfId="0" applyFont="1" applyFill="1" applyBorder="1" applyAlignment="1">
      <alignment horizontal="center" vertical="center" wrapText="1"/>
    </xf>
    <xf numFmtId="43" fontId="0" fillId="13" borderId="29" xfId="1" applyFont="1" applyFill="1" applyBorder="1" applyAlignment="1">
      <alignment vertical="center" wrapText="1"/>
    </xf>
    <xf numFmtId="0" fontId="0" fillId="13" borderId="29" xfId="0" applyFill="1" applyBorder="1" applyAlignment="1">
      <alignment vertical="center" wrapText="1"/>
    </xf>
    <xf numFmtId="0" fontId="11" fillId="13" borderId="28" xfId="0" applyFont="1" applyFill="1" applyBorder="1" applyAlignment="1">
      <alignment vertical="center" wrapText="1"/>
    </xf>
    <xf numFmtId="0" fontId="0" fillId="13" borderId="28" xfId="0" applyFill="1" applyBorder="1" applyAlignment="1">
      <alignment vertical="center" wrapText="1"/>
    </xf>
    <xf numFmtId="0" fontId="11" fillId="13" borderId="29" xfId="0" applyFont="1" applyFill="1" applyBorder="1" applyAlignment="1">
      <alignment horizontal="left" vertical="center" wrapText="1"/>
    </xf>
    <xf numFmtId="165" fontId="18" fillId="13" borderId="29" xfId="1" applyNumberFormat="1" applyFont="1" applyFill="1" applyBorder="1" applyAlignment="1">
      <alignment horizontal="left" vertical="center" wrapText="1"/>
    </xf>
    <xf numFmtId="165" fontId="5" fillId="13" borderId="29" xfId="1" applyNumberFormat="1" applyFont="1" applyFill="1" applyBorder="1" applyAlignment="1">
      <alignment horizontal="left" vertical="center" wrapText="1"/>
    </xf>
    <xf numFmtId="0" fontId="0" fillId="13" borderId="19" xfId="0" applyFill="1" applyBorder="1" applyAlignment="1">
      <alignment horizontal="left"/>
    </xf>
    <xf numFmtId="0" fontId="11" fillId="13" borderId="0" xfId="0" applyFont="1" applyFill="1"/>
    <xf numFmtId="0" fontId="11" fillId="13" borderId="19" xfId="0" quotePrefix="1" applyFont="1" applyFill="1" applyBorder="1" applyAlignment="1">
      <alignment horizontal="left" wrapText="1"/>
    </xf>
    <xf numFmtId="0" fontId="15" fillId="13" borderId="19" xfId="0" quotePrefix="1" applyFont="1" applyFill="1" applyBorder="1"/>
    <xf numFmtId="0" fontId="15" fillId="13" borderId="19" xfId="0" applyFont="1" applyFill="1" applyBorder="1" applyAlignment="1">
      <alignment horizontal="center" wrapText="1"/>
    </xf>
    <xf numFmtId="164" fontId="11" fillId="13" borderId="19" xfId="1" applyNumberFormat="1" applyFont="1" applyFill="1" applyBorder="1" applyAlignment="1">
      <alignment horizontal="center" wrapText="1"/>
    </xf>
    <xf numFmtId="43" fontId="18" fillId="13" borderId="19" xfId="1" applyFont="1" applyFill="1" applyBorder="1" applyAlignment="1">
      <alignment horizontal="right"/>
    </xf>
    <xf numFmtId="0" fontId="15" fillId="13" borderId="27" xfId="0" applyFont="1" applyFill="1" applyBorder="1" applyAlignment="1">
      <alignment horizontal="center" wrapText="1"/>
    </xf>
    <xf numFmtId="43" fontId="15" fillId="13" borderId="27" xfId="1" applyFont="1" applyFill="1" applyBorder="1"/>
    <xf numFmtId="0" fontId="15" fillId="13" borderId="27" xfId="0" applyFont="1" applyFill="1" applyBorder="1"/>
    <xf numFmtId="0" fontId="5" fillId="13" borderId="0" xfId="0" applyFont="1" applyFill="1"/>
    <xf numFmtId="0" fontId="0" fillId="13" borderId="29" xfId="0" applyFill="1" applyBorder="1"/>
    <xf numFmtId="0" fontId="15" fillId="13" borderId="29" xfId="0" applyFont="1" applyFill="1" applyBorder="1" applyAlignment="1">
      <alignment horizontal="center" wrapText="1"/>
    </xf>
    <xf numFmtId="43" fontId="15" fillId="13" borderId="29" xfId="1" applyFont="1" applyFill="1" applyBorder="1"/>
    <xf numFmtId="0" fontId="15" fillId="13" borderId="29" xfId="0" applyFont="1" applyFill="1" applyBorder="1"/>
    <xf numFmtId="0" fontId="11" fillId="13" borderId="29" xfId="0" quotePrefix="1" applyFont="1" applyFill="1" applyBorder="1"/>
    <xf numFmtId="0" fontId="11" fillId="13" borderId="29" xfId="0" applyFont="1" applyFill="1" applyBorder="1" applyAlignment="1">
      <alignment horizontal="left" wrapText="1"/>
    </xf>
    <xf numFmtId="0" fontId="11" fillId="13" borderId="29" xfId="0" applyFont="1" applyFill="1" applyBorder="1" applyAlignment="1">
      <alignment horizontal="center" wrapText="1"/>
    </xf>
    <xf numFmtId="43" fontId="0" fillId="13" borderId="29" xfId="1" applyFont="1" applyFill="1" applyBorder="1"/>
    <xf numFmtId="0" fontId="1" fillId="13" borderId="0" xfId="0" applyFont="1" applyFill="1"/>
    <xf numFmtId="0" fontId="1" fillId="13" borderId="29" xfId="0" applyFont="1" applyFill="1" applyBorder="1" applyAlignment="1">
      <alignment horizontal="left"/>
    </xf>
    <xf numFmtId="0" fontId="11" fillId="13" borderId="19" xfId="0" applyFont="1" applyFill="1" applyBorder="1" applyAlignment="1">
      <alignment horizontal="center" wrapText="1"/>
    </xf>
    <xf numFmtId="164" fontId="1" fillId="13" borderId="19" xfId="0" applyNumberFormat="1" applyFont="1" applyFill="1" applyBorder="1" applyAlignment="1">
      <alignment horizontal="center" wrapText="1"/>
    </xf>
    <xf numFmtId="0" fontId="11" fillId="13" borderId="30" xfId="0" quotePrefix="1" applyFont="1" applyFill="1" applyBorder="1"/>
    <xf numFmtId="0" fontId="0" fillId="13" borderId="30" xfId="0" applyFill="1" applyBorder="1"/>
    <xf numFmtId="0" fontId="11" fillId="13" borderId="30" xfId="0" applyFont="1" applyFill="1" applyBorder="1" applyAlignment="1">
      <alignment horizontal="left" wrapText="1"/>
    </xf>
    <xf numFmtId="16" fontId="1" fillId="13" borderId="27" xfId="0" quotePrefix="1" applyNumberFormat="1" applyFont="1" applyFill="1" applyBorder="1" applyAlignment="1">
      <alignment horizontal="center" wrapText="1"/>
    </xf>
    <xf numFmtId="43" fontId="0" fillId="13" borderId="30" xfId="1" applyFont="1" applyFill="1" applyBorder="1"/>
    <xf numFmtId="0" fontId="1" fillId="13" borderId="30" xfId="0" applyFont="1" applyFill="1" applyBorder="1" applyAlignment="1">
      <alignment horizontal="left"/>
    </xf>
    <xf numFmtId="165" fontId="17" fillId="13" borderId="30" xfId="1" applyNumberFormat="1" applyFont="1" applyFill="1" applyBorder="1" applyAlignment="1">
      <alignment horizontal="right"/>
    </xf>
    <xf numFmtId="43" fontId="1" fillId="13" borderId="27" xfId="1" applyFont="1" applyFill="1" applyBorder="1" applyAlignment="1">
      <alignment horizontal="right"/>
    </xf>
    <xf numFmtId="16" fontId="1" fillId="13" borderId="19" xfId="0" quotePrefix="1" applyNumberFormat="1" applyFont="1" applyFill="1" applyBorder="1" applyAlignment="1">
      <alignment horizontal="center" wrapText="1"/>
    </xf>
    <xf numFmtId="16" fontId="1" fillId="13" borderId="29" xfId="0" quotePrefix="1" applyNumberFormat="1" applyFont="1" applyFill="1" applyBorder="1" applyAlignment="1">
      <alignment horizontal="center" wrapText="1"/>
    </xf>
    <xf numFmtId="0" fontId="0" fillId="13" borderId="0" xfId="0" applyFill="1" applyBorder="1"/>
    <xf numFmtId="0" fontId="0" fillId="13" borderId="19" xfId="0" applyFont="1" applyFill="1" applyBorder="1" applyAlignment="1">
      <alignment horizontal="left" wrapText="1"/>
    </xf>
    <xf numFmtId="0" fontId="1" fillId="13" borderId="19" xfId="0" quotePrefix="1" applyFont="1" applyFill="1" applyBorder="1"/>
    <xf numFmtId="43" fontId="1" fillId="13" borderId="19" xfId="1" applyFont="1" applyFill="1" applyBorder="1"/>
    <xf numFmtId="0" fontId="1" fillId="13" borderId="19" xfId="0" quotePrefix="1" applyFont="1" applyFill="1" applyBorder="1" applyAlignment="1">
      <alignment vertical="center"/>
    </xf>
    <xf numFmtId="0" fontId="1" fillId="13" borderId="19" xfId="0" applyFont="1" applyFill="1" applyBorder="1" applyAlignment="1">
      <alignment vertical="center"/>
    </xf>
    <xf numFmtId="0" fontId="1" fillId="13" borderId="19" xfId="0" applyFont="1" applyFill="1" applyBorder="1" applyAlignment="1">
      <alignment horizontal="left" vertical="center" wrapText="1"/>
    </xf>
    <xf numFmtId="16" fontId="1" fillId="13" borderId="19" xfId="0" quotePrefix="1" applyNumberFormat="1" applyFont="1" applyFill="1" applyBorder="1" applyAlignment="1">
      <alignment horizontal="center" vertical="center" wrapText="1"/>
    </xf>
    <xf numFmtId="43" fontId="1" fillId="13" borderId="19" xfId="1" applyFont="1" applyFill="1" applyBorder="1" applyAlignment="1">
      <alignment vertical="center"/>
    </xf>
    <xf numFmtId="0" fontId="1" fillId="13" borderId="0" xfId="0" applyFont="1" applyFill="1" applyAlignment="1">
      <alignment vertical="center"/>
    </xf>
    <xf numFmtId="165" fontId="15" fillId="13" borderId="19" xfId="1" applyNumberFormat="1" applyFont="1" applyFill="1" applyBorder="1" applyAlignment="1">
      <alignment horizontal="right" vertical="center"/>
    </xf>
    <xf numFmtId="0" fontId="1" fillId="13" borderId="27" xfId="0" applyFont="1" applyFill="1" applyBorder="1" applyAlignment="1">
      <alignment horizontal="left" wrapText="1"/>
    </xf>
    <xf numFmtId="165" fontId="1" fillId="13" borderId="27" xfId="1" applyNumberFormat="1" applyFont="1" applyFill="1" applyBorder="1" applyAlignment="1">
      <alignment horizontal="right"/>
    </xf>
    <xf numFmtId="43" fontId="11" fillId="13" borderId="19" xfId="1" applyFont="1" applyFill="1" applyBorder="1" applyAlignment="1">
      <alignment horizontal="left"/>
    </xf>
    <xf numFmtId="2" fontId="0" fillId="13" borderId="19" xfId="0" quotePrefix="1" applyNumberFormat="1" applyFill="1" applyBorder="1" applyAlignment="1">
      <alignment horizontal="center" wrapText="1"/>
    </xf>
    <xf numFmtId="0" fontId="1" fillId="13" borderId="19" xfId="0" quotePrefix="1" applyFont="1" applyFill="1" applyBorder="1" applyAlignment="1">
      <alignment horizontal="left"/>
    </xf>
    <xf numFmtId="0" fontId="15" fillId="13" borderId="27" xfId="0" applyFont="1" applyFill="1" applyBorder="1" applyAlignment="1">
      <alignment horizontal="left"/>
    </xf>
    <xf numFmtId="0" fontId="11" fillId="13" borderId="0" xfId="0" quotePrefix="1" applyFont="1" applyFill="1" applyBorder="1"/>
    <xf numFmtId="0" fontId="15" fillId="13" borderId="0" xfId="0" applyFont="1" applyFill="1" applyBorder="1" applyAlignment="1">
      <alignment horizontal="center" wrapText="1"/>
    </xf>
    <xf numFmtId="43" fontId="15" fillId="13" borderId="0" xfId="1" applyFont="1" applyFill="1" applyBorder="1"/>
    <xf numFmtId="0" fontId="15" fillId="13" borderId="0" xfId="0" applyFont="1" applyFill="1" applyBorder="1"/>
    <xf numFmtId="43" fontId="11" fillId="13" borderId="0" xfId="1" applyFont="1" applyFill="1" applyBorder="1" applyAlignment="1">
      <alignment horizontal="right"/>
    </xf>
    <xf numFmtId="0" fontId="1" fillId="13" borderId="29" xfId="0" applyFont="1" applyFill="1" applyBorder="1"/>
    <xf numFmtId="0" fontId="1" fillId="13" borderId="29" xfId="0" applyFont="1" applyFill="1" applyBorder="1" applyAlignment="1">
      <alignment horizontal="left" wrapText="1"/>
    </xf>
    <xf numFmtId="0" fontId="16" fillId="16" borderId="28" xfId="0" applyFont="1" applyFill="1" applyBorder="1" applyAlignment="1"/>
    <xf numFmtId="0" fontId="11" fillId="16" borderId="0" xfId="0" applyFont="1" applyFill="1" applyAlignment="1">
      <alignment horizontal="left"/>
    </xf>
    <xf numFmtId="165" fontId="17" fillId="16" borderId="0" xfId="1" applyNumberFormat="1" applyFont="1" applyFill="1" applyAlignment="1">
      <alignment horizontal="right"/>
    </xf>
    <xf numFmtId="43" fontId="11" fillId="16" borderId="0" xfId="1" applyFont="1" applyFill="1" applyAlignment="1">
      <alignment horizontal="right"/>
    </xf>
    <xf numFmtId="0" fontId="0" fillId="16" borderId="19" xfId="0" applyFill="1" applyBorder="1" applyAlignment="1">
      <alignment horizontal="left"/>
    </xf>
    <xf numFmtId="164" fontId="11" fillId="16" borderId="19" xfId="1" applyNumberFormat="1" applyFont="1" applyFill="1" applyBorder="1" applyAlignment="1">
      <alignment horizontal="center" wrapText="1"/>
    </xf>
    <xf numFmtId="0" fontId="11" fillId="16" borderId="19" xfId="0" applyFont="1" applyFill="1" applyBorder="1" applyAlignment="1">
      <alignment horizontal="left"/>
    </xf>
    <xf numFmtId="0" fontId="0" fillId="16" borderId="19" xfId="0" applyFont="1" applyFill="1" applyBorder="1" applyAlignment="1">
      <alignment horizontal="left" wrapText="1"/>
    </xf>
    <xf numFmtId="0" fontId="11" fillId="16" borderId="19" xfId="0" applyFont="1" applyFill="1" applyBorder="1" applyAlignment="1">
      <alignment horizontal="left" wrapText="1"/>
    </xf>
    <xf numFmtId="0" fontId="11" fillId="13" borderId="31" xfId="0" applyFont="1" applyFill="1" applyBorder="1"/>
    <xf numFmtId="0" fontId="0" fillId="13" borderId="32" xfId="0" applyFill="1" applyBorder="1"/>
    <xf numFmtId="0" fontId="1" fillId="13" borderId="31" xfId="0" applyFont="1" applyFill="1" applyBorder="1"/>
    <xf numFmtId="43" fontId="1" fillId="13" borderId="0" xfId="0" applyNumberFormat="1" applyFont="1" applyFill="1"/>
    <xf numFmtId="43" fontId="1" fillId="13" borderId="19" xfId="1" applyFont="1" applyFill="1" applyBorder="1" applyAlignment="1">
      <alignment horizontal="left"/>
    </xf>
    <xf numFmtId="0" fontId="0" fillId="0" borderId="4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 vertical="top" wrapText="1"/>
    </xf>
    <xf numFmtId="49" fontId="4" fillId="5" borderId="7" xfId="0" applyNumberFormat="1" applyFont="1" applyFill="1" applyBorder="1" applyAlignment="1">
      <alignment horizontal="center" vertical="top" wrapText="1"/>
    </xf>
    <xf numFmtId="0" fontId="5" fillId="9" borderId="19" xfId="0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Normal 2" xfId="3"/>
  </cellStyles>
  <dxfs count="66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9" defaultPivotStyle="PivotStyleLight16"/>
  <colors>
    <mruColors>
      <color rgb="FF70AE1E"/>
      <color rgb="FFC00C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0</xdr:rowOff>
    </xdr:from>
    <xdr:to>
      <xdr:col>6</xdr:col>
      <xdr:colOff>400050</xdr:colOff>
      <xdr:row>4</xdr:row>
      <xdr:rowOff>161925</xdr:rowOff>
    </xdr:to>
    <xdr:pic>
      <xdr:nvPicPr>
        <xdr:cNvPr id="10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5" y="0"/>
          <a:ext cx="6972300" cy="8096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17"/>
  <sheetViews>
    <sheetView workbookViewId="0">
      <selection activeCell="D38" sqref="D38"/>
    </sheetView>
  </sheetViews>
  <sheetFormatPr defaultRowHeight="12.75"/>
  <cols>
    <col min="2" max="2" width="15.7109375" customWidth="1"/>
    <col min="3" max="3" width="10.85546875" customWidth="1"/>
    <col min="4" max="4" width="36.7109375" customWidth="1"/>
    <col min="5" max="6" width="17.7109375" customWidth="1"/>
    <col min="7" max="7" width="9.28515625" customWidth="1"/>
  </cols>
  <sheetData>
    <row r="1" spans="2:7">
      <c r="B1" s="3"/>
      <c r="C1" s="4"/>
      <c r="D1" s="4"/>
      <c r="E1" s="4"/>
      <c r="F1" s="4"/>
      <c r="G1" s="5"/>
    </row>
    <row r="2" spans="2:7">
      <c r="B2" s="6"/>
      <c r="C2" s="7"/>
      <c r="D2" s="7"/>
      <c r="E2" s="7"/>
      <c r="F2" s="7"/>
      <c r="G2" s="8"/>
    </row>
    <row r="3" spans="2:7">
      <c r="B3" s="6"/>
      <c r="C3" s="7"/>
      <c r="D3" s="7"/>
      <c r="E3" s="7"/>
      <c r="F3" s="7"/>
      <c r="G3" s="8"/>
    </row>
    <row r="4" spans="2:7">
      <c r="B4" s="6"/>
      <c r="C4" s="7"/>
      <c r="D4" s="7"/>
      <c r="E4" s="7"/>
      <c r="F4" s="7"/>
      <c r="G4" s="8"/>
    </row>
    <row r="5" spans="2:7">
      <c r="B5" s="6"/>
      <c r="C5" s="7"/>
      <c r="D5" s="7"/>
      <c r="E5" s="7"/>
      <c r="F5" s="7"/>
      <c r="G5" s="8"/>
    </row>
    <row r="6" spans="2:7">
      <c r="B6" s="394"/>
      <c r="C6" s="394"/>
      <c r="D6" s="394"/>
      <c r="E6" s="394"/>
      <c r="F6" s="394"/>
      <c r="G6" s="394"/>
    </row>
    <row r="7" spans="2:7">
      <c r="B7" s="394"/>
      <c r="C7" s="394"/>
      <c r="D7" s="394"/>
      <c r="E7" s="394"/>
      <c r="F7" s="394"/>
      <c r="G7" s="394"/>
    </row>
    <row r="8" spans="2:7">
      <c r="B8" s="394" t="s">
        <v>24</v>
      </c>
      <c r="C8" s="394"/>
      <c r="D8" s="394"/>
      <c r="E8" s="394"/>
      <c r="F8" s="394"/>
      <c r="G8" s="394"/>
    </row>
    <row r="9" spans="2:7" ht="12.95" customHeight="1">
      <c r="B9" s="395" t="s">
        <v>40</v>
      </c>
      <c r="C9" s="395"/>
      <c r="D9" s="395"/>
      <c r="E9" s="395"/>
      <c r="F9" s="395"/>
      <c r="G9" s="395"/>
    </row>
    <row r="10" spans="2:7">
      <c r="B10" s="395"/>
      <c r="C10" s="395"/>
      <c r="D10" s="395"/>
      <c r="E10" s="395"/>
      <c r="F10" s="395"/>
      <c r="G10" s="395"/>
    </row>
    <row r="11" spans="2:7">
      <c r="B11" s="9"/>
      <c r="C11" s="10"/>
      <c r="D11" s="10"/>
      <c r="E11" s="10"/>
      <c r="F11" s="10"/>
      <c r="G11" s="11"/>
    </row>
    <row r="12" spans="2:7">
      <c r="B12" s="9"/>
      <c r="C12" s="12"/>
      <c r="D12" s="12" t="s">
        <v>25</v>
      </c>
      <c r="E12" s="12" t="s">
        <v>26</v>
      </c>
      <c r="F12" s="12" t="s">
        <v>27</v>
      </c>
      <c r="G12" s="11"/>
    </row>
    <row r="13" spans="2:7">
      <c r="B13" s="392"/>
      <c r="C13" s="13" t="s">
        <v>28</v>
      </c>
      <c r="D13" s="43" t="s">
        <v>41</v>
      </c>
      <c r="E13" s="14"/>
      <c r="F13" s="15"/>
      <c r="G13" s="11"/>
    </row>
    <row r="14" spans="2:7">
      <c r="B14" s="392"/>
      <c r="C14" s="13" t="s">
        <v>29</v>
      </c>
      <c r="D14" s="43" t="s">
        <v>42</v>
      </c>
      <c r="E14" s="14"/>
      <c r="F14" s="15"/>
      <c r="G14" s="11"/>
    </row>
    <row r="15" spans="2:7">
      <c r="B15" s="392"/>
      <c r="C15" s="13" t="s">
        <v>30</v>
      </c>
      <c r="D15" s="16">
        <v>40772</v>
      </c>
      <c r="E15" s="14"/>
      <c r="F15" s="17"/>
      <c r="G15" s="11"/>
    </row>
    <row r="16" spans="2:7">
      <c r="B16" s="9"/>
      <c r="C16" s="10"/>
      <c r="D16" s="10"/>
      <c r="E16" s="10"/>
      <c r="F16" s="10"/>
      <c r="G16" s="18"/>
    </row>
    <row r="17" spans="2:7" ht="13.5" thickBot="1">
      <c r="B17" s="393"/>
      <c r="C17" s="393"/>
      <c r="D17" s="393"/>
      <c r="E17" s="393"/>
      <c r="F17" s="393"/>
      <c r="G17" s="393"/>
    </row>
  </sheetData>
  <mergeCells count="6">
    <mergeCell ref="B13:B15"/>
    <mergeCell ref="B17:G17"/>
    <mergeCell ref="B6:G6"/>
    <mergeCell ref="B7:G7"/>
    <mergeCell ref="B8:G8"/>
    <mergeCell ref="B9:G10"/>
  </mergeCells>
  <phoneticPr fontId="2" type="noConversion"/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C40" sqref="C40"/>
    </sheetView>
  </sheetViews>
  <sheetFormatPr defaultRowHeight="12.75"/>
  <cols>
    <col min="2" max="2" width="21.85546875" bestFit="1" customWidth="1"/>
  </cols>
  <sheetData>
    <row r="1" spans="1:2">
      <c r="A1" s="55" t="s">
        <v>9</v>
      </c>
      <c r="B1" s="55" t="s">
        <v>154</v>
      </c>
    </row>
    <row r="2" spans="1:2">
      <c r="A2" s="56" t="s">
        <v>155</v>
      </c>
      <c r="B2" s="57" t="s">
        <v>156</v>
      </c>
    </row>
    <row r="3" spans="1:2">
      <c r="A3" s="57" t="s">
        <v>157</v>
      </c>
      <c r="B3" s="57" t="s">
        <v>158</v>
      </c>
    </row>
    <row r="4" spans="1:2">
      <c r="A4" s="57" t="s">
        <v>159</v>
      </c>
      <c r="B4" s="57" t="s">
        <v>160</v>
      </c>
    </row>
    <row r="5" spans="1:2">
      <c r="A5" s="57" t="s">
        <v>161</v>
      </c>
      <c r="B5" s="57" t="s">
        <v>162</v>
      </c>
    </row>
  </sheetData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C40" sqref="C40"/>
    </sheetView>
  </sheetViews>
  <sheetFormatPr defaultRowHeight="12.75"/>
  <cols>
    <col min="2" max="2" width="11.140625" bestFit="1" customWidth="1"/>
    <col min="4" max="4" width="34.7109375" bestFit="1" customWidth="1"/>
  </cols>
  <sheetData>
    <row r="1" spans="1:4" ht="13.5" thickBot="1">
      <c r="A1" s="58" t="s">
        <v>11</v>
      </c>
      <c r="B1" s="58" t="s">
        <v>164</v>
      </c>
      <c r="C1" s="58" t="s">
        <v>177</v>
      </c>
      <c r="D1" s="58" t="s">
        <v>178</v>
      </c>
    </row>
    <row r="2" spans="1:4" ht="13.5" thickBot="1">
      <c r="A2" s="63">
        <v>10</v>
      </c>
      <c r="B2" s="64" t="s">
        <v>271</v>
      </c>
      <c r="C2" s="64" t="s">
        <v>155</v>
      </c>
      <c r="D2" s="65" t="s">
        <v>169</v>
      </c>
    </row>
    <row r="3" spans="1:4" ht="26.25" thickBot="1">
      <c r="A3" s="66">
        <v>11</v>
      </c>
      <c r="B3" s="67" t="s">
        <v>170</v>
      </c>
      <c r="C3" s="67" t="s">
        <v>155</v>
      </c>
      <c r="D3" s="68" t="s">
        <v>171</v>
      </c>
    </row>
    <row r="4" spans="1:4" ht="26.25" thickBot="1">
      <c r="A4" s="66">
        <v>12</v>
      </c>
      <c r="B4" s="67" t="s">
        <v>172</v>
      </c>
      <c r="C4" s="67" t="s">
        <v>155</v>
      </c>
      <c r="D4" s="69" t="s">
        <v>272</v>
      </c>
    </row>
    <row r="5" spans="1:4" ht="26.25" thickBot="1">
      <c r="A5" s="66">
        <v>13</v>
      </c>
      <c r="B5" s="67" t="s">
        <v>173</v>
      </c>
      <c r="C5" s="67" t="s">
        <v>155</v>
      </c>
      <c r="D5" s="69" t="s">
        <v>273</v>
      </c>
    </row>
    <row r="6" spans="1:4" ht="26.25" thickBot="1">
      <c r="A6" s="66">
        <v>14</v>
      </c>
      <c r="B6" s="67" t="s">
        <v>274</v>
      </c>
      <c r="C6" s="67" t="s">
        <v>155</v>
      </c>
      <c r="D6" s="70" t="s">
        <v>174</v>
      </c>
    </row>
    <row r="7" spans="1:4" ht="13.5" thickBot="1">
      <c r="A7" s="66">
        <v>15</v>
      </c>
      <c r="B7" s="67" t="s">
        <v>275</v>
      </c>
      <c r="C7" s="67" t="s">
        <v>157</v>
      </c>
      <c r="D7" s="69" t="s">
        <v>275</v>
      </c>
    </row>
    <row r="8" spans="1:4" ht="13.5" thickBot="1">
      <c r="A8" s="66">
        <v>16</v>
      </c>
      <c r="B8" s="67" t="s">
        <v>276</v>
      </c>
      <c r="C8" s="67" t="s">
        <v>157</v>
      </c>
      <c r="D8" s="69" t="s">
        <v>277</v>
      </c>
    </row>
    <row r="9" spans="1:4" ht="13.5" thickBot="1">
      <c r="A9" s="66">
        <v>17</v>
      </c>
      <c r="B9" s="67" t="s">
        <v>278</v>
      </c>
      <c r="C9" s="67" t="s">
        <v>157</v>
      </c>
      <c r="D9" s="69" t="s">
        <v>278</v>
      </c>
    </row>
    <row r="10" spans="1:4" ht="26.25" thickBot="1">
      <c r="A10" s="66">
        <v>18</v>
      </c>
      <c r="B10" s="67" t="s">
        <v>279</v>
      </c>
      <c r="C10" s="67" t="s">
        <v>159</v>
      </c>
      <c r="D10" s="69" t="s">
        <v>279</v>
      </c>
    </row>
    <row r="11" spans="1:4" ht="13.5" thickBot="1">
      <c r="A11" s="66">
        <v>19</v>
      </c>
      <c r="B11" s="67" t="s">
        <v>175</v>
      </c>
      <c r="C11" s="67" t="s">
        <v>159</v>
      </c>
      <c r="D11" s="69" t="s">
        <v>280</v>
      </c>
    </row>
    <row r="12" spans="1:4" ht="13.5" thickBot="1">
      <c r="A12" s="66">
        <v>20</v>
      </c>
      <c r="B12" s="67" t="s">
        <v>281</v>
      </c>
      <c r="C12" s="67" t="s">
        <v>161</v>
      </c>
      <c r="D12" s="69" t="s">
        <v>281</v>
      </c>
    </row>
    <row r="13" spans="1:4" ht="13.5" thickBot="1">
      <c r="A13" s="66">
        <v>21</v>
      </c>
      <c r="B13" s="67" t="s">
        <v>282</v>
      </c>
      <c r="C13" s="67" t="s">
        <v>161</v>
      </c>
      <c r="D13" s="68" t="s">
        <v>282</v>
      </c>
    </row>
    <row r="14" spans="1:4" ht="13.5" thickBot="1">
      <c r="A14" s="66">
        <v>22</v>
      </c>
      <c r="B14" s="67" t="s">
        <v>176</v>
      </c>
      <c r="C14" s="67" t="s">
        <v>161</v>
      </c>
      <c r="D14" s="68" t="s">
        <v>176</v>
      </c>
    </row>
    <row r="15" spans="1:4" ht="26.25" thickBot="1">
      <c r="A15" s="66">
        <v>23</v>
      </c>
      <c r="B15" s="67" t="s">
        <v>283</v>
      </c>
      <c r="C15" s="67" t="s">
        <v>284</v>
      </c>
      <c r="D15" s="68" t="s">
        <v>285</v>
      </c>
    </row>
    <row r="16" spans="1:4" ht="26.25" thickBot="1">
      <c r="A16" s="66">
        <v>24</v>
      </c>
      <c r="B16" s="67" t="s">
        <v>286</v>
      </c>
      <c r="C16" s="67" t="s">
        <v>284</v>
      </c>
      <c r="D16" s="68" t="s">
        <v>287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C40" sqref="C40"/>
    </sheetView>
  </sheetViews>
  <sheetFormatPr defaultRowHeight="12.75"/>
  <cols>
    <col min="2" max="2" width="19.140625" bestFit="1" customWidth="1"/>
  </cols>
  <sheetData>
    <row r="1" spans="1:2">
      <c r="A1" s="397" t="s">
        <v>10</v>
      </c>
      <c r="B1" s="397"/>
    </row>
    <row r="2" spans="1:2">
      <c r="A2" s="58" t="s">
        <v>163</v>
      </c>
      <c r="B2" s="58" t="s">
        <v>164</v>
      </c>
    </row>
    <row r="3" spans="1:2">
      <c r="A3" s="59">
        <v>10</v>
      </c>
      <c r="B3" s="60" t="s">
        <v>165</v>
      </c>
    </row>
    <row r="4" spans="1:2">
      <c r="A4" s="59">
        <v>11</v>
      </c>
      <c r="B4" s="61" t="s">
        <v>166</v>
      </c>
    </row>
    <row r="5" spans="1:2">
      <c r="A5" s="62">
        <v>12</v>
      </c>
      <c r="B5" s="60" t="s">
        <v>167</v>
      </c>
    </row>
    <row r="6" spans="1:2">
      <c r="A6" s="59">
        <v>13</v>
      </c>
      <c r="B6" s="61" t="s">
        <v>168</v>
      </c>
    </row>
  </sheetData>
  <mergeCells count="1">
    <mergeCell ref="A1:B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40" sqref="C40"/>
    </sheetView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1"/>
  <sheetViews>
    <sheetView workbookViewId="0">
      <selection activeCell="C23" sqref="C23"/>
    </sheetView>
  </sheetViews>
  <sheetFormatPr defaultRowHeight="12.75"/>
  <cols>
    <col min="3" max="3" width="23.7109375" customWidth="1"/>
    <col min="4" max="4" width="26.7109375" customWidth="1"/>
    <col min="5" max="5" width="25.7109375" customWidth="1"/>
  </cols>
  <sheetData>
    <row r="1" spans="2:5" ht="13.5" thickBot="1"/>
    <row r="2" spans="2:5" ht="13.35" customHeight="1" thickBot="1">
      <c r="B2" s="396" t="s">
        <v>31</v>
      </c>
      <c r="C2" s="396"/>
      <c r="D2" s="396"/>
      <c r="E2" s="396"/>
    </row>
    <row r="3" spans="2:5" ht="26.25" thickBot="1">
      <c r="B3" s="19" t="s">
        <v>32</v>
      </c>
      <c r="C3" s="20" t="s">
        <v>30</v>
      </c>
      <c r="D3" s="21" t="s">
        <v>33</v>
      </c>
      <c r="E3" s="22" t="s">
        <v>34</v>
      </c>
    </row>
    <row r="4" spans="2:5">
      <c r="B4" s="42" t="s">
        <v>35</v>
      </c>
      <c r="C4" s="23">
        <v>40772</v>
      </c>
      <c r="D4" s="44" t="s">
        <v>39</v>
      </c>
      <c r="E4" s="25" t="s">
        <v>36</v>
      </c>
    </row>
    <row r="5" spans="2:5">
      <c r="B5" s="26"/>
      <c r="C5" s="27"/>
      <c r="D5" s="24"/>
      <c r="E5" s="25"/>
    </row>
    <row r="6" spans="2:5" ht="13.5">
      <c r="B6" s="28"/>
      <c r="C6" s="29"/>
      <c r="D6" s="30"/>
      <c r="E6" s="31"/>
    </row>
    <row r="7" spans="2:5">
      <c r="B7" s="32"/>
      <c r="C7" s="33"/>
      <c r="D7" s="34"/>
      <c r="E7" s="35"/>
    </row>
    <row r="8" spans="2:5">
      <c r="B8" s="32"/>
      <c r="C8" s="34"/>
      <c r="D8" s="34"/>
      <c r="E8" s="36"/>
    </row>
    <row r="9" spans="2:5">
      <c r="B9" s="32"/>
      <c r="C9" s="34"/>
      <c r="D9" s="34"/>
      <c r="E9" s="36"/>
    </row>
    <row r="10" spans="2:5">
      <c r="B10" s="32"/>
      <c r="C10" s="34"/>
      <c r="D10" s="34"/>
      <c r="E10" s="36"/>
    </row>
    <row r="11" spans="2:5" ht="13.5" thickBot="1">
      <c r="B11" s="37"/>
      <c r="C11" s="38"/>
      <c r="D11" s="38"/>
      <c r="E11" s="39"/>
    </row>
  </sheetData>
  <mergeCells count="1">
    <mergeCell ref="B2:E2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B6"/>
  <sheetViews>
    <sheetView workbookViewId="0">
      <selection activeCell="C23" sqref="C23"/>
    </sheetView>
  </sheetViews>
  <sheetFormatPr defaultRowHeight="12.75"/>
  <cols>
    <col min="2" max="2" width="25.28515625" customWidth="1"/>
  </cols>
  <sheetData>
    <row r="1" spans="2:2" ht="18">
      <c r="B1" s="41" t="s">
        <v>37</v>
      </c>
    </row>
    <row r="2" spans="2:2">
      <c r="B2" s="40"/>
    </row>
    <row r="3" spans="2:2">
      <c r="B3" s="40" t="s">
        <v>43</v>
      </c>
    </row>
    <row r="4" spans="2:2">
      <c r="B4" s="7" t="s">
        <v>44</v>
      </c>
    </row>
    <row r="5" spans="2:2">
      <c r="B5" s="7"/>
    </row>
    <row r="6" spans="2:2">
      <c r="B6" s="7"/>
    </row>
  </sheetData>
  <phoneticPr fontId="2" type="noConversion"/>
  <hyperlinks>
    <hyperlink ref="B2" location="Purchasing Organization!A1" display="Salea Area Data"/>
  </hyperlink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  <pageSetUpPr fitToPage="1"/>
  </sheetPr>
  <dimension ref="A1:K229"/>
  <sheetViews>
    <sheetView topLeftCell="A2" workbookViewId="0">
      <selection activeCell="C23" sqref="C23"/>
    </sheetView>
  </sheetViews>
  <sheetFormatPr defaultRowHeight="12.75"/>
  <cols>
    <col min="1" max="1" width="13.42578125" customWidth="1"/>
    <col min="2" max="2" width="9.28515625" customWidth="1"/>
    <col min="3" max="3" width="15" style="94" customWidth="1"/>
    <col min="4" max="4" width="14" style="94" customWidth="1"/>
    <col min="5" max="5" width="12.42578125" style="94" customWidth="1"/>
    <col min="6" max="6" width="9.7109375" style="94" customWidth="1"/>
    <col min="7" max="7" width="20.28515625" style="113" customWidth="1"/>
    <col min="8" max="8" width="14.5703125" style="94" customWidth="1"/>
    <col min="9" max="9" width="11" customWidth="1"/>
    <col min="10" max="10" width="10.42578125" customWidth="1"/>
  </cols>
  <sheetData>
    <row r="1" spans="1:10" ht="23.25" hidden="1" customHeight="1">
      <c r="A1" s="1" t="s">
        <v>16</v>
      </c>
      <c r="B1" s="2" t="s">
        <v>0</v>
      </c>
      <c r="C1" s="93" t="s">
        <v>1</v>
      </c>
      <c r="D1" s="93" t="s">
        <v>2</v>
      </c>
      <c r="E1" s="93" t="s">
        <v>3</v>
      </c>
      <c r="F1" s="93" t="s">
        <v>4</v>
      </c>
      <c r="G1" s="111" t="s">
        <v>5</v>
      </c>
      <c r="H1" s="93" t="s">
        <v>6</v>
      </c>
      <c r="I1" s="2" t="s">
        <v>22</v>
      </c>
      <c r="J1" s="2">
        <v>13333</v>
      </c>
    </row>
    <row r="2" spans="1:10" s="71" customFormat="1" ht="46.5" customHeight="1">
      <c r="A2" s="71" t="s">
        <v>17</v>
      </c>
      <c r="B2" s="96" t="s">
        <v>7</v>
      </c>
      <c r="C2" s="97" t="s">
        <v>8</v>
      </c>
      <c r="D2" s="97" t="s">
        <v>9</v>
      </c>
      <c r="E2" s="97" t="s">
        <v>10</v>
      </c>
      <c r="F2" s="97" t="s">
        <v>11</v>
      </c>
      <c r="G2" s="112" t="s">
        <v>38</v>
      </c>
      <c r="H2" s="97" t="s">
        <v>12</v>
      </c>
      <c r="I2" s="96" t="s">
        <v>20</v>
      </c>
      <c r="J2" s="96" t="s">
        <v>21</v>
      </c>
    </row>
    <row r="3" spans="1:10" ht="21" hidden="1" customHeight="1">
      <c r="A3" s="1" t="s">
        <v>18</v>
      </c>
      <c r="B3" t="s">
        <v>13</v>
      </c>
      <c r="C3" s="94" t="s">
        <v>13</v>
      </c>
      <c r="D3" s="94" t="s">
        <v>13</v>
      </c>
      <c r="E3" s="94" t="s">
        <v>13</v>
      </c>
      <c r="F3" s="94" t="s">
        <v>13</v>
      </c>
      <c r="G3" s="113" t="s">
        <v>14</v>
      </c>
      <c r="H3" s="94" t="s">
        <v>15</v>
      </c>
      <c r="I3" t="s">
        <v>23</v>
      </c>
      <c r="J3" t="s">
        <v>23</v>
      </c>
    </row>
    <row r="4" spans="1:10" ht="24" customHeight="1">
      <c r="A4" s="1" t="s">
        <v>19</v>
      </c>
      <c r="B4" s="89">
        <v>4</v>
      </c>
      <c r="C4" s="89">
        <v>2</v>
      </c>
      <c r="D4" s="89">
        <v>4</v>
      </c>
      <c r="E4" s="89">
        <v>2</v>
      </c>
      <c r="F4" s="89">
        <v>2</v>
      </c>
      <c r="G4" s="114">
        <v>16</v>
      </c>
      <c r="H4" s="89">
        <v>3</v>
      </c>
      <c r="I4" s="89">
        <v>8</v>
      </c>
      <c r="J4" s="89">
        <v>8</v>
      </c>
    </row>
    <row r="5" spans="1:10">
      <c r="B5" t="s">
        <v>152</v>
      </c>
      <c r="C5" s="94" t="e">
        <f>+#REF!</f>
        <v>#REF!</v>
      </c>
      <c r="D5" s="94" t="s">
        <v>153</v>
      </c>
      <c r="E5" s="94">
        <v>10</v>
      </c>
      <c r="F5" s="94">
        <v>12</v>
      </c>
      <c r="G5" s="113" t="e">
        <f>+#REF!</f>
        <v>#REF!</v>
      </c>
      <c r="H5" s="95" t="s">
        <v>288</v>
      </c>
      <c r="I5" s="109" t="s">
        <v>420</v>
      </c>
      <c r="J5" s="109" t="s">
        <v>418</v>
      </c>
    </row>
    <row r="6" spans="1:10">
      <c r="B6" t="s">
        <v>152</v>
      </c>
      <c r="C6" s="94" t="e">
        <f>+#REF!</f>
        <v>#REF!</v>
      </c>
      <c r="D6" s="94" t="s">
        <v>153</v>
      </c>
      <c r="E6" s="94">
        <v>10</v>
      </c>
      <c r="F6" s="94">
        <v>12</v>
      </c>
      <c r="G6" s="113" t="e">
        <f>+#REF!</f>
        <v>#REF!</v>
      </c>
      <c r="H6" s="95" t="s">
        <v>288</v>
      </c>
      <c r="I6" s="108" t="str">
        <f>+$I$5</f>
        <v>19.05.2014</v>
      </c>
      <c r="J6" s="109" t="str">
        <f>+J5</f>
        <v>31.12.2014</v>
      </c>
    </row>
    <row r="7" spans="1:10">
      <c r="B7" t="s">
        <v>152</v>
      </c>
      <c r="C7" s="94" t="e">
        <f>+#REF!</f>
        <v>#REF!</v>
      </c>
      <c r="D7" s="94" t="s">
        <v>153</v>
      </c>
      <c r="E7" s="94">
        <v>10</v>
      </c>
      <c r="F7" s="94">
        <v>12</v>
      </c>
      <c r="G7" s="113" t="e">
        <f>+#REF!</f>
        <v>#REF!</v>
      </c>
      <c r="H7" s="95" t="s">
        <v>288</v>
      </c>
      <c r="I7" s="108" t="str">
        <f t="shared" ref="I7:I70" si="0">+$I$5</f>
        <v>19.05.2014</v>
      </c>
      <c r="J7" s="109" t="str">
        <f t="shared" ref="J7:J70" si="1">+J6</f>
        <v>31.12.2014</v>
      </c>
    </row>
    <row r="8" spans="1:10">
      <c r="B8" t="s">
        <v>152</v>
      </c>
      <c r="C8" s="94" t="e">
        <f>+#REF!</f>
        <v>#REF!</v>
      </c>
      <c r="D8" s="94" t="s">
        <v>153</v>
      </c>
      <c r="E8" s="94">
        <v>10</v>
      </c>
      <c r="F8" s="94">
        <v>12</v>
      </c>
      <c r="G8" s="113" t="e">
        <f>+#REF!</f>
        <v>#REF!</v>
      </c>
      <c r="H8" s="95" t="s">
        <v>288</v>
      </c>
      <c r="I8" s="108" t="str">
        <f t="shared" si="0"/>
        <v>19.05.2014</v>
      </c>
      <c r="J8" s="109" t="str">
        <f t="shared" si="1"/>
        <v>31.12.2014</v>
      </c>
    </row>
    <row r="9" spans="1:10">
      <c r="B9" t="s">
        <v>152</v>
      </c>
      <c r="C9" s="94" t="e">
        <f>+#REF!</f>
        <v>#REF!</v>
      </c>
      <c r="D9" s="94" t="s">
        <v>153</v>
      </c>
      <c r="E9" s="94">
        <v>10</v>
      </c>
      <c r="F9" s="94">
        <v>12</v>
      </c>
      <c r="G9" s="113" t="e">
        <f>+#REF!</f>
        <v>#REF!</v>
      </c>
      <c r="H9" s="95" t="s">
        <v>288</v>
      </c>
      <c r="I9" s="108" t="str">
        <f t="shared" si="0"/>
        <v>19.05.2014</v>
      </c>
      <c r="J9" s="109" t="str">
        <f t="shared" si="1"/>
        <v>31.12.2014</v>
      </c>
    </row>
    <row r="10" spans="1:10">
      <c r="B10" t="s">
        <v>152</v>
      </c>
      <c r="C10" s="94" t="e">
        <f>+#REF!</f>
        <v>#REF!</v>
      </c>
      <c r="D10" s="94" t="s">
        <v>153</v>
      </c>
      <c r="E10" s="94">
        <v>10</v>
      </c>
      <c r="F10" s="94">
        <v>12</v>
      </c>
      <c r="G10" s="113" t="e">
        <f>+#REF!</f>
        <v>#REF!</v>
      </c>
      <c r="H10" s="95" t="s">
        <v>288</v>
      </c>
      <c r="I10" s="108" t="str">
        <f t="shared" si="0"/>
        <v>19.05.2014</v>
      </c>
      <c r="J10" s="109" t="str">
        <f t="shared" si="1"/>
        <v>31.12.2014</v>
      </c>
    </row>
    <row r="11" spans="1:10">
      <c r="B11" t="s">
        <v>152</v>
      </c>
      <c r="C11" s="94" t="e">
        <f>+#REF!</f>
        <v>#REF!</v>
      </c>
      <c r="D11" s="94" t="s">
        <v>153</v>
      </c>
      <c r="E11" s="94">
        <v>10</v>
      </c>
      <c r="F11" s="94">
        <v>12</v>
      </c>
      <c r="G11" s="113" t="e">
        <f>+#REF!</f>
        <v>#REF!</v>
      </c>
      <c r="H11" s="95" t="s">
        <v>288</v>
      </c>
      <c r="I11" s="108" t="str">
        <f t="shared" si="0"/>
        <v>19.05.2014</v>
      </c>
      <c r="J11" s="109" t="str">
        <f t="shared" si="1"/>
        <v>31.12.2014</v>
      </c>
    </row>
    <row r="12" spans="1:10">
      <c r="B12" t="s">
        <v>152</v>
      </c>
      <c r="C12" s="94" t="e">
        <f>+#REF!</f>
        <v>#REF!</v>
      </c>
      <c r="D12" s="94" t="s">
        <v>153</v>
      </c>
      <c r="E12" s="94">
        <v>10</v>
      </c>
      <c r="F12" s="94">
        <v>12</v>
      </c>
      <c r="G12" s="113" t="e">
        <f>+#REF!</f>
        <v>#REF!</v>
      </c>
      <c r="H12" s="95" t="s">
        <v>288</v>
      </c>
      <c r="I12" s="108" t="str">
        <f t="shared" si="0"/>
        <v>19.05.2014</v>
      </c>
      <c r="J12" s="109" t="str">
        <f t="shared" si="1"/>
        <v>31.12.2014</v>
      </c>
    </row>
    <row r="13" spans="1:10">
      <c r="B13" t="s">
        <v>152</v>
      </c>
      <c r="C13" s="94" t="e">
        <f>+#REF!</f>
        <v>#REF!</v>
      </c>
      <c r="D13" s="94" t="s">
        <v>153</v>
      </c>
      <c r="E13" s="94">
        <v>10</v>
      </c>
      <c r="F13" s="94">
        <v>12</v>
      </c>
      <c r="G13" s="113" t="e">
        <f>+#REF!</f>
        <v>#REF!</v>
      </c>
      <c r="H13" s="95" t="s">
        <v>288</v>
      </c>
      <c r="I13" s="108" t="str">
        <f t="shared" si="0"/>
        <v>19.05.2014</v>
      </c>
      <c r="J13" s="109" t="str">
        <f t="shared" si="1"/>
        <v>31.12.2014</v>
      </c>
    </row>
    <row r="14" spans="1:10">
      <c r="B14" t="s">
        <v>152</v>
      </c>
      <c r="C14" s="94" t="e">
        <f>+#REF!</f>
        <v>#REF!</v>
      </c>
      <c r="D14" s="94" t="s">
        <v>153</v>
      </c>
      <c r="E14" s="94">
        <v>10</v>
      </c>
      <c r="F14" s="94">
        <v>12</v>
      </c>
      <c r="G14" s="113" t="e">
        <f>+#REF!</f>
        <v>#REF!</v>
      </c>
      <c r="H14" s="95" t="s">
        <v>288</v>
      </c>
      <c r="I14" s="108" t="str">
        <f t="shared" si="0"/>
        <v>19.05.2014</v>
      </c>
      <c r="J14" s="109" t="str">
        <f t="shared" si="1"/>
        <v>31.12.2014</v>
      </c>
    </row>
    <row r="15" spans="1:10">
      <c r="B15" t="s">
        <v>152</v>
      </c>
      <c r="C15" s="94" t="e">
        <f>+#REF!</f>
        <v>#REF!</v>
      </c>
      <c r="D15" s="94" t="s">
        <v>153</v>
      </c>
      <c r="E15" s="94">
        <v>10</v>
      </c>
      <c r="F15" s="94">
        <v>12</v>
      </c>
      <c r="G15" s="113" t="e">
        <f>+#REF!</f>
        <v>#REF!</v>
      </c>
      <c r="H15" s="95" t="s">
        <v>288</v>
      </c>
      <c r="I15" s="108" t="str">
        <f t="shared" si="0"/>
        <v>19.05.2014</v>
      </c>
      <c r="J15" s="109" t="str">
        <f t="shared" si="1"/>
        <v>31.12.2014</v>
      </c>
    </row>
    <row r="16" spans="1:10">
      <c r="B16" t="s">
        <v>152</v>
      </c>
      <c r="C16" s="94" t="e">
        <f>+#REF!</f>
        <v>#REF!</v>
      </c>
      <c r="D16" s="94" t="s">
        <v>153</v>
      </c>
      <c r="E16" s="94">
        <v>10</v>
      </c>
      <c r="F16" s="94">
        <v>12</v>
      </c>
      <c r="G16" s="113" t="e">
        <f>+#REF!</f>
        <v>#REF!</v>
      </c>
      <c r="H16" s="95" t="s">
        <v>288</v>
      </c>
      <c r="I16" s="108" t="str">
        <f t="shared" si="0"/>
        <v>19.05.2014</v>
      </c>
      <c r="J16" s="109" t="str">
        <f t="shared" si="1"/>
        <v>31.12.2014</v>
      </c>
    </row>
    <row r="17" spans="2:11">
      <c r="B17" t="s">
        <v>152</v>
      </c>
      <c r="C17" s="94" t="e">
        <f>+#REF!</f>
        <v>#REF!</v>
      </c>
      <c r="D17" s="94" t="s">
        <v>153</v>
      </c>
      <c r="E17" s="94">
        <v>10</v>
      </c>
      <c r="F17" s="94">
        <v>12</v>
      </c>
      <c r="G17" s="113" t="e">
        <f>+#REF!</f>
        <v>#REF!</v>
      </c>
      <c r="H17" s="95" t="s">
        <v>288</v>
      </c>
      <c r="I17" s="108" t="str">
        <f t="shared" si="0"/>
        <v>19.05.2014</v>
      </c>
      <c r="J17" s="109" t="str">
        <f t="shared" si="1"/>
        <v>31.12.2014</v>
      </c>
    </row>
    <row r="18" spans="2:11">
      <c r="B18" t="s">
        <v>152</v>
      </c>
      <c r="C18" s="94" t="e">
        <f>+#REF!</f>
        <v>#REF!</v>
      </c>
      <c r="D18" s="94" t="s">
        <v>153</v>
      </c>
      <c r="E18" s="94">
        <v>10</v>
      </c>
      <c r="F18" s="94">
        <v>12</v>
      </c>
      <c r="G18" s="113" t="e">
        <f>+#REF!</f>
        <v>#REF!</v>
      </c>
      <c r="H18" s="95" t="s">
        <v>288</v>
      </c>
      <c r="I18" s="108" t="str">
        <f t="shared" si="0"/>
        <v>19.05.2014</v>
      </c>
      <c r="J18" s="109" t="str">
        <f t="shared" si="1"/>
        <v>31.12.2014</v>
      </c>
    </row>
    <row r="19" spans="2:11">
      <c r="B19" t="s">
        <v>152</v>
      </c>
      <c r="C19" s="94" t="e">
        <f>+#REF!</f>
        <v>#REF!</v>
      </c>
      <c r="D19" s="94" t="s">
        <v>153</v>
      </c>
      <c r="E19" s="94">
        <v>10</v>
      </c>
      <c r="F19" s="94">
        <v>12</v>
      </c>
      <c r="G19" s="113" t="e">
        <f>+#REF!</f>
        <v>#REF!</v>
      </c>
      <c r="H19" s="95" t="s">
        <v>288</v>
      </c>
      <c r="I19" s="108" t="str">
        <f t="shared" si="0"/>
        <v>19.05.2014</v>
      </c>
      <c r="J19" s="109" t="str">
        <f t="shared" si="1"/>
        <v>31.12.2014</v>
      </c>
    </row>
    <row r="20" spans="2:11">
      <c r="B20" t="s">
        <v>152</v>
      </c>
      <c r="C20" s="94" t="e">
        <f>+#REF!</f>
        <v>#REF!</v>
      </c>
      <c r="D20" s="94" t="s">
        <v>153</v>
      </c>
      <c r="E20" s="94">
        <v>10</v>
      </c>
      <c r="F20" s="94">
        <v>12</v>
      </c>
      <c r="G20" s="113" t="e">
        <f>+#REF!</f>
        <v>#REF!</v>
      </c>
      <c r="H20" s="95" t="s">
        <v>288</v>
      </c>
      <c r="I20" s="108" t="str">
        <f t="shared" si="0"/>
        <v>19.05.2014</v>
      </c>
      <c r="J20" s="109" t="str">
        <f t="shared" si="1"/>
        <v>31.12.2014</v>
      </c>
    </row>
    <row r="21" spans="2:11">
      <c r="B21" t="s">
        <v>152</v>
      </c>
      <c r="C21" s="94" t="e">
        <f>+#REF!</f>
        <v>#REF!</v>
      </c>
      <c r="D21" s="94" t="s">
        <v>153</v>
      </c>
      <c r="E21" s="94">
        <v>10</v>
      </c>
      <c r="F21" s="94">
        <v>12</v>
      </c>
      <c r="G21" s="113" t="e">
        <f>+#REF!</f>
        <v>#REF!</v>
      </c>
      <c r="H21" s="95" t="s">
        <v>288</v>
      </c>
      <c r="I21" s="108" t="str">
        <f t="shared" si="0"/>
        <v>19.05.2014</v>
      </c>
      <c r="J21" s="109" t="str">
        <f t="shared" si="1"/>
        <v>31.12.2014</v>
      </c>
    </row>
    <row r="22" spans="2:11">
      <c r="B22" t="s">
        <v>152</v>
      </c>
      <c r="C22" s="94" t="e">
        <f>+#REF!</f>
        <v>#REF!</v>
      </c>
      <c r="D22" s="94" t="s">
        <v>153</v>
      </c>
      <c r="E22" s="94">
        <v>10</v>
      </c>
      <c r="F22" s="94">
        <v>12</v>
      </c>
      <c r="G22" s="113" t="e">
        <f>+#REF!</f>
        <v>#REF!</v>
      </c>
      <c r="H22" s="95" t="s">
        <v>288</v>
      </c>
      <c r="I22" s="108" t="str">
        <f t="shared" si="0"/>
        <v>19.05.2014</v>
      </c>
      <c r="J22" s="109" t="str">
        <f t="shared" si="1"/>
        <v>31.12.2014</v>
      </c>
    </row>
    <row r="23" spans="2:11">
      <c r="B23" t="s">
        <v>152</v>
      </c>
      <c r="C23" s="94" t="e">
        <f>+#REF!</f>
        <v>#REF!</v>
      </c>
      <c r="D23" s="94" t="s">
        <v>153</v>
      </c>
      <c r="E23" s="94">
        <v>10</v>
      </c>
      <c r="F23" s="94">
        <v>12</v>
      </c>
      <c r="G23" s="113" t="e">
        <f>+#REF!</f>
        <v>#REF!</v>
      </c>
      <c r="H23" s="95" t="s">
        <v>288</v>
      </c>
      <c r="I23" s="108" t="str">
        <f t="shared" si="0"/>
        <v>19.05.2014</v>
      </c>
      <c r="J23" s="109" t="str">
        <f t="shared" si="1"/>
        <v>31.12.2014</v>
      </c>
    </row>
    <row r="24" spans="2:11">
      <c r="B24" t="s">
        <v>152</v>
      </c>
      <c r="C24" s="94" t="e">
        <f>+#REF!</f>
        <v>#REF!</v>
      </c>
      <c r="D24" s="94" t="s">
        <v>153</v>
      </c>
      <c r="E24" s="94">
        <v>10</v>
      </c>
      <c r="F24" s="94">
        <v>12</v>
      </c>
      <c r="G24" s="113" t="e">
        <f>+#REF!</f>
        <v>#REF!</v>
      </c>
      <c r="H24" s="95" t="s">
        <v>288</v>
      </c>
      <c r="I24" s="108" t="str">
        <f t="shared" si="0"/>
        <v>19.05.2014</v>
      </c>
      <c r="J24" s="109" t="str">
        <f t="shared" si="1"/>
        <v>31.12.2014</v>
      </c>
    </row>
    <row r="25" spans="2:11">
      <c r="B25" t="s">
        <v>152</v>
      </c>
      <c r="C25" s="94" t="e">
        <f>+#REF!</f>
        <v>#REF!</v>
      </c>
      <c r="D25" s="94" t="s">
        <v>153</v>
      </c>
      <c r="E25" s="94">
        <v>10</v>
      </c>
      <c r="F25" s="94">
        <v>12</v>
      </c>
      <c r="G25" s="113" t="e">
        <f>+#REF!</f>
        <v>#REF!</v>
      </c>
      <c r="H25" s="95" t="s">
        <v>288</v>
      </c>
      <c r="I25" s="108" t="str">
        <f t="shared" si="0"/>
        <v>19.05.2014</v>
      </c>
      <c r="J25" s="109" t="str">
        <f t="shared" si="1"/>
        <v>31.12.2014</v>
      </c>
      <c r="K25">
        <v>7200</v>
      </c>
    </row>
    <row r="26" spans="2:11">
      <c r="B26" t="s">
        <v>152</v>
      </c>
      <c r="C26" s="94" t="e">
        <f>+#REF!</f>
        <v>#REF!</v>
      </c>
      <c r="D26" s="94" t="s">
        <v>153</v>
      </c>
      <c r="E26" s="94">
        <v>10</v>
      </c>
      <c r="F26" s="94">
        <v>12</v>
      </c>
      <c r="G26" s="113" t="e">
        <f>+#REF!</f>
        <v>#REF!</v>
      </c>
      <c r="H26" s="95" t="s">
        <v>288</v>
      </c>
      <c r="I26" s="108" t="str">
        <f t="shared" si="0"/>
        <v>19.05.2014</v>
      </c>
      <c r="J26" s="109" t="str">
        <f t="shared" si="1"/>
        <v>31.12.2014</v>
      </c>
    </row>
    <row r="27" spans="2:11">
      <c r="B27" t="s">
        <v>152</v>
      </c>
      <c r="C27" s="94" t="e">
        <f>+#REF!</f>
        <v>#REF!</v>
      </c>
      <c r="D27" s="94" t="s">
        <v>153</v>
      </c>
      <c r="E27" s="94">
        <v>10</v>
      </c>
      <c r="F27" s="94">
        <v>12</v>
      </c>
      <c r="G27" s="113" t="e">
        <f>+#REF!</f>
        <v>#REF!</v>
      </c>
      <c r="H27" s="95" t="s">
        <v>288</v>
      </c>
      <c r="I27" s="108" t="str">
        <f t="shared" si="0"/>
        <v>19.05.2014</v>
      </c>
      <c r="J27" s="109" t="str">
        <f t="shared" si="1"/>
        <v>31.12.2014</v>
      </c>
    </row>
    <row r="28" spans="2:11">
      <c r="B28" t="s">
        <v>152</v>
      </c>
      <c r="C28" s="94" t="e">
        <f>+#REF!</f>
        <v>#REF!</v>
      </c>
      <c r="D28" s="94" t="s">
        <v>153</v>
      </c>
      <c r="E28" s="94">
        <v>10</v>
      </c>
      <c r="F28" s="94">
        <v>12</v>
      </c>
      <c r="G28" s="113" t="e">
        <f>+#REF!</f>
        <v>#REF!</v>
      </c>
      <c r="H28" s="95" t="s">
        <v>288</v>
      </c>
      <c r="I28" s="108" t="str">
        <f t="shared" si="0"/>
        <v>19.05.2014</v>
      </c>
      <c r="J28" s="109" t="str">
        <f t="shared" si="1"/>
        <v>31.12.2014</v>
      </c>
    </row>
    <row r="29" spans="2:11">
      <c r="B29" t="s">
        <v>152</v>
      </c>
      <c r="C29" s="94" t="e">
        <f>+#REF!</f>
        <v>#REF!</v>
      </c>
      <c r="D29" s="94" t="s">
        <v>153</v>
      </c>
      <c r="E29" s="94">
        <v>10</v>
      </c>
      <c r="F29" s="94">
        <v>12</v>
      </c>
      <c r="G29" s="113" t="e">
        <f>+#REF!</f>
        <v>#REF!</v>
      </c>
      <c r="H29" s="95" t="s">
        <v>288</v>
      </c>
      <c r="I29" s="108" t="str">
        <f t="shared" si="0"/>
        <v>19.05.2014</v>
      </c>
      <c r="J29" s="109" t="str">
        <f t="shared" si="1"/>
        <v>31.12.2014</v>
      </c>
    </row>
    <row r="30" spans="2:11">
      <c r="B30" t="s">
        <v>152</v>
      </c>
      <c r="C30" s="94" t="e">
        <f>+#REF!</f>
        <v>#REF!</v>
      </c>
      <c r="D30" s="94" t="s">
        <v>153</v>
      </c>
      <c r="E30" s="94">
        <v>10</v>
      </c>
      <c r="F30" s="94">
        <v>12</v>
      </c>
      <c r="G30" s="113" t="e">
        <f>+#REF!</f>
        <v>#REF!</v>
      </c>
      <c r="H30" s="95" t="s">
        <v>288</v>
      </c>
      <c r="I30" s="108" t="str">
        <f t="shared" si="0"/>
        <v>19.05.2014</v>
      </c>
      <c r="J30" s="109" t="str">
        <f t="shared" si="1"/>
        <v>31.12.2014</v>
      </c>
    </row>
    <row r="31" spans="2:11">
      <c r="B31" t="s">
        <v>152</v>
      </c>
      <c r="C31" s="94" t="e">
        <f>+#REF!</f>
        <v>#REF!</v>
      </c>
      <c r="D31" s="94" t="s">
        <v>153</v>
      </c>
      <c r="E31" s="94">
        <v>10</v>
      </c>
      <c r="F31" s="94">
        <v>12</v>
      </c>
      <c r="G31" s="113" t="e">
        <f>+#REF!</f>
        <v>#REF!</v>
      </c>
      <c r="H31" s="95" t="s">
        <v>288</v>
      </c>
      <c r="I31" s="108" t="str">
        <f t="shared" si="0"/>
        <v>19.05.2014</v>
      </c>
      <c r="J31" s="109" t="str">
        <f t="shared" si="1"/>
        <v>31.12.2014</v>
      </c>
    </row>
    <row r="32" spans="2:11">
      <c r="B32" t="s">
        <v>152</v>
      </c>
      <c r="C32" s="94" t="e">
        <f>+#REF!</f>
        <v>#REF!</v>
      </c>
      <c r="D32" s="94" t="s">
        <v>153</v>
      </c>
      <c r="E32" s="94">
        <v>10</v>
      </c>
      <c r="F32" s="94">
        <v>12</v>
      </c>
      <c r="G32" s="113" t="e">
        <f>+#REF!</f>
        <v>#REF!</v>
      </c>
      <c r="H32" s="95" t="s">
        <v>288</v>
      </c>
      <c r="I32" s="108" t="str">
        <f t="shared" si="0"/>
        <v>19.05.2014</v>
      </c>
      <c r="J32" s="109" t="str">
        <f t="shared" si="1"/>
        <v>31.12.2014</v>
      </c>
    </row>
    <row r="33" spans="2:10">
      <c r="B33" t="s">
        <v>152</v>
      </c>
      <c r="C33" s="94" t="e">
        <f>+#REF!</f>
        <v>#REF!</v>
      </c>
      <c r="D33" s="94" t="s">
        <v>153</v>
      </c>
      <c r="E33" s="94">
        <v>10</v>
      </c>
      <c r="F33" s="94">
        <v>12</v>
      </c>
      <c r="G33" s="113" t="e">
        <f>+#REF!</f>
        <v>#REF!</v>
      </c>
      <c r="H33" s="95" t="s">
        <v>288</v>
      </c>
      <c r="I33" s="108" t="str">
        <f t="shared" si="0"/>
        <v>19.05.2014</v>
      </c>
      <c r="J33" s="109" t="str">
        <f t="shared" si="1"/>
        <v>31.12.2014</v>
      </c>
    </row>
    <row r="34" spans="2:10">
      <c r="B34" t="s">
        <v>152</v>
      </c>
      <c r="C34" s="94" t="e">
        <f>+#REF!</f>
        <v>#REF!</v>
      </c>
      <c r="D34" s="94" t="s">
        <v>153</v>
      </c>
      <c r="E34" s="94">
        <v>10</v>
      </c>
      <c r="F34" s="94">
        <v>12</v>
      </c>
      <c r="G34" s="113" t="e">
        <f>+#REF!</f>
        <v>#REF!</v>
      </c>
      <c r="H34" s="95" t="s">
        <v>288</v>
      </c>
      <c r="I34" s="108" t="str">
        <f t="shared" si="0"/>
        <v>19.05.2014</v>
      </c>
      <c r="J34" s="109" t="str">
        <f t="shared" si="1"/>
        <v>31.12.2014</v>
      </c>
    </row>
    <row r="35" spans="2:10">
      <c r="B35" t="s">
        <v>152</v>
      </c>
      <c r="C35" s="94" t="e">
        <f>+#REF!</f>
        <v>#REF!</v>
      </c>
      <c r="D35" s="94" t="s">
        <v>153</v>
      </c>
      <c r="E35" s="94">
        <v>10</v>
      </c>
      <c r="F35" s="94">
        <v>12</v>
      </c>
      <c r="G35" s="113" t="e">
        <f>+#REF!</f>
        <v>#REF!</v>
      </c>
      <c r="H35" s="95" t="s">
        <v>288</v>
      </c>
      <c r="I35" s="108" t="str">
        <f t="shared" si="0"/>
        <v>19.05.2014</v>
      </c>
      <c r="J35" s="109" t="str">
        <f t="shared" si="1"/>
        <v>31.12.2014</v>
      </c>
    </row>
    <row r="36" spans="2:10">
      <c r="B36" t="s">
        <v>152</v>
      </c>
      <c r="C36" s="94" t="e">
        <f>+#REF!</f>
        <v>#REF!</v>
      </c>
      <c r="D36" s="94" t="s">
        <v>153</v>
      </c>
      <c r="E36" s="94">
        <v>10</v>
      </c>
      <c r="F36" s="94">
        <v>12</v>
      </c>
      <c r="G36" s="113" t="e">
        <f>+#REF!</f>
        <v>#REF!</v>
      </c>
      <c r="H36" s="95" t="s">
        <v>288</v>
      </c>
      <c r="I36" s="108" t="str">
        <f t="shared" si="0"/>
        <v>19.05.2014</v>
      </c>
      <c r="J36" s="109" t="str">
        <f t="shared" si="1"/>
        <v>31.12.2014</v>
      </c>
    </row>
    <row r="37" spans="2:10">
      <c r="B37" t="s">
        <v>152</v>
      </c>
      <c r="C37" s="94" t="e">
        <f>+#REF!</f>
        <v>#REF!</v>
      </c>
      <c r="D37" s="94" t="s">
        <v>153</v>
      </c>
      <c r="E37" s="94">
        <v>10</v>
      </c>
      <c r="F37" s="94">
        <v>12</v>
      </c>
      <c r="G37" s="113" t="e">
        <f>+#REF!</f>
        <v>#REF!</v>
      </c>
      <c r="H37" s="95" t="s">
        <v>288</v>
      </c>
      <c r="I37" s="108" t="str">
        <f t="shared" si="0"/>
        <v>19.05.2014</v>
      </c>
      <c r="J37" s="109" t="str">
        <f t="shared" si="1"/>
        <v>31.12.2014</v>
      </c>
    </row>
    <row r="38" spans="2:10">
      <c r="B38" t="s">
        <v>152</v>
      </c>
      <c r="C38" s="94" t="e">
        <f>+#REF!</f>
        <v>#REF!</v>
      </c>
      <c r="D38" s="94" t="s">
        <v>153</v>
      </c>
      <c r="E38" s="94">
        <v>10</v>
      </c>
      <c r="F38" s="94">
        <v>12</v>
      </c>
      <c r="G38" s="113" t="e">
        <f>+#REF!</f>
        <v>#REF!</v>
      </c>
      <c r="H38" s="95" t="s">
        <v>288</v>
      </c>
      <c r="I38" s="108" t="str">
        <f t="shared" si="0"/>
        <v>19.05.2014</v>
      </c>
      <c r="J38" s="109" t="str">
        <f t="shared" si="1"/>
        <v>31.12.2014</v>
      </c>
    </row>
    <row r="39" spans="2:10">
      <c r="B39" t="s">
        <v>152</v>
      </c>
      <c r="C39" s="94" t="e">
        <f>+#REF!</f>
        <v>#REF!</v>
      </c>
      <c r="D39" s="94" t="s">
        <v>153</v>
      </c>
      <c r="E39" s="94">
        <v>10</v>
      </c>
      <c r="F39" s="94">
        <v>12</v>
      </c>
      <c r="G39" s="113" t="e">
        <f>+#REF!</f>
        <v>#REF!</v>
      </c>
      <c r="H39" s="95" t="s">
        <v>288</v>
      </c>
      <c r="I39" s="108" t="str">
        <f t="shared" si="0"/>
        <v>19.05.2014</v>
      </c>
      <c r="J39" s="109" t="str">
        <f t="shared" si="1"/>
        <v>31.12.2014</v>
      </c>
    </row>
    <row r="40" spans="2:10">
      <c r="B40" t="s">
        <v>152</v>
      </c>
      <c r="C40" s="94" t="e">
        <f>+#REF!</f>
        <v>#REF!</v>
      </c>
      <c r="D40" s="94" t="s">
        <v>153</v>
      </c>
      <c r="E40" s="94">
        <v>10</v>
      </c>
      <c r="F40" s="94">
        <v>12</v>
      </c>
      <c r="G40" s="113" t="e">
        <f>+#REF!</f>
        <v>#REF!</v>
      </c>
      <c r="H40" s="95" t="s">
        <v>288</v>
      </c>
      <c r="I40" s="108" t="str">
        <f t="shared" si="0"/>
        <v>19.05.2014</v>
      </c>
      <c r="J40" s="109" t="str">
        <f t="shared" si="1"/>
        <v>31.12.2014</v>
      </c>
    </row>
    <row r="41" spans="2:10">
      <c r="B41" t="s">
        <v>152</v>
      </c>
      <c r="C41" s="94" t="e">
        <f>+#REF!</f>
        <v>#REF!</v>
      </c>
      <c r="D41" s="94" t="s">
        <v>153</v>
      </c>
      <c r="E41" s="94">
        <v>10</v>
      </c>
      <c r="F41" s="94">
        <v>12</v>
      </c>
      <c r="G41" s="113" t="e">
        <f>+#REF!</f>
        <v>#REF!</v>
      </c>
      <c r="H41" s="95" t="s">
        <v>288</v>
      </c>
      <c r="I41" s="108" t="str">
        <f t="shared" si="0"/>
        <v>19.05.2014</v>
      </c>
      <c r="J41" s="109" t="str">
        <f t="shared" si="1"/>
        <v>31.12.2014</v>
      </c>
    </row>
    <row r="42" spans="2:10">
      <c r="B42" t="s">
        <v>152</v>
      </c>
      <c r="C42" s="94" t="e">
        <f>+#REF!</f>
        <v>#REF!</v>
      </c>
      <c r="D42" s="94" t="s">
        <v>153</v>
      </c>
      <c r="E42" s="94">
        <v>10</v>
      </c>
      <c r="F42" s="94">
        <v>12</v>
      </c>
      <c r="G42" s="113" t="e">
        <f>+#REF!</f>
        <v>#REF!</v>
      </c>
      <c r="H42" s="95" t="s">
        <v>288</v>
      </c>
      <c r="I42" s="108" t="str">
        <f t="shared" si="0"/>
        <v>19.05.2014</v>
      </c>
      <c r="J42" s="109" t="str">
        <f t="shared" si="1"/>
        <v>31.12.2014</v>
      </c>
    </row>
    <row r="43" spans="2:10">
      <c r="B43" t="s">
        <v>152</v>
      </c>
      <c r="C43" s="94" t="e">
        <f>+#REF!</f>
        <v>#REF!</v>
      </c>
      <c r="D43" s="94" t="s">
        <v>153</v>
      </c>
      <c r="E43" s="94">
        <v>10</v>
      </c>
      <c r="F43" s="94">
        <v>12</v>
      </c>
      <c r="G43" s="113" t="e">
        <f>+#REF!</f>
        <v>#REF!</v>
      </c>
      <c r="H43" s="95" t="s">
        <v>288</v>
      </c>
      <c r="I43" s="108" t="str">
        <f t="shared" si="0"/>
        <v>19.05.2014</v>
      </c>
      <c r="J43" s="109" t="str">
        <f t="shared" si="1"/>
        <v>31.12.2014</v>
      </c>
    </row>
    <row r="44" spans="2:10">
      <c r="B44" t="s">
        <v>152</v>
      </c>
      <c r="C44" s="94" t="e">
        <f>+#REF!</f>
        <v>#REF!</v>
      </c>
      <c r="D44" s="94" t="s">
        <v>153</v>
      </c>
      <c r="E44" s="94">
        <v>10</v>
      </c>
      <c r="F44" s="94">
        <v>12</v>
      </c>
      <c r="G44" s="113" t="e">
        <f>+#REF!</f>
        <v>#REF!</v>
      </c>
      <c r="H44" s="95" t="s">
        <v>288</v>
      </c>
      <c r="I44" s="108" t="str">
        <f t="shared" si="0"/>
        <v>19.05.2014</v>
      </c>
      <c r="J44" s="109" t="str">
        <f t="shared" si="1"/>
        <v>31.12.2014</v>
      </c>
    </row>
    <row r="45" spans="2:10">
      <c r="B45" t="s">
        <v>152</v>
      </c>
      <c r="C45" s="94" t="e">
        <f>+#REF!</f>
        <v>#REF!</v>
      </c>
      <c r="D45" s="94" t="s">
        <v>153</v>
      </c>
      <c r="E45" s="94">
        <v>10</v>
      </c>
      <c r="F45" s="94">
        <v>12</v>
      </c>
      <c r="G45" s="113" t="e">
        <f>+#REF!</f>
        <v>#REF!</v>
      </c>
      <c r="H45" s="95" t="s">
        <v>288</v>
      </c>
      <c r="I45" s="108" t="str">
        <f t="shared" si="0"/>
        <v>19.05.2014</v>
      </c>
      <c r="J45" s="109" t="str">
        <f t="shared" si="1"/>
        <v>31.12.2014</v>
      </c>
    </row>
    <row r="46" spans="2:10">
      <c r="B46" t="s">
        <v>152</v>
      </c>
      <c r="C46" s="94" t="e">
        <f>+#REF!</f>
        <v>#REF!</v>
      </c>
      <c r="D46" s="94" t="s">
        <v>153</v>
      </c>
      <c r="E46" s="94">
        <v>10</v>
      </c>
      <c r="F46" s="94">
        <v>12</v>
      </c>
      <c r="G46" s="113" t="e">
        <f>+#REF!</f>
        <v>#REF!</v>
      </c>
      <c r="H46" s="95" t="s">
        <v>288</v>
      </c>
      <c r="I46" s="108" t="str">
        <f t="shared" si="0"/>
        <v>19.05.2014</v>
      </c>
      <c r="J46" s="109" t="str">
        <f t="shared" si="1"/>
        <v>31.12.2014</v>
      </c>
    </row>
    <row r="47" spans="2:10">
      <c r="B47" t="s">
        <v>152</v>
      </c>
      <c r="C47" s="94" t="e">
        <f>+#REF!</f>
        <v>#REF!</v>
      </c>
      <c r="D47" s="94" t="s">
        <v>153</v>
      </c>
      <c r="E47" s="94">
        <v>10</v>
      </c>
      <c r="F47" s="94">
        <v>12</v>
      </c>
      <c r="G47" s="113" t="e">
        <f>+#REF!</f>
        <v>#REF!</v>
      </c>
      <c r="H47" s="95" t="s">
        <v>288</v>
      </c>
      <c r="I47" s="108" t="str">
        <f t="shared" si="0"/>
        <v>19.05.2014</v>
      </c>
      <c r="J47" s="109" t="str">
        <f t="shared" si="1"/>
        <v>31.12.2014</v>
      </c>
    </row>
    <row r="48" spans="2:10">
      <c r="B48" t="s">
        <v>152</v>
      </c>
      <c r="C48" s="94" t="e">
        <f>+#REF!</f>
        <v>#REF!</v>
      </c>
      <c r="D48" s="94" t="s">
        <v>153</v>
      </c>
      <c r="E48" s="94">
        <v>10</v>
      </c>
      <c r="F48" s="94">
        <v>12</v>
      </c>
      <c r="G48" s="113" t="e">
        <f>+#REF!</f>
        <v>#REF!</v>
      </c>
      <c r="H48" s="95" t="s">
        <v>288</v>
      </c>
      <c r="I48" s="108" t="str">
        <f t="shared" si="0"/>
        <v>19.05.2014</v>
      </c>
      <c r="J48" s="109" t="str">
        <f t="shared" si="1"/>
        <v>31.12.2014</v>
      </c>
    </row>
    <row r="49" spans="2:10">
      <c r="B49" t="s">
        <v>152</v>
      </c>
      <c r="C49" s="94" t="e">
        <f>+#REF!</f>
        <v>#REF!</v>
      </c>
      <c r="D49" s="94" t="s">
        <v>153</v>
      </c>
      <c r="E49" s="94">
        <v>10</v>
      </c>
      <c r="F49" s="94">
        <v>12</v>
      </c>
      <c r="G49" s="113" t="e">
        <f>+#REF!</f>
        <v>#REF!</v>
      </c>
      <c r="H49" s="95" t="s">
        <v>288</v>
      </c>
      <c r="I49" s="108" t="str">
        <f t="shared" si="0"/>
        <v>19.05.2014</v>
      </c>
      <c r="J49" s="109" t="str">
        <f t="shared" si="1"/>
        <v>31.12.2014</v>
      </c>
    </row>
    <row r="50" spans="2:10">
      <c r="B50" t="s">
        <v>152</v>
      </c>
      <c r="C50" s="94" t="e">
        <f>+#REF!</f>
        <v>#REF!</v>
      </c>
      <c r="D50" s="94" t="s">
        <v>153</v>
      </c>
      <c r="E50" s="94">
        <v>10</v>
      </c>
      <c r="F50" s="94">
        <v>12</v>
      </c>
      <c r="G50" s="113" t="e">
        <f>+#REF!</f>
        <v>#REF!</v>
      </c>
      <c r="H50" s="95" t="s">
        <v>288</v>
      </c>
      <c r="I50" s="108" t="str">
        <f t="shared" si="0"/>
        <v>19.05.2014</v>
      </c>
      <c r="J50" s="109" t="str">
        <f t="shared" si="1"/>
        <v>31.12.2014</v>
      </c>
    </row>
    <row r="51" spans="2:10">
      <c r="B51" t="s">
        <v>152</v>
      </c>
      <c r="C51" s="94" t="e">
        <f>+#REF!</f>
        <v>#REF!</v>
      </c>
      <c r="D51" s="94" t="s">
        <v>153</v>
      </c>
      <c r="E51" s="94">
        <v>10</v>
      </c>
      <c r="F51" s="94">
        <v>12</v>
      </c>
      <c r="G51" s="113" t="e">
        <f>+#REF!</f>
        <v>#REF!</v>
      </c>
      <c r="H51" s="95" t="s">
        <v>288</v>
      </c>
      <c r="I51" s="108" t="str">
        <f t="shared" si="0"/>
        <v>19.05.2014</v>
      </c>
      <c r="J51" s="109" t="str">
        <f t="shared" si="1"/>
        <v>31.12.2014</v>
      </c>
    </row>
    <row r="52" spans="2:10">
      <c r="B52" t="s">
        <v>152</v>
      </c>
      <c r="C52" s="94" t="e">
        <f>+#REF!</f>
        <v>#REF!</v>
      </c>
      <c r="D52" s="94" t="s">
        <v>153</v>
      </c>
      <c r="E52" s="94">
        <v>10</v>
      </c>
      <c r="F52" s="94">
        <v>12</v>
      </c>
      <c r="G52" s="113" t="e">
        <f>+#REF!</f>
        <v>#REF!</v>
      </c>
      <c r="H52" s="95" t="s">
        <v>288</v>
      </c>
      <c r="I52" s="108" t="str">
        <f t="shared" si="0"/>
        <v>19.05.2014</v>
      </c>
      <c r="J52" s="109" t="str">
        <f t="shared" si="1"/>
        <v>31.12.2014</v>
      </c>
    </row>
    <row r="53" spans="2:10">
      <c r="B53" t="s">
        <v>152</v>
      </c>
      <c r="C53" s="94" t="e">
        <f>+#REF!</f>
        <v>#REF!</v>
      </c>
      <c r="D53" s="94" t="s">
        <v>153</v>
      </c>
      <c r="E53" s="94">
        <v>10</v>
      </c>
      <c r="F53" s="94">
        <v>12</v>
      </c>
      <c r="G53" s="113" t="e">
        <f>+#REF!</f>
        <v>#REF!</v>
      </c>
      <c r="H53" s="95" t="s">
        <v>288</v>
      </c>
      <c r="I53" s="108" t="str">
        <f t="shared" si="0"/>
        <v>19.05.2014</v>
      </c>
      <c r="J53" s="109" t="str">
        <f t="shared" si="1"/>
        <v>31.12.2014</v>
      </c>
    </row>
    <row r="54" spans="2:10">
      <c r="B54" t="s">
        <v>152</v>
      </c>
      <c r="C54" s="94" t="e">
        <f>+#REF!</f>
        <v>#REF!</v>
      </c>
      <c r="D54" s="94" t="s">
        <v>153</v>
      </c>
      <c r="E54" s="94">
        <v>10</v>
      </c>
      <c r="F54" s="94">
        <v>12</v>
      </c>
      <c r="G54" s="113" t="e">
        <f>+#REF!</f>
        <v>#REF!</v>
      </c>
      <c r="H54" s="95" t="s">
        <v>288</v>
      </c>
      <c r="I54" s="108" t="str">
        <f t="shared" si="0"/>
        <v>19.05.2014</v>
      </c>
      <c r="J54" s="109" t="str">
        <f t="shared" si="1"/>
        <v>31.12.2014</v>
      </c>
    </row>
    <row r="55" spans="2:10">
      <c r="B55" t="s">
        <v>152</v>
      </c>
      <c r="C55" s="94" t="e">
        <f>+#REF!</f>
        <v>#REF!</v>
      </c>
      <c r="D55" s="94" t="s">
        <v>153</v>
      </c>
      <c r="E55" s="94">
        <v>10</v>
      </c>
      <c r="F55" s="94">
        <v>12</v>
      </c>
      <c r="G55" s="113" t="e">
        <f>+#REF!</f>
        <v>#REF!</v>
      </c>
      <c r="H55" s="95" t="s">
        <v>288</v>
      </c>
      <c r="I55" s="108" t="str">
        <f t="shared" si="0"/>
        <v>19.05.2014</v>
      </c>
      <c r="J55" s="109" t="str">
        <f t="shared" si="1"/>
        <v>31.12.2014</v>
      </c>
    </row>
    <row r="56" spans="2:10">
      <c r="B56" t="s">
        <v>152</v>
      </c>
      <c r="C56" s="94" t="e">
        <f>+#REF!</f>
        <v>#REF!</v>
      </c>
      <c r="D56" s="94" t="s">
        <v>153</v>
      </c>
      <c r="E56" s="94">
        <v>10</v>
      </c>
      <c r="F56" s="94">
        <v>12</v>
      </c>
      <c r="G56" s="113" t="e">
        <f>+#REF!</f>
        <v>#REF!</v>
      </c>
      <c r="H56" s="95" t="s">
        <v>288</v>
      </c>
      <c r="I56" s="108" t="str">
        <f t="shared" si="0"/>
        <v>19.05.2014</v>
      </c>
      <c r="J56" s="109" t="str">
        <f t="shared" si="1"/>
        <v>31.12.2014</v>
      </c>
    </row>
    <row r="57" spans="2:10">
      <c r="B57" t="s">
        <v>152</v>
      </c>
      <c r="C57" s="94" t="e">
        <f>+#REF!</f>
        <v>#REF!</v>
      </c>
      <c r="D57" s="94" t="s">
        <v>153</v>
      </c>
      <c r="E57" s="94">
        <v>10</v>
      </c>
      <c r="F57" s="94">
        <v>12</v>
      </c>
      <c r="G57" s="113" t="e">
        <f>+#REF!</f>
        <v>#REF!</v>
      </c>
      <c r="H57" s="95" t="s">
        <v>288</v>
      </c>
      <c r="I57" s="108" t="str">
        <f t="shared" si="0"/>
        <v>19.05.2014</v>
      </c>
      <c r="J57" s="109" t="str">
        <f t="shared" si="1"/>
        <v>31.12.2014</v>
      </c>
    </row>
    <row r="58" spans="2:10">
      <c r="B58" t="s">
        <v>152</v>
      </c>
      <c r="C58" s="94" t="e">
        <f>+#REF!</f>
        <v>#REF!</v>
      </c>
      <c r="D58" s="94" t="s">
        <v>153</v>
      </c>
      <c r="E58" s="94">
        <v>10</v>
      </c>
      <c r="F58" s="94">
        <v>14</v>
      </c>
      <c r="G58" s="113" t="e">
        <f>+#REF!</f>
        <v>#REF!</v>
      </c>
      <c r="H58" s="95" t="s">
        <v>288</v>
      </c>
      <c r="I58" s="108" t="str">
        <f t="shared" si="0"/>
        <v>19.05.2014</v>
      </c>
      <c r="J58" s="109" t="str">
        <f t="shared" si="1"/>
        <v>31.12.2014</v>
      </c>
    </row>
    <row r="59" spans="2:10">
      <c r="B59" t="s">
        <v>152</v>
      </c>
      <c r="C59" s="94" t="e">
        <f>+#REF!</f>
        <v>#REF!</v>
      </c>
      <c r="D59" s="94" t="s">
        <v>153</v>
      </c>
      <c r="E59" s="94">
        <v>10</v>
      </c>
      <c r="F59" s="94">
        <v>14</v>
      </c>
      <c r="G59" s="113" t="e">
        <f>+#REF!</f>
        <v>#REF!</v>
      </c>
      <c r="H59" s="95" t="s">
        <v>288</v>
      </c>
      <c r="I59" s="108" t="str">
        <f t="shared" si="0"/>
        <v>19.05.2014</v>
      </c>
      <c r="J59" s="109" t="str">
        <f t="shared" si="1"/>
        <v>31.12.2014</v>
      </c>
    </row>
    <row r="60" spans="2:10">
      <c r="B60" t="s">
        <v>152</v>
      </c>
      <c r="C60" s="94" t="e">
        <f>+#REF!</f>
        <v>#REF!</v>
      </c>
      <c r="D60" s="94" t="s">
        <v>153</v>
      </c>
      <c r="E60" s="94">
        <v>10</v>
      </c>
      <c r="F60" s="94">
        <v>14</v>
      </c>
      <c r="G60" s="113" t="e">
        <f>+#REF!</f>
        <v>#REF!</v>
      </c>
      <c r="H60" s="95" t="s">
        <v>288</v>
      </c>
      <c r="I60" s="108" t="str">
        <f t="shared" si="0"/>
        <v>19.05.2014</v>
      </c>
      <c r="J60" s="109" t="str">
        <f t="shared" si="1"/>
        <v>31.12.2014</v>
      </c>
    </row>
    <row r="61" spans="2:10">
      <c r="B61" t="s">
        <v>152</v>
      </c>
      <c r="C61" s="94" t="e">
        <f>+#REF!</f>
        <v>#REF!</v>
      </c>
      <c r="D61" s="94" t="s">
        <v>153</v>
      </c>
      <c r="E61" s="94">
        <v>10</v>
      </c>
      <c r="F61" s="94">
        <v>14</v>
      </c>
      <c r="G61" s="113" t="e">
        <f>+#REF!</f>
        <v>#REF!</v>
      </c>
      <c r="H61" s="95" t="s">
        <v>288</v>
      </c>
      <c r="I61" s="108" t="str">
        <f t="shared" si="0"/>
        <v>19.05.2014</v>
      </c>
      <c r="J61" s="109" t="str">
        <f t="shared" si="1"/>
        <v>31.12.2014</v>
      </c>
    </row>
    <row r="62" spans="2:10">
      <c r="B62" t="s">
        <v>152</v>
      </c>
      <c r="C62" s="94" t="e">
        <f>+#REF!</f>
        <v>#REF!</v>
      </c>
      <c r="D62" s="94" t="s">
        <v>153</v>
      </c>
      <c r="E62" s="94">
        <v>10</v>
      </c>
      <c r="F62" s="94">
        <v>14</v>
      </c>
      <c r="G62" s="113" t="e">
        <f>+#REF!</f>
        <v>#REF!</v>
      </c>
      <c r="H62" s="95" t="s">
        <v>288</v>
      </c>
      <c r="I62" s="108" t="str">
        <f t="shared" si="0"/>
        <v>19.05.2014</v>
      </c>
      <c r="J62" s="109" t="str">
        <f t="shared" si="1"/>
        <v>31.12.2014</v>
      </c>
    </row>
    <row r="63" spans="2:10">
      <c r="B63" t="s">
        <v>152</v>
      </c>
      <c r="C63" s="94" t="e">
        <f>+#REF!</f>
        <v>#REF!</v>
      </c>
      <c r="D63" s="94" t="s">
        <v>153</v>
      </c>
      <c r="E63" s="94">
        <v>10</v>
      </c>
      <c r="F63" s="94">
        <v>14</v>
      </c>
      <c r="G63" s="113" t="e">
        <f>+#REF!</f>
        <v>#REF!</v>
      </c>
      <c r="H63" s="95" t="s">
        <v>288</v>
      </c>
      <c r="I63" s="108" t="str">
        <f t="shared" si="0"/>
        <v>19.05.2014</v>
      </c>
      <c r="J63" s="109" t="str">
        <f t="shared" si="1"/>
        <v>31.12.2014</v>
      </c>
    </row>
    <row r="64" spans="2:10">
      <c r="B64" t="s">
        <v>152</v>
      </c>
      <c r="C64" s="94" t="e">
        <f>+#REF!</f>
        <v>#REF!</v>
      </c>
      <c r="D64" s="94" t="s">
        <v>153</v>
      </c>
      <c r="E64" s="94">
        <v>10</v>
      </c>
      <c r="F64" s="94">
        <v>14</v>
      </c>
      <c r="G64" s="113" t="e">
        <f>+#REF!</f>
        <v>#REF!</v>
      </c>
      <c r="H64" s="95" t="s">
        <v>288</v>
      </c>
      <c r="I64" s="108" t="str">
        <f t="shared" si="0"/>
        <v>19.05.2014</v>
      </c>
      <c r="J64" s="109" t="str">
        <f t="shared" si="1"/>
        <v>31.12.2014</v>
      </c>
    </row>
    <row r="65" spans="2:11">
      <c r="B65" t="s">
        <v>152</v>
      </c>
      <c r="C65" s="94" t="e">
        <f>+#REF!</f>
        <v>#REF!</v>
      </c>
      <c r="D65" s="94" t="s">
        <v>153</v>
      </c>
      <c r="E65" s="94">
        <v>10</v>
      </c>
      <c r="F65" s="94">
        <v>14</v>
      </c>
      <c r="G65" s="113" t="e">
        <f>+#REF!</f>
        <v>#REF!</v>
      </c>
      <c r="H65" s="95" t="s">
        <v>288</v>
      </c>
      <c r="I65" s="108" t="str">
        <f t="shared" si="0"/>
        <v>19.05.2014</v>
      </c>
      <c r="J65" s="109" t="str">
        <f t="shared" si="1"/>
        <v>31.12.2014</v>
      </c>
    </row>
    <row r="66" spans="2:11">
      <c r="B66" t="s">
        <v>152</v>
      </c>
      <c r="C66" s="94" t="e">
        <f>+#REF!</f>
        <v>#REF!</v>
      </c>
      <c r="D66" s="94" t="s">
        <v>153</v>
      </c>
      <c r="E66" s="94">
        <v>10</v>
      </c>
      <c r="F66" s="94">
        <v>14</v>
      </c>
      <c r="G66" s="113" t="e">
        <f>+#REF!</f>
        <v>#REF!</v>
      </c>
      <c r="H66" s="95" t="s">
        <v>288</v>
      </c>
      <c r="I66" s="108" t="str">
        <f t="shared" si="0"/>
        <v>19.05.2014</v>
      </c>
      <c r="J66" s="109" t="str">
        <f t="shared" si="1"/>
        <v>31.12.2014</v>
      </c>
    </row>
    <row r="67" spans="2:11">
      <c r="B67" t="s">
        <v>152</v>
      </c>
      <c r="C67" s="94" t="e">
        <f>+#REF!</f>
        <v>#REF!</v>
      </c>
      <c r="D67" s="94" t="s">
        <v>153</v>
      </c>
      <c r="E67" s="94">
        <v>10</v>
      </c>
      <c r="F67" s="94">
        <v>10</v>
      </c>
      <c r="G67" s="113" t="e">
        <f>+#REF!</f>
        <v>#REF!</v>
      </c>
      <c r="H67" s="95" t="s">
        <v>288</v>
      </c>
      <c r="I67" s="108" t="str">
        <f t="shared" si="0"/>
        <v>19.05.2014</v>
      </c>
      <c r="J67" s="109" t="str">
        <f t="shared" si="1"/>
        <v>31.12.2014</v>
      </c>
    </row>
    <row r="68" spans="2:11">
      <c r="B68" t="s">
        <v>152</v>
      </c>
      <c r="C68" s="94" t="e">
        <f>+#REF!</f>
        <v>#REF!</v>
      </c>
      <c r="D68" s="94" t="s">
        <v>153</v>
      </c>
      <c r="E68" s="94">
        <v>10</v>
      </c>
      <c r="F68" s="94">
        <v>10</v>
      </c>
      <c r="G68" s="113" t="e">
        <f>+#REF!</f>
        <v>#REF!</v>
      </c>
      <c r="H68" s="95" t="s">
        <v>288</v>
      </c>
      <c r="I68" s="108" t="str">
        <f t="shared" si="0"/>
        <v>19.05.2014</v>
      </c>
      <c r="J68" s="109" t="str">
        <f t="shared" si="1"/>
        <v>31.12.2014</v>
      </c>
    </row>
    <row r="69" spans="2:11">
      <c r="B69" t="s">
        <v>152</v>
      </c>
      <c r="C69" s="94" t="e">
        <f>+#REF!</f>
        <v>#REF!</v>
      </c>
      <c r="D69" s="94" t="s">
        <v>153</v>
      </c>
      <c r="E69" s="94">
        <v>10</v>
      </c>
      <c r="F69" s="94">
        <v>10</v>
      </c>
      <c r="G69" s="113" t="e">
        <f>+#REF!</f>
        <v>#REF!</v>
      </c>
      <c r="H69" s="95" t="s">
        <v>288</v>
      </c>
      <c r="I69" s="108" t="str">
        <f t="shared" si="0"/>
        <v>19.05.2014</v>
      </c>
      <c r="J69" s="109" t="str">
        <f t="shared" si="1"/>
        <v>31.12.2014</v>
      </c>
    </row>
    <row r="70" spans="2:11">
      <c r="B70" t="s">
        <v>152</v>
      </c>
      <c r="C70" s="94" t="e">
        <f>+#REF!</f>
        <v>#REF!</v>
      </c>
      <c r="D70" s="94" t="s">
        <v>153</v>
      </c>
      <c r="E70" s="94">
        <v>10</v>
      </c>
      <c r="F70" s="94">
        <v>10</v>
      </c>
      <c r="G70" s="113" t="e">
        <f>+#REF!</f>
        <v>#REF!</v>
      </c>
      <c r="H70" s="95" t="s">
        <v>288</v>
      </c>
      <c r="I70" s="108" t="str">
        <f t="shared" si="0"/>
        <v>19.05.2014</v>
      </c>
      <c r="J70" s="109" t="str">
        <f t="shared" si="1"/>
        <v>31.12.2014</v>
      </c>
    </row>
    <row r="71" spans="2:11">
      <c r="B71" t="s">
        <v>152</v>
      </c>
      <c r="C71" s="94" t="e">
        <f>+#REF!</f>
        <v>#REF!</v>
      </c>
      <c r="D71" s="94" t="s">
        <v>153</v>
      </c>
      <c r="E71" s="94">
        <v>10</v>
      </c>
      <c r="F71" s="94">
        <v>10</v>
      </c>
      <c r="G71" s="113" t="e">
        <f>+#REF!</f>
        <v>#REF!</v>
      </c>
      <c r="H71" s="95" t="s">
        <v>288</v>
      </c>
      <c r="I71" s="108" t="str">
        <f t="shared" ref="I71:I134" si="2">+$I$5</f>
        <v>19.05.2014</v>
      </c>
      <c r="J71" s="109" t="str">
        <f t="shared" ref="J71:J134" si="3">+J70</f>
        <v>31.12.2014</v>
      </c>
    </row>
    <row r="72" spans="2:11">
      <c r="B72" t="s">
        <v>152</v>
      </c>
      <c r="C72" s="94" t="e">
        <f>+#REF!</f>
        <v>#REF!</v>
      </c>
      <c r="D72" s="94" t="s">
        <v>153</v>
      </c>
      <c r="E72" s="94">
        <v>10</v>
      </c>
      <c r="F72" s="94">
        <v>10</v>
      </c>
      <c r="G72" s="113" t="e">
        <f>+#REF!</f>
        <v>#REF!</v>
      </c>
      <c r="H72" s="95" t="s">
        <v>288</v>
      </c>
      <c r="I72" s="108" t="str">
        <f t="shared" si="2"/>
        <v>19.05.2014</v>
      </c>
      <c r="J72" s="109" t="str">
        <f t="shared" si="3"/>
        <v>31.12.2014</v>
      </c>
    </row>
    <row r="73" spans="2:11">
      <c r="B73" t="s">
        <v>152</v>
      </c>
      <c r="C73" s="94" t="e">
        <f>+#REF!</f>
        <v>#REF!</v>
      </c>
      <c r="D73" s="94" t="s">
        <v>153</v>
      </c>
      <c r="E73" s="94">
        <v>10</v>
      </c>
      <c r="F73" s="94">
        <v>10</v>
      </c>
      <c r="G73" s="113" t="e">
        <f>+#REF!</f>
        <v>#REF!</v>
      </c>
      <c r="H73" s="95" t="s">
        <v>288</v>
      </c>
      <c r="I73" s="108" t="str">
        <f t="shared" si="2"/>
        <v>19.05.2014</v>
      </c>
      <c r="J73" s="109" t="str">
        <f t="shared" si="3"/>
        <v>31.12.2014</v>
      </c>
    </row>
    <row r="74" spans="2:11">
      <c r="B74" t="s">
        <v>152</v>
      </c>
      <c r="C74" s="94" t="e">
        <f>+#REF!</f>
        <v>#REF!</v>
      </c>
      <c r="D74" s="94" t="s">
        <v>153</v>
      </c>
      <c r="E74" s="94">
        <v>10</v>
      </c>
      <c r="F74" s="94">
        <v>10</v>
      </c>
      <c r="G74" s="113" t="e">
        <f>+#REF!</f>
        <v>#REF!</v>
      </c>
      <c r="H74" s="95" t="s">
        <v>288</v>
      </c>
      <c r="I74" s="108" t="str">
        <f t="shared" si="2"/>
        <v>19.05.2014</v>
      </c>
      <c r="J74" s="109" t="str">
        <f t="shared" si="3"/>
        <v>31.12.2014</v>
      </c>
    </row>
    <row r="75" spans="2:11">
      <c r="B75" t="s">
        <v>152</v>
      </c>
      <c r="C75" s="94" t="e">
        <f>+#REF!</f>
        <v>#REF!</v>
      </c>
      <c r="D75" s="94" t="s">
        <v>153</v>
      </c>
      <c r="E75" s="94">
        <v>10</v>
      </c>
      <c r="F75" s="94">
        <v>10</v>
      </c>
      <c r="G75" s="113" t="e">
        <f>+#REF!</f>
        <v>#REF!</v>
      </c>
      <c r="H75" s="95" t="s">
        <v>288</v>
      </c>
      <c r="I75" s="108" t="str">
        <f t="shared" si="2"/>
        <v>19.05.2014</v>
      </c>
      <c r="J75" s="109" t="str">
        <f t="shared" si="3"/>
        <v>31.12.2014</v>
      </c>
    </row>
    <row r="76" spans="2:11">
      <c r="B76" t="s">
        <v>152</v>
      </c>
      <c r="C76" s="94" t="e">
        <f>+#REF!</f>
        <v>#REF!</v>
      </c>
      <c r="D76" s="94" t="s">
        <v>153</v>
      </c>
      <c r="E76" s="94">
        <v>10</v>
      </c>
      <c r="F76" s="94">
        <v>10</v>
      </c>
      <c r="G76" s="113" t="e">
        <f>+#REF!</f>
        <v>#REF!</v>
      </c>
      <c r="H76" s="95" t="s">
        <v>288</v>
      </c>
      <c r="I76" s="108" t="str">
        <f t="shared" si="2"/>
        <v>19.05.2014</v>
      </c>
      <c r="J76" s="109" t="str">
        <f t="shared" si="3"/>
        <v>31.12.2014</v>
      </c>
    </row>
    <row r="77" spans="2:11">
      <c r="B77" t="s">
        <v>152</v>
      </c>
      <c r="C77" s="94" t="e">
        <f>+#REF!</f>
        <v>#REF!</v>
      </c>
      <c r="D77" s="94" t="s">
        <v>153</v>
      </c>
      <c r="E77" s="94">
        <v>10</v>
      </c>
      <c r="F77" s="94">
        <v>10</v>
      </c>
      <c r="G77" s="113" t="e">
        <f>+#REF!</f>
        <v>#REF!</v>
      </c>
      <c r="H77" s="95" t="s">
        <v>288</v>
      </c>
      <c r="I77" s="108" t="str">
        <f t="shared" si="2"/>
        <v>19.05.2014</v>
      </c>
      <c r="J77" s="109" t="str">
        <f t="shared" si="3"/>
        <v>31.12.2014</v>
      </c>
    </row>
    <row r="78" spans="2:11">
      <c r="B78" t="s">
        <v>152</v>
      </c>
      <c r="C78" s="94" t="e">
        <f>+#REF!</f>
        <v>#REF!</v>
      </c>
      <c r="D78" s="94" t="s">
        <v>153</v>
      </c>
      <c r="E78" s="94">
        <v>10</v>
      </c>
      <c r="F78" s="94">
        <v>10</v>
      </c>
      <c r="G78" s="113" t="e">
        <f>+#REF!</f>
        <v>#REF!</v>
      </c>
      <c r="H78" s="95" t="s">
        <v>288</v>
      </c>
      <c r="I78" s="108" t="str">
        <f t="shared" si="2"/>
        <v>19.05.2014</v>
      </c>
      <c r="J78" s="109" t="str">
        <f t="shared" si="3"/>
        <v>31.12.2014</v>
      </c>
    </row>
    <row r="79" spans="2:11">
      <c r="B79" t="s">
        <v>152</v>
      </c>
      <c r="C79" s="94" t="e">
        <f>+#REF!</f>
        <v>#REF!</v>
      </c>
      <c r="D79" s="94" t="s">
        <v>153</v>
      </c>
      <c r="E79" s="94">
        <v>10</v>
      </c>
      <c r="F79" s="94">
        <v>10</v>
      </c>
      <c r="G79" s="113" t="e">
        <f>+#REF!</f>
        <v>#REF!</v>
      </c>
      <c r="H79" s="95" t="s">
        <v>288</v>
      </c>
      <c r="I79" s="108" t="str">
        <f t="shared" si="2"/>
        <v>19.05.2014</v>
      </c>
      <c r="J79" s="109" t="str">
        <f t="shared" si="3"/>
        <v>31.12.2014</v>
      </c>
      <c r="K79">
        <v>8100</v>
      </c>
    </row>
    <row r="80" spans="2:11">
      <c r="B80" t="s">
        <v>152</v>
      </c>
      <c r="C80" s="94" t="e">
        <f>+#REF!</f>
        <v>#REF!</v>
      </c>
      <c r="D80" s="94" t="s">
        <v>153</v>
      </c>
      <c r="E80" s="94">
        <v>10</v>
      </c>
      <c r="F80" s="94">
        <v>10</v>
      </c>
      <c r="G80" s="113" t="e">
        <f>+#REF!</f>
        <v>#REF!</v>
      </c>
      <c r="H80" s="95" t="s">
        <v>288</v>
      </c>
      <c r="I80" s="108" t="str">
        <f t="shared" si="2"/>
        <v>19.05.2014</v>
      </c>
      <c r="J80" s="109" t="str">
        <f t="shared" si="3"/>
        <v>31.12.2014</v>
      </c>
    </row>
    <row r="81" spans="2:11">
      <c r="B81" t="s">
        <v>152</v>
      </c>
      <c r="C81" s="94" t="e">
        <f>+#REF!</f>
        <v>#REF!</v>
      </c>
      <c r="D81" s="94" t="s">
        <v>153</v>
      </c>
      <c r="E81" s="94">
        <v>10</v>
      </c>
      <c r="F81" s="94">
        <v>10</v>
      </c>
      <c r="G81" s="113" t="e">
        <f>+#REF!</f>
        <v>#REF!</v>
      </c>
      <c r="H81" s="95" t="s">
        <v>288</v>
      </c>
      <c r="I81" s="108" t="str">
        <f t="shared" si="2"/>
        <v>19.05.2014</v>
      </c>
      <c r="J81" s="109" t="str">
        <f t="shared" si="3"/>
        <v>31.12.2014</v>
      </c>
    </row>
    <row r="82" spans="2:11">
      <c r="B82" t="s">
        <v>152</v>
      </c>
      <c r="C82" s="94" t="e">
        <f>+#REF!</f>
        <v>#REF!</v>
      </c>
      <c r="D82" s="94" t="s">
        <v>153</v>
      </c>
      <c r="E82" s="94">
        <v>10</v>
      </c>
      <c r="F82" s="94">
        <v>10</v>
      </c>
      <c r="G82" s="113" t="e">
        <f>+#REF!</f>
        <v>#REF!</v>
      </c>
      <c r="H82" s="95" t="s">
        <v>288</v>
      </c>
      <c r="I82" s="108" t="str">
        <f t="shared" si="2"/>
        <v>19.05.2014</v>
      </c>
      <c r="J82" s="109" t="str">
        <f t="shared" si="3"/>
        <v>31.12.2014</v>
      </c>
    </row>
    <row r="83" spans="2:11">
      <c r="B83" t="s">
        <v>152</v>
      </c>
      <c r="C83" s="94" t="e">
        <f>+#REF!</f>
        <v>#REF!</v>
      </c>
      <c r="D83" s="94" t="s">
        <v>153</v>
      </c>
      <c r="E83" s="94">
        <v>10</v>
      </c>
      <c r="F83" s="94">
        <v>10</v>
      </c>
      <c r="G83" s="113" t="e">
        <f>+#REF!</f>
        <v>#REF!</v>
      </c>
      <c r="H83" s="95" t="s">
        <v>288</v>
      </c>
      <c r="I83" s="108" t="str">
        <f t="shared" si="2"/>
        <v>19.05.2014</v>
      </c>
      <c r="J83" s="109" t="str">
        <f t="shared" si="3"/>
        <v>31.12.2014</v>
      </c>
    </row>
    <row r="84" spans="2:11">
      <c r="B84" t="s">
        <v>152</v>
      </c>
      <c r="C84" s="94" t="e">
        <f>+#REF!</f>
        <v>#REF!</v>
      </c>
      <c r="D84" s="94" t="s">
        <v>153</v>
      </c>
      <c r="E84" s="94">
        <v>10</v>
      </c>
      <c r="F84" s="94">
        <v>10</v>
      </c>
      <c r="G84" s="113" t="e">
        <f>+#REF!</f>
        <v>#REF!</v>
      </c>
      <c r="H84" s="95" t="s">
        <v>288</v>
      </c>
      <c r="I84" s="108" t="str">
        <f t="shared" si="2"/>
        <v>19.05.2014</v>
      </c>
      <c r="J84" s="109" t="str">
        <f t="shared" si="3"/>
        <v>31.12.2014</v>
      </c>
      <c r="K84">
        <v>8050</v>
      </c>
    </row>
    <row r="85" spans="2:11">
      <c r="B85" t="s">
        <v>152</v>
      </c>
      <c r="C85" s="94" t="e">
        <f>+#REF!</f>
        <v>#REF!</v>
      </c>
      <c r="D85" s="94" t="s">
        <v>153</v>
      </c>
      <c r="E85" s="94">
        <v>10</v>
      </c>
      <c r="F85" s="94">
        <v>10</v>
      </c>
      <c r="G85" s="113" t="e">
        <f>+#REF!</f>
        <v>#REF!</v>
      </c>
      <c r="H85" s="95" t="s">
        <v>288</v>
      </c>
      <c r="I85" s="108" t="str">
        <f t="shared" si="2"/>
        <v>19.05.2014</v>
      </c>
      <c r="J85" s="109" t="str">
        <f t="shared" si="3"/>
        <v>31.12.2014</v>
      </c>
    </row>
    <row r="86" spans="2:11">
      <c r="B86" t="s">
        <v>152</v>
      </c>
      <c r="C86" s="94" t="e">
        <f>+#REF!</f>
        <v>#REF!</v>
      </c>
      <c r="D86" s="94" t="s">
        <v>153</v>
      </c>
      <c r="E86" s="94">
        <v>10</v>
      </c>
      <c r="F86" s="94">
        <v>10</v>
      </c>
      <c r="G86" s="113" t="e">
        <f>+#REF!</f>
        <v>#REF!</v>
      </c>
      <c r="H86" s="95" t="s">
        <v>288</v>
      </c>
      <c r="I86" s="108" t="str">
        <f t="shared" si="2"/>
        <v>19.05.2014</v>
      </c>
      <c r="J86" s="109" t="str">
        <f t="shared" si="3"/>
        <v>31.12.2014</v>
      </c>
    </row>
    <row r="87" spans="2:11">
      <c r="B87" t="s">
        <v>152</v>
      </c>
      <c r="C87" s="94" t="e">
        <f>+#REF!</f>
        <v>#REF!</v>
      </c>
      <c r="D87" s="94" t="s">
        <v>153</v>
      </c>
      <c r="E87" s="94">
        <v>10</v>
      </c>
      <c r="F87" s="94">
        <v>10</v>
      </c>
      <c r="G87" s="113" t="e">
        <f>+#REF!</f>
        <v>#REF!</v>
      </c>
      <c r="H87" s="95" t="s">
        <v>288</v>
      </c>
      <c r="I87" s="108" t="str">
        <f t="shared" si="2"/>
        <v>19.05.2014</v>
      </c>
      <c r="J87" s="109" t="str">
        <f t="shared" si="3"/>
        <v>31.12.2014</v>
      </c>
    </row>
    <row r="88" spans="2:11">
      <c r="B88" t="s">
        <v>152</v>
      </c>
      <c r="C88" s="94" t="e">
        <f>+#REF!</f>
        <v>#REF!</v>
      </c>
      <c r="D88" s="94" t="s">
        <v>153</v>
      </c>
      <c r="E88" s="94">
        <v>10</v>
      </c>
      <c r="F88" s="94">
        <v>24</v>
      </c>
      <c r="G88" s="113" t="e">
        <f>+#REF!</f>
        <v>#REF!</v>
      </c>
      <c r="H88" s="95" t="s">
        <v>288</v>
      </c>
      <c r="I88" s="108" t="str">
        <f t="shared" si="2"/>
        <v>19.05.2014</v>
      </c>
      <c r="J88" s="109" t="str">
        <f t="shared" si="3"/>
        <v>31.12.2014</v>
      </c>
    </row>
    <row r="89" spans="2:11">
      <c r="B89" t="s">
        <v>152</v>
      </c>
      <c r="C89" s="94" t="e">
        <f>+#REF!</f>
        <v>#REF!</v>
      </c>
      <c r="D89" s="94" t="s">
        <v>153</v>
      </c>
      <c r="E89" s="94">
        <v>10</v>
      </c>
      <c r="F89" s="94">
        <v>24</v>
      </c>
      <c r="G89" s="113" t="e">
        <f>+#REF!</f>
        <v>#REF!</v>
      </c>
      <c r="H89" s="95" t="s">
        <v>288</v>
      </c>
      <c r="I89" s="108" t="str">
        <f t="shared" si="2"/>
        <v>19.05.2014</v>
      </c>
      <c r="J89" s="109" t="str">
        <f t="shared" si="3"/>
        <v>31.12.2014</v>
      </c>
    </row>
    <row r="90" spans="2:11">
      <c r="B90" t="s">
        <v>152</v>
      </c>
      <c r="C90" s="94" t="e">
        <f>+#REF!</f>
        <v>#REF!</v>
      </c>
      <c r="D90" s="94" t="s">
        <v>153</v>
      </c>
      <c r="E90" s="94">
        <v>10</v>
      </c>
      <c r="F90" s="94">
        <v>24</v>
      </c>
      <c r="G90" s="113" t="e">
        <f>+#REF!</f>
        <v>#REF!</v>
      </c>
      <c r="H90" s="95" t="s">
        <v>288</v>
      </c>
      <c r="I90" s="108" t="str">
        <f t="shared" si="2"/>
        <v>19.05.2014</v>
      </c>
      <c r="J90" s="109" t="str">
        <f t="shared" si="3"/>
        <v>31.12.2014</v>
      </c>
    </row>
    <row r="91" spans="2:11">
      <c r="B91" t="s">
        <v>152</v>
      </c>
      <c r="C91" s="94" t="e">
        <f>+#REF!</f>
        <v>#REF!</v>
      </c>
      <c r="D91" s="94" t="s">
        <v>153</v>
      </c>
      <c r="E91" s="94">
        <v>10</v>
      </c>
      <c r="F91" s="94">
        <v>24</v>
      </c>
      <c r="G91" s="113" t="e">
        <f>+#REF!</f>
        <v>#REF!</v>
      </c>
      <c r="H91" s="95" t="s">
        <v>288</v>
      </c>
      <c r="I91" s="108" t="str">
        <f t="shared" si="2"/>
        <v>19.05.2014</v>
      </c>
      <c r="J91" s="109" t="str">
        <f t="shared" si="3"/>
        <v>31.12.2014</v>
      </c>
    </row>
    <row r="92" spans="2:11">
      <c r="B92" t="s">
        <v>152</v>
      </c>
      <c r="C92" s="94" t="e">
        <f>+#REF!</f>
        <v>#REF!</v>
      </c>
      <c r="D92" s="94" t="s">
        <v>153</v>
      </c>
      <c r="E92" s="94">
        <v>10</v>
      </c>
      <c r="F92" s="94">
        <v>24</v>
      </c>
      <c r="G92" s="113" t="e">
        <f>+#REF!</f>
        <v>#REF!</v>
      </c>
      <c r="H92" s="95" t="s">
        <v>288</v>
      </c>
      <c r="I92" s="108" t="str">
        <f t="shared" si="2"/>
        <v>19.05.2014</v>
      </c>
      <c r="J92" s="109" t="str">
        <f t="shared" si="3"/>
        <v>31.12.2014</v>
      </c>
    </row>
    <row r="93" spans="2:11">
      <c r="B93" t="s">
        <v>152</v>
      </c>
      <c r="C93" s="94" t="e">
        <f>+#REF!</f>
        <v>#REF!</v>
      </c>
      <c r="D93" s="94" t="s">
        <v>153</v>
      </c>
      <c r="E93" s="94">
        <v>10</v>
      </c>
      <c r="F93" s="94">
        <v>24</v>
      </c>
      <c r="G93" s="113" t="e">
        <f>+#REF!</f>
        <v>#REF!</v>
      </c>
      <c r="H93" s="95" t="s">
        <v>288</v>
      </c>
      <c r="I93" s="108" t="str">
        <f t="shared" si="2"/>
        <v>19.05.2014</v>
      </c>
      <c r="J93" s="109" t="str">
        <f t="shared" si="3"/>
        <v>31.12.2014</v>
      </c>
    </row>
    <row r="94" spans="2:11">
      <c r="B94" t="s">
        <v>152</v>
      </c>
      <c r="C94" s="94" t="e">
        <f>+#REF!</f>
        <v>#REF!</v>
      </c>
      <c r="D94" s="94" t="s">
        <v>153</v>
      </c>
      <c r="E94" s="94">
        <v>10</v>
      </c>
      <c r="F94" s="94">
        <v>24</v>
      </c>
      <c r="G94" s="113" t="e">
        <f>+#REF!</f>
        <v>#REF!</v>
      </c>
      <c r="H94" s="95" t="s">
        <v>288</v>
      </c>
      <c r="I94" s="108" t="str">
        <f t="shared" si="2"/>
        <v>19.05.2014</v>
      </c>
      <c r="J94" s="109" t="str">
        <f t="shared" si="3"/>
        <v>31.12.2014</v>
      </c>
    </row>
    <row r="95" spans="2:11">
      <c r="B95" t="s">
        <v>152</v>
      </c>
      <c r="C95" s="94" t="e">
        <f>+#REF!</f>
        <v>#REF!</v>
      </c>
      <c r="D95" s="94" t="s">
        <v>153</v>
      </c>
      <c r="E95" s="94">
        <v>10</v>
      </c>
      <c r="F95" s="94">
        <v>24</v>
      </c>
      <c r="G95" s="113" t="e">
        <f>+#REF!</f>
        <v>#REF!</v>
      </c>
      <c r="H95" s="95" t="s">
        <v>288</v>
      </c>
      <c r="I95" s="108" t="str">
        <f t="shared" si="2"/>
        <v>19.05.2014</v>
      </c>
      <c r="J95" s="109" t="str">
        <f t="shared" si="3"/>
        <v>31.12.2014</v>
      </c>
    </row>
    <row r="96" spans="2:11">
      <c r="B96" t="s">
        <v>152</v>
      </c>
      <c r="C96" s="94" t="e">
        <f>+#REF!</f>
        <v>#REF!</v>
      </c>
      <c r="D96" s="94" t="s">
        <v>153</v>
      </c>
      <c r="E96" s="94">
        <v>10</v>
      </c>
      <c r="F96" s="94">
        <v>13</v>
      </c>
      <c r="G96" s="113" t="e">
        <f>+#REF!</f>
        <v>#REF!</v>
      </c>
      <c r="H96" s="95" t="s">
        <v>288</v>
      </c>
      <c r="I96" s="108" t="str">
        <f t="shared" si="2"/>
        <v>19.05.2014</v>
      </c>
      <c r="J96" s="109" t="str">
        <f t="shared" si="3"/>
        <v>31.12.2014</v>
      </c>
    </row>
    <row r="97" spans="2:10">
      <c r="B97" t="s">
        <v>152</v>
      </c>
      <c r="C97" s="94" t="e">
        <f>+#REF!</f>
        <v>#REF!</v>
      </c>
      <c r="D97" s="94" t="s">
        <v>153</v>
      </c>
      <c r="E97" s="94">
        <v>10</v>
      </c>
      <c r="F97" s="94">
        <v>13</v>
      </c>
      <c r="G97" s="113" t="e">
        <f>+#REF!</f>
        <v>#REF!</v>
      </c>
      <c r="H97" s="95" t="s">
        <v>288</v>
      </c>
      <c r="I97" s="108" t="str">
        <f t="shared" si="2"/>
        <v>19.05.2014</v>
      </c>
      <c r="J97" s="109" t="str">
        <f t="shared" si="3"/>
        <v>31.12.2014</v>
      </c>
    </row>
    <row r="98" spans="2:10">
      <c r="B98" t="s">
        <v>152</v>
      </c>
      <c r="C98" s="94" t="e">
        <f>+#REF!</f>
        <v>#REF!</v>
      </c>
      <c r="D98" s="94" t="s">
        <v>153</v>
      </c>
      <c r="E98" s="94">
        <v>10</v>
      </c>
      <c r="F98" s="94">
        <v>13</v>
      </c>
      <c r="G98" s="113" t="e">
        <f>+#REF!</f>
        <v>#REF!</v>
      </c>
      <c r="H98" s="95" t="s">
        <v>288</v>
      </c>
      <c r="I98" s="108" t="str">
        <f t="shared" si="2"/>
        <v>19.05.2014</v>
      </c>
      <c r="J98" s="109" t="str">
        <f t="shared" si="3"/>
        <v>31.12.2014</v>
      </c>
    </row>
    <row r="99" spans="2:10">
      <c r="B99" t="s">
        <v>152</v>
      </c>
      <c r="C99" s="94" t="e">
        <f>+#REF!</f>
        <v>#REF!</v>
      </c>
      <c r="D99" s="94" t="s">
        <v>153</v>
      </c>
      <c r="E99" s="94">
        <v>10</v>
      </c>
      <c r="F99" s="94">
        <v>13</v>
      </c>
      <c r="G99" s="113" t="e">
        <f>+#REF!</f>
        <v>#REF!</v>
      </c>
      <c r="H99" s="95" t="s">
        <v>288</v>
      </c>
      <c r="I99" s="108" t="str">
        <f t="shared" si="2"/>
        <v>19.05.2014</v>
      </c>
      <c r="J99" s="109" t="str">
        <f t="shared" si="3"/>
        <v>31.12.2014</v>
      </c>
    </row>
    <row r="100" spans="2:10">
      <c r="B100" t="s">
        <v>152</v>
      </c>
      <c r="C100" s="94" t="e">
        <f>+#REF!</f>
        <v>#REF!</v>
      </c>
      <c r="D100" s="94" t="s">
        <v>153</v>
      </c>
      <c r="E100" s="94">
        <v>10</v>
      </c>
      <c r="F100" s="94">
        <v>13</v>
      </c>
      <c r="G100" s="113" t="e">
        <f>+#REF!</f>
        <v>#REF!</v>
      </c>
      <c r="H100" s="95" t="s">
        <v>288</v>
      </c>
      <c r="I100" s="108" t="str">
        <f t="shared" si="2"/>
        <v>19.05.2014</v>
      </c>
      <c r="J100" s="109" t="str">
        <f t="shared" si="3"/>
        <v>31.12.2014</v>
      </c>
    </row>
    <row r="101" spans="2:10">
      <c r="B101" t="s">
        <v>152</v>
      </c>
      <c r="C101" s="94" t="e">
        <f>+#REF!</f>
        <v>#REF!</v>
      </c>
      <c r="D101" s="94" t="s">
        <v>153</v>
      </c>
      <c r="E101" s="94">
        <v>10</v>
      </c>
      <c r="F101" s="94">
        <v>13</v>
      </c>
      <c r="G101" s="113" t="e">
        <f>+#REF!</f>
        <v>#REF!</v>
      </c>
      <c r="H101" s="95" t="s">
        <v>288</v>
      </c>
      <c r="I101" s="108" t="str">
        <f t="shared" si="2"/>
        <v>19.05.2014</v>
      </c>
      <c r="J101" s="109" t="str">
        <f t="shared" si="3"/>
        <v>31.12.2014</v>
      </c>
    </row>
    <row r="102" spans="2:10">
      <c r="B102" t="s">
        <v>152</v>
      </c>
      <c r="C102" s="94" t="e">
        <f>+#REF!</f>
        <v>#REF!</v>
      </c>
      <c r="D102" s="94" t="s">
        <v>153</v>
      </c>
      <c r="E102" s="94">
        <v>10</v>
      </c>
      <c r="F102" s="94">
        <v>11</v>
      </c>
      <c r="G102" s="113" t="e">
        <f>+#REF!</f>
        <v>#REF!</v>
      </c>
      <c r="H102" s="95" t="s">
        <v>288</v>
      </c>
      <c r="I102" s="108" t="str">
        <f t="shared" si="2"/>
        <v>19.05.2014</v>
      </c>
      <c r="J102" s="109" t="str">
        <f t="shared" si="3"/>
        <v>31.12.2014</v>
      </c>
    </row>
    <row r="103" spans="2:10">
      <c r="B103" t="s">
        <v>152</v>
      </c>
      <c r="C103" s="94" t="e">
        <f>+#REF!</f>
        <v>#REF!</v>
      </c>
      <c r="D103" s="94" t="s">
        <v>153</v>
      </c>
      <c r="E103" s="94">
        <v>12</v>
      </c>
      <c r="F103" s="94">
        <v>12</v>
      </c>
      <c r="G103" s="113" t="e">
        <f>+#REF!</f>
        <v>#REF!</v>
      </c>
      <c r="H103" s="95" t="s">
        <v>288</v>
      </c>
      <c r="I103" s="108" t="str">
        <f t="shared" si="2"/>
        <v>19.05.2014</v>
      </c>
      <c r="J103" s="109" t="str">
        <f t="shared" si="3"/>
        <v>31.12.2014</v>
      </c>
    </row>
    <row r="104" spans="2:10">
      <c r="B104" t="s">
        <v>152</v>
      </c>
      <c r="C104" s="94" t="e">
        <f>+#REF!</f>
        <v>#REF!</v>
      </c>
      <c r="D104" s="94" t="s">
        <v>153</v>
      </c>
      <c r="E104" s="94">
        <v>12</v>
      </c>
      <c r="F104" s="94">
        <v>12</v>
      </c>
      <c r="G104" s="113" t="e">
        <f>+#REF!</f>
        <v>#REF!</v>
      </c>
      <c r="H104" s="95" t="s">
        <v>288</v>
      </c>
      <c r="I104" s="108" t="str">
        <f t="shared" si="2"/>
        <v>19.05.2014</v>
      </c>
      <c r="J104" s="109" t="str">
        <f t="shared" si="3"/>
        <v>31.12.2014</v>
      </c>
    </row>
    <row r="105" spans="2:10">
      <c r="B105" t="s">
        <v>152</v>
      </c>
      <c r="C105" s="94" t="e">
        <f>+#REF!</f>
        <v>#REF!</v>
      </c>
      <c r="D105" s="94" t="s">
        <v>153</v>
      </c>
      <c r="E105" s="94">
        <v>12</v>
      </c>
      <c r="F105" s="94">
        <v>12</v>
      </c>
      <c r="G105" s="113" t="e">
        <f>+#REF!</f>
        <v>#REF!</v>
      </c>
      <c r="H105" s="95" t="s">
        <v>288</v>
      </c>
      <c r="I105" s="108" t="str">
        <f t="shared" si="2"/>
        <v>19.05.2014</v>
      </c>
      <c r="J105" s="109" t="str">
        <f t="shared" si="3"/>
        <v>31.12.2014</v>
      </c>
    </row>
    <row r="106" spans="2:10">
      <c r="B106" t="s">
        <v>152</v>
      </c>
      <c r="C106" s="94" t="e">
        <f>+#REF!</f>
        <v>#REF!</v>
      </c>
      <c r="D106" s="94" t="s">
        <v>153</v>
      </c>
      <c r="E106" s="94">
        <v>12</v>
      </c>
      <c r="F106" s="94">
        <v>12</v>
      </c>
      <c r="G106" s="113" t="e">
        <f>+#REF!</f>
        <v>#REF!</v>
      </c>
      <c r="H106" s="95" t="s">
        <v>288</v>
      </c>
      <c r="I106" s="108" t="str">
        <f t="shared" si="2"/>
        <v>19.05.2014</v>
      </c>
      <c r="J106" s="109" t="str">
        <f t="shared" si="3"/>
        <v>31.12.2014</v>
      </c>
    </row>
    <row r="107" spans="2:10">
      <c r="B107" t="s">
        <v>152</v>
      </c>
      <c r="C107" s="94" t="e">
        <f>+#REF!</f>
        <v>#REF!</v>
      </c>
      <c r="D107" s="94" t="s">
        <v>153</v>
      </c>
      <c r="E107" s="94">
        <v>12</v>
      </c>
      <c r="F107" s="94">
        <v>12</v>
      </c>
      <c r="G107" s="113" t="e">
        <f>+#REF!</f>
        <v>#REF!</v>
      </c>
      <c r="H107" s="95" t="s">
        <v>288</v>
      </c>
      <c r="I107" s="108" t="str">
        <f t="shared" si="2"/>
        <v>19.05.2014</v>
      </c>
      <c r="J107" s="109" t="str">
        <f t="shared" si="3"/>
        <v>31.12.2014</v>
      </c>
    </row>
    <row r="108" spans="2:10">
      <c r="B108" t="s">
        <v>152</v>
      </c>
      <c r="C108" s="94" t="e">
        <f>+#REF!</f>
        <v>#REF!</v>
      </c>
      <c r="D108" s="94" t="s">
        <v>153</v>
      </c>
      <c r="E108" s="94">
        <v>12</v>
      </c>
      <c r="F108" s="94">
        <v>12</v>
      </c>
      <c r="G108" s="113" t="e">
        <f>+#REF!</f>
        <v>#REF!</v>
      </c>
      <c r="H108" s="95" t="s">
        <v>288</v>
      </c>
      <c r="I108" s="108" t="str">
        <f t="shared" si="2"/>
        <v>19.05.2014</v>
      </c>
      <c r="J108" s="109" t="str">
        <f t="shared" si="3"/>
        <v>31.12.2014</v>
      </c>
    </row>
    <row r="109" spans="2:10">
      <c r="B109" t="s">
        <v>152</v>
      </c>
      <c r="C109" s="94" t="e">
        <f>+#REF!</f>
        <v>#REF!</v>
      </c>
      <c r="D109" s="94" t="s">
        <v>153</v>
      </c>
      <c r="E109" s="94">
        <v>12</v>
      </c>
      <c r="F109" s="94">
        <v>12</v>
      </c>
      <c r="G109" s="113" t="e">
        <f>+#REF!</f>
        <v>#REF!</v>
      </c>
      <c r="H109" s="95" t="s">
        <v>288</v>
      </c>
      <c r="I109" s="108" t="str">
        <f t="shared" si="2"/>
        <v>19.05.2014</v>
      </c>
      <c r="J109" s="109" t="str">
        <f t="shared" si="3"/>
        <v>31.12.2014</v>
      </c>
    </row>
    <row r="110" spans="2:10">
      <c r="B110" t="s">
        <v>152</v>
      </c>
      <c r="C110" s="94" t="e">
        <f>+#REF!</f>
        <v>#REF!</v>
      </c>
      <c r="D110" s="94" t="s">
        <v>153</v>
      </c>
      <c r="E110" s="94">
        <v>12</v>
      </c>
      <c r="F110" s="94">
        <v>12</v>
      </c>
      <c r="G110" s="113" t="e">
        <f>+#REF!</f>
        <v>#REF!</v>
      </c>
      <c r="H110" s="95" t="s">
        <v>288</v>
      </c>
      <c r="I110" s="108" t="str">
        <f t="shared" si="2"/>
        <v>19.05.2014</v>
      </c>
      <c r="J110" s="109" t="str">
        <f t="shared" si="3"/>
        <v>31.12.2014</v>
      </c>
    </row>
    <row r="111" spans="2:10">
      <c r="B111" t="s">
        <v>152</v>
      </c>
      <c r="C111" s="94" t="e">
        <f>+#REF!</f>
        <v>#REF!</v>
      </c>
      <c r="D111" s="94" t="s">
        <v>153</v>
      </c>
      <c r="E111" s="94">
        <v>12</v>
      </c>
      <c r="F111" s="94">
        <v>12</v>
      </c>
      <c r="G111" s="113" t="e">
        <f>+#REF!</f>
        <v>#REF!</v>
      </c>
      <c r="H111" s="95" t="s">
        <v>288</v>
      </c>
      <c r="I111" s="108" t="str">
        <f t="shared" si="2"/>
        <v>19.05.2014</v>
      </c>
      <c r="J111" s="109" t="str">
        <f t="shared" si="3"/>
        <v>31.12.2014</v>
      </c>
    </row>
    <row r="112" spans="2:10">
      <c r="B112" t="s">
        <v>152</v>
      </c>
      <c r="C112" s="94" t="e">
        <f>+#REF!</f>
        <v>#REF!</v>
      </c>
      <c r="D112" s="94" t="s">
        <v>153</v>
      </c>
      <c r="E112" s="94">
        <v>12</v>
      </c>
      <c r="F112" s="94">
        <v>12</v>
      </c>
      <c r="G112" s="113" t="e">
        <f>+#REF!</f>
        <v>#REF!</v>
      </c>
      <c r="H112" s="95" t="s">
        <v>288</v>
      </c>
      <c r="I112" s="108" t="str">
        <f t="shared" si="2"/>
        <v>19.05.2014</v>
      </c>
      <c r="J112" s="109" t="str">
        <f t="shared" si="3"/>
        <v>31.12.2014</v>
      </c>
    </row>
    <row r="113" spans="2:10">
      <c r="B113" t="s">
        <v>152</v>
      </c>
      <c r="C113" s="94" t="e">
        <f>+#REF!</f>
        <v>#REF!</v>
      </c>
      <c r="D113" s="94" t="s">
        <v>153</v>
      </c>
      <c r="E113" s="94">
        <v>12</v>
      </c>
      <c r="F113" s="94">
        <v>12</v>
      </c>
      <c r="G113" s="113" t="e">
        <f>+#REF!</f>
        <v>#REF!</v>
      </c>
      <c r="H113" s="95" t="s">
        <v>288</v>
      </c>
      <c r="I113" s="108" t="str">
        <f t="shared" si="2"/>
        <v>19.05.2014</v>
      </c>
      <c r="J113" s="109" t="str">
        <f t="shared" si="3"/>
        <v>31.12.2014</v>
      </c>
    </row>
    <row r="114" spans="2:10">
      <c r="B114" t="s">
        <v>152</v>
      </c>
      <c r="C114" s="94" t="e">
        <f>+#REF!</f>
        <v>#REF!</v>
      </c>
      <c r="D114" s="94" t="s">
        <v>153</v>
      </c>
      <c r="E114" s="94">
        <v>12</v>
      </c>
      <c r="F114" s="94">
        <v>12</v>
      </c>
      <c r="G114" s="113" t="e">
        <f>+#REF!</f>
        <v>#REF!</v>
      </c>
      <c r="H114" s="95" t="s">
        <v>288</v>
      </c>
      <c r="I114" s="108" t="str">
        <f t="shared" si="2"/>
        <v>19.05.2014</v>
      </c>
      <c r="J114" s="109" t="str">
        <f t="shared" si="3"/>
        <v>31.12.2014</v>
      </c>
    </row>
    <row r="115" spans="2:10">
      <c r="B115" t="s">
        <v>152</v>
      </c>
      <c r="C115" s="94" t="e">
        <f>+#REF!</f>
        <v>#REF!</v>
      </c>
      <c r="D115" s="94" t="s">
        <v>153</v>
      </c>
      <c r="E115" s="94">
        <v>12</v>
      </c>
      <c r="F115" s="94">
        <v>12</v>
      </c>
      <c r="G115" s="113" t="e">
        <f>+#REF!</f>
        <v>#REF!</v>
      </c>
      <c r="H115" s="95" t="s">
        <v>288</v>
      </c>
      <c r="I115" s="108" t="str">
        <f t="shared" si="2"/>
        <v>19.05.2014</v>
      </c>
      <c r="J115" s="109" t="str">
        <f t="shared" si="3"/>
        <v>31.12.2014</v>
      </c>
    </row>
    <row r="116" spans="2:10">
      <c r="B116" t="s">
        <v>152</v>
      </c>
      <c r="C116" s="94" t="e">
        <f>+#REF!</f>
        <v>#REF!</v>
      </c>
      <c r="D116" s="94" t="s">
        <v>153</v>
      </c>
      <c r="E116" s="94">
        <v>12</v>
      </c>
      <c r="F116" s="94">
        <v>12</v>
      </c>
      <c r="G116" s="113" t="e">
        <f>+#REF!</f>
        <v>#REF!</v>
      </c>
      <c r="H116" s="95" t="s">
        <v>288</v>
      </c>
      <c r="I116" s="108" t="str">
        <f t="shared" si="2"/>
        <v>19.05.2014</v>
      </c>
      <c r="J116" s="109" t="str">
        <f t="shared" si="3"/>
        <v>31.12.2014</v>
      </c>
    </row>
    <row r="117" spans="2:10">
      <c r="B117" t="s">
        <v>152</v>
      </c>
      <c r="C117" s="94" t="e">
        <f>+#REF!</f>
        <v>#REF!</v>
      </c>
      <c r="D117" s="94" t="s">
        <v>153</v>
      </c>
      <c r="E117" s="94">
        <v>12</v>
      </c>
      <c r="F117" s="94">
        <v>12</v>
      </c>
      <c r="G117" s="113" t="e">
        <f>+#REF!</f>
        <v>#REF!</v>
      </c>
      <c r="H117" s="95" t="s">
        <v>288</v>
      </c>
      <c r="I117" s="108" t="str">
        <f t="shared" si="2"/>
        <v>19.05.2014</v>
      </c>
      <c r="J117" s="109" t="str">
        <f t="shared" si="3"/>
        <v>31.12.2014</v>
      </c>
    </row>
    <row r="118" spans="2:10">
      <c r="B118" t="s">
        <v>152</v>
      </c>
      <c r="C118" s="94" t="e">
        <f>+#REF!</f>
        <v>#REF!</v>
      </c>
      <c r="D118" s="94" t="s">
        <v>153</v>
      </c>
      <c r="E118" s="94">
        <v>12</v>
      </c>
      <c r="F118" s="94">
        <v>12</v>
      </c>
      <c r="G118" s="113" t="e">
        <f>+#REF!</f>
        <v>#REF!</v>
      </c>
      <c r="H118" s="95" t="s">
        <v>288</v>
      </c>
      <c r="I118" s="108" t="str">
        <f t="shared" si="2"/>
        <v>19.05.2014</v>
      </c>
      <c r="J118" s="109" t="str">
        <f t="shared" si="3"/>
        <v>31.12.2014</v>
      </c>
    </row>
    <row r="119" spans="2:10">
      <c r="B119" t="s">
        <v>152</v>
      </c>
      <c r="C119" s="94" t="e">
        <f>+#REF!</f>
        <v>#REF!</v>
      </c>
      <c r="D119" s="94" t="s">
        <v>153</v>
      </c>
      <c r="E119" s="94">
        <v>12</v>
      </c>
      <c r="F119" s="94">
        <v>12</v>
      </c>
      <c r="G119" s="113" t="e">
        <f>+#REF!</f>
        <v>#REF!</v>
      </c>
      <c r="H119" s="95" t="s">
        <v>288</v>
      </c>
      <c r="I119" s="108" t="str">
        <f t="shared" si="2"/>
        <v>19.05.2014</v>
      </c>
      <c r="J119" s="109" t="str">
        <f t="shared" si="3"/>
        <v>31.12.2014</v>
      </c>
    </row>
    <row r="120" spans="2:10">
      <c r="B120" t="s">
        <v>152</v>
      </c>
      <c r="C120" s="94" t="e">
        <f>+#REF!</f>
        <v>#REF!</v>
      </c>
      <c r="D120" s="94" t="s">
        <v>153</v>
      </c>
      <c r="E120" s="94">
        <v>12</v>
      </c>
      <c r="F120" s="94">
        <v>12</v>
      </c>
      <c r="G120" s="113" t="e">
        <f>+#REF!</f>
        <v>#REF!</v>
      </c>
      <c r="H120" s="95" t="s">
        <v>288</v>
      </c>
      <c r="I120" s="108" t="str">
        <f t="shared" si="2"/>
        <v>19.05.2014</v>
      </c>
      <c r="J120" s="109" t="str">
        <f t="shared" si="3"/>
        <v>31.12.2014</v>
      </c>
    </row>
    <row r="121" spans="2:10">
      <c r="B121" t="s">
        <v>152</v>
      </c>
      <c r="C121" s="94" t="e">
        <f>+#REF!</f>
        <v>#REF!</v>
      </c>
      <c r="D121" s="94" t="s">
        <v>153</v>
      </c>
      <c r="E121" s="94">
        <v>12</v>
      </c>
      <c r="F121" s="94">
        <v>12</v>
      </c>
      <c r="G121" s="113" t="e">
        <f>+#REF!</f>
        <v>#REF!</v>
      </c>
      <c r="H121" s="95" t="s">
        <v>288</v>
      </c>
      <c r="I121" s="108" t="str">
        <f t="shared" si="2"/>
        <v>19.05.2014</v>
      </c>
      <c r="J121" s="109" t="str">
        <f t="shared" si="3"/>
        <v>31.12.2014</v>
      </c>
    </row>
    <row r="122" spans="2:10">
      <c r="B122" t="s">
        <v>152</v>
      </c>
      <c r="C122" s="94" t="e">
        <f>+#REF!</f>
        <v>#REF!</v>
      </c>
      <c r="D122" s="94" t="s">
        <v>153</v>
      </c>
      <c r="E122" s="94">
        <v>12</v>
      </c>
      <c r="F122" s="94">
        <v>12</v>
      </c>
      <c r="G122" s="113" t="e">
        <f>+#REF!</f>
        <v>#REF!</v>
      </c>
      <c r="H122" s="95" t="s">
        <v>288</v>
      </c>
      <c r="I122" s="108" t="str">
        <f t="shared" si="2"/>
        <v>19.05.2014</v>
      </c>
      <c r="J122" s="109" t="str">
        <f t="shared" si="3"/>
        <v>31.12.2014</v>
      </c>
    </row>
    <row r="123" spans="2:10">
      <c r="B123" t="s">
        <v>152</v>
      </c>
      <c r="C123" s="94" t="e">
        <f>+#REF!</f>
        <v>#REF!</v>
      </c>
      <c r="D123" s="94" t="s">
        <v>153</v>
      </c>
      <c r="E123" s="94">
        <v>12</v>
      </c>
      <c r="F123" s="94">
        <v>12</v>
      </c>
      <c r="G123" s="113" t="e">
        <f>+#REF!</f>
        <v>#REF!</v>
      </c>
      <c r="H123" s="95" t="s">
        <v>288</v>
      </c>
      <c r="I123" s="108" t="str">
        <f t="shared" si="2"/>
        <v>19.05.2014</v>
      </c>
      <c r="J123" s="109" t="str">
        <f t="shared" si="3"/>
        <v>31.12.2014</v>
      </c>
    </row>
    <row r="124" spans="2:10">
      <c r="B124" t="s">
        <v>152</v>
      </c>
      <c r="C124" s="94" t="e">
        <f>+#REF!</f>
        <v>#REF!</v>
      </c>
      <c r="D124" s="94" t="s">
        <v>153</v>
      </c>
      <c r="E124" s="94">
        <v>12</v>
      </c>
      <c r="F124" s="94">
        <v>12</v>
      </c>
      <c r="G124" s="113" t="e">
        <f>+#REF!</f>
        <v>#REF!</v>
      </c>
      <c r="H124" s="95" t="s">
        <v>288</v>
      </c>
      <c r="I124" s="108" t="str">
        <f t="shared" si="2"/>
        <v>19.05.2014</v>
      </c>
      <c r="J124" s="109" t="str">
        <f t="shared" si="3"/>
        <v>31.12.2014</v>
      </c>
    </row>
    <row r="125" spans="2:10">
      <c r="B125" t="s">
        <v>152</v>
      </c>
      <c r="C125" s="94" t="e">
        <f>+#REF!</f>
        <v>#REF!</v>
      </c>
      <c r="D125" s="94" t="s">
        <v>153</v>
      </c>
      <c r="E125" s="94">
        <v>12</v>
      </c>
      <c r="F125" s="94">
        <v>12</v>
      </c>
      <c r="G125" s="113" t="e">
        <f>+#REF!</f>
        <v>#REF!</v>
      </c>
      <c r="H125" s="95" t="s">
        <v>288</v>
      </c>
      <c r="I125" s="108" t="str">
        <f t="shared" si="2"/>
        <v>19.05.2014</v>
      </c>
      <c r="J125" s="109" t="str">
        <f t="shared" si="3"/>
        <v>31.12.2014</v>
      </c>
    </row>
    <row r="126" spans="2:10">
      <c r="B126" t="s">
        <v>152</v>
      </c>
      <c r="C126" s="94" t="e">
        <f>+#REF!</f>
        <v>#REF!</v>
      </c>
      <c r="D126" s="94" t="s">
        <v>153</v>
      </c>
      <c r="E126" s="94">
        <v>12</v>
      </c>
      <c r="F126" s="94">
        <v>12</v>
      </c>
      <c r="G126" s="113" t="e">
        <f>+#REF!</f>
        <v>#REF!</v>
      </c>
      <c r="H126" s="95" t="s">
        <v>288</v>
      </c>
      <c r="I126" s="108" t="str">
        <f t="shared" si="2"/>
        <v>19.05.2014</v>
      </c>
      <c r="J126" s="109" t="str">
        <f t="shared" si="3"/>
        <v>31.12.2014</v>
      </c>
    </row>
    <row r="127" spans="2:10">
      <c r="B127" t="s">
        <v>152</v>
      </c>
      <c r="C127" s="94" t="e">
        <f>+#REF!</f>
        <v>#REF!</v>
      </c>
      <c r="D127" s="94" t="s">
        <v>153</v>
      </c>
      <c r="E127" s="94">
        <v>12</v>
      </c>
      <c r="F127" s="94">
        <v>12</v>
      </c>
      <c r="G127" s="113" t="e">
        <f>+#REF!</f>
        <v>#REF!</v>
      </c>
      <c r="H127" s="95" t="s">
        <v>288</v>
      </c>
      <c r="I127" s="108" t="str">
        <f t="shared" si="2"/>
        <v>19.05.2014</v>
      </c>
      <c r="J127" s="109" t="str">
        <f t="shared" si="3"/>
        <v>31.12.2014</v>
      </c>
    </row>
    <row r="128" spans="2:10">
      <c r="B128" t="s">
        <v>152</v>
      </c>
      <c r="C128" s="94" t="e">
        <f>+#REF!</f>
        <v>#REF!</v>
      </c>
      <c r="D128" s="94" t="s">
        <v>153</v>
      </c>
      <c r="E128" s="94">
        <v>12</v>
      </c>
      <c r="F128" s="94">
        <v>12</v>
      </c>
      <c r="G128" s="113" t="e">
        <f>+#REF!</f>
        <v>#REF!</v>
      </c>
      <c r="H128" s="95" t="s">
        <v>288</v>
      </c>
      <c r="I128" s="108" t="str">
        <f t="shared" si="2"/>
        <v>19.05.2014</v>
      </c>
      <c r="J128" s="109" t="str">
        <f t="shared" si="3"/>
        <v>31.12.2014</v>
      </c>
    </row>
    <row r="129" spans="2:10">
      <c r="B129" t="s">
        <v>152</v>
      </c>
      <c r="C129" s="94" t="e">
        <f>+#REF!</f>
        <v>#REF!</v>
      </c>
      <c r="D129" s="94" t="s">
        <v>153</v>
      </c>
      <c r="E129" s="94">
        <v>12</v>
      </c>
      <c r="F129" s="94">
        <v>12</v>
      </c>
      <c r="G129" s="113" t="e">
        <f>+#REF!</f>
        <v>#REF!</v>
      </c>
      <c r="H129" s="95" t="s">
        <v>288</v>
      </c>
      <c r="I129" s="108" t="str">
        <f t="shared" si="2"/>
        <v>19.05.2014</v>
      </c>
      <c r="J129" s="109" t="str">
        <f t="shared" si="3"/>
        <v>31.12.2014</v>
      </c>
    </row>
    <row r="130" spans="2:10">
      <c r="B130" t="s">
        <v>152</v>
      </c>
      <c r="C130" s="94" t="e">
        <f>+#REF!</f>
        <v>#REF!</v>
      </c>
      <c r="D130" s="94" t="s">
        <v>153</v>
      </c>
      <c r="E130" s="94">
        <v>12</v>
      </c>
      <c r="F130" s="94">
        <v>12</v>
      </c>
      <c r="G130" s="113" t="e">
        <f>+#REF!</f>
        <v>#REF!</v>
      </c>
      <c r="H130" s="95" t="s">
        <v>288</v>
      </c>
      <c r="I130" s="108" t="str">
        <f t="shared" si="2"/>
        <v>19.05.2014</v>
      </c>
      <c r="J130" s="109" t="str">
        <f t="shared" si="3"/>
        <v>31.12.2014</v>
      </c>
    </row>
    <row r="131" spans="2:10">
      <c r="B131" t="s">
        <v>152</v>
      </c>
      <c r="C131" s="94" t="e">
        <f>+#REF!</f>
        <v>#REF!</v>
      </c>
      <c r="D131" s="94" t="s">
        <v>153</v>
      </c>
      <c r="E131" s="94">
        <v>12</v>
      </c>
      <c r="F131" s="94">
        <v>12</v>
      </c>
      <c r="G131" s="113" t="e">
        <f>+#REF!</f>
        <v>#REF!</v>
      </c>
      <c r="H131" s="95" t="s">
        <v>288</v>
      </c>
      <c r="I131" s="108" t="str">
        <f t="shared" si="2"/>
        <v>19.05.2014</v>
      </c>
      <c r="J131" s="109" t="str">
        <f t="shared" si="3"/>
        <v>31.12.2014</v>
      </c>
    </row>
    <row r="132" spans="2:10">
      <c r="B132" t="s">
        <v>152</v>
      </c>
      <c r="C132" s="94" t="e">
        <f>+#REF!</f>
        <v>#REF!</v>
      </c>
      <c r="D132" s="94" t="s">
        <v>153</v>
      </c>
      <c r="E132" s="94">
        <v>12</v>
      </c>
      <c r="F132" s="94">
        <v>12</v>
      </c>
      <c r="G132" s="113" t="e">
        <f>+#REF!</f>
        <v>#REF!</v>
      </c>
      <c r="H132" s="95" t="s">
        <v>288</v>
      </c>
      <c r="I132" s="108" t="str">
        <f t="shared" si="2"/>
        <v>19.05.2014</v>
      </c>
      <c r="J132" s="109" t="str">
        <f t="shared" si="3"/>
        <v>31.12.2014</v>
      </c>
    </row>
    <row r="133" spans="2:10">
      <c r="B133" t="s">
        <v>152</v>
      </c>
      <c r="C133" s="94" t="e">
        <f>+#REF!</f>
        <v>#REF!</v>
      </c>
      <c r="D133" s="94" t="s">
        <v>153</v>
      </c>
      <c r="E133" s="94">
        <v>12</v>
      </c>
      <c r="F133" s="94">
        <v>12</v>
      </c>
      <c r="G133" s="113" t="e">
        <f>+#REF!</f>
        <v>#REF!</v>
      </c>
      <c r="H133" s="95" t="s">
        <v>288</v>
      </c>
      <c r="I133" s="108" t="str">
        <f t="shared" si="2"/>
        <v>19.05.2014</v>
      </c>
      <c r="J133" s="109" t="str">
        <f t="shared" si="3"/>
        <v>31.12.2014</v>
      </c>
    </row>
    <row r="134" spans="2:10">
      <c r="B134" t="s">
        <v>152</v>
      </c>
      <c r="C134" s="94" t="e">
        <f>+#REF!</f>
        <v>#REF!</v>
      </c>
      <c r="D134" s="94" t="s">
        <v>153</v>
      </c>
      <c r="E134" s="94">
        <v>12</v>
      </c>
      <c r="F134" s="94">
        <v>12</v>
      </c>
      <c r="G134" s="113" t="e">
        <f>+#REF!</f>
        <v>#REF!</v>
      </c>
      <c r="H134" s="95" t="s">
        <v>288</v>
      </c>
      <c r="I134" s="108" t="str">
        <f t="shared" si="2"/>
        <v>19.05.2014</v>
      </c>
      <c r="J134" s="109" t="str">
        <f t="shared" si="3"/>
        <v>31.12.2014</v>
      </c>
    </row>
    <row r="135" spans="2:10">
      <c r="B135" t="s">
        <v>152</v>
      </c>
      <c r="C135" s="94" t="e">
        <f>+#REF!</f>
        <v>#REF!</v>
      </c>
      <c r="D135" s="94" t="s">
        <v>153</v>
      </c>
      <c r="E135" s="94">
        <v>12</v>
      </c>
      <c r="F135" s="94">
        <v>12</v>
      </c>
      <c r="G135" s="113" t="e">
        <f>+#REF!</f>
        <v>#REF!</v>
      </c>
      <c r="H135" s="95" t="s">
        <v>288</v>
      </c>
      <c r="I135" s="108" t="str">
        <f t="shared" ref="I135:I198" si="4">+$I$5</f>
        <v>19.05.2014</v>
      </c>
      <c r="J135" s="109" t="str">
        <f t="shared" ref="J135:J198" si="5">+J134</f>
        <v>31.12.2014</v>
      </c>
    </row>
    <row r="136" spans="2:10">
      <c r="B136" t="s">
        <v>152</v>
      </c>
      <c r="C136" s="94" t="e">
        <f>+#REF!</f>
        <v>#REF!</v>
      </c>
      <c r="D136" s="94" t="s">
        <v>153</v>
      </c>
      <c r="E136" s="94">
        <v>12</v>
      </c>
      <c r="F136" s="94">
        <v>12</v>
      </c>
      <c r="G136" s="113" t="e">
        <f>+#REF!</f>
        <v>#REF!</v>
      </c>
      <c r="H136" s="95" t="s">
        <v>288</v>
      </c>
      <c r="I136" s="108" t="str">
        <f t="shared" si="4"/>
        <v>19.05.2014</v>
      </c>
      <c r="J136" s="109" t="str">
        <f t="shared" si="5"/>
        <v>31.12.2014</v>
      </c>
    </row>
    <row r="137" spans="2:10">
      <c r="B137" t="s">
        <v>152</v>
      </c>
      <c r="C137" s="94" t="e">
        <f>+#REF!</f>
        <v>#REF!</v>
      </c>
      <c r="D137" s="94" t="s">
        <v>153</v>
      </c>
      <c r="E137" s="94">
        <v>12</v>
      </c>
      <c r="F137" s="94">
        <v>12</v>
      </c>
      <c r="G137" s="113" t="e">
        <f>+#REF!</f>
        <v>#REF!</v>
      </c>
      <c r="H137" s="95" t="s">
        <v>288</v>
      </c>
      <c r="I137" s="108" t="str">
        <f t="shared" si="4"/>
        <v>19.05.2014</v>
      </c>
      <c r="J137" s="109" t="str">
        <f t="shared" si="5"/>
        <v>31.12.2014</v>
      </c>
    </row>
    <row r="138" spans="2:10">
      <c r="B138" t="s">
        <v>152</v>
      </c>
      <c r="C138" s="94" t="e">
        <f>+#REF!</f>
        <v>#REF!</v>
      </c>
      <c r="D138" s="94" t="s">
        <v>153</v>
      </c>
      <c r="E138" s="94">
        <v>12</v>
      </c>
      <c r="F138" s="94">
        <v>12</v>
      </c>
      <c r="G138" s="113" t="e">
        <f>+#REF!</f>
        <v>#REF!</v>
      </c>
      <c r="H138" s="95" t="s">
        <v>288</v>
      </c>
      <c r="I138" s="108" t="str">
        <f t="shared" si="4"/>
        <v>19.05.2014</v>
      </c>
      <c r="J138" s="109" t="str">
        <f t="shared" si="5"/>
        <v>31.12.2014</v>
      </c>
    </row>
    <row r="139" spans="2:10">
      <c r="B139" t="s">
        <v>152</v>
      </c>
      <c r="C139" s="94" t="e">
        <f>+#REF!</f>
        <v>#REF!</v>
      </c>
      <c r="D139" s="94" t="s">
        <v>153</v>
      </c>
      <c r="E139" s="94">
        <v>12</v>
      </c>
      <c r="F139" s="94">
        <v>12</v>
      </c>
      <c r="G139" s="113" t="e">
        <f>+#REF!</f>
        <v>#REF!</v>
      </c>
      <c r="H139" s="95" t="s">
        <v>288</v>
      </c>
      <c r="I139" s="108" t="str">
        <f t="shared" si="4"/>
        <v>19.05.2014</v>
      </c>
      <c r="J139" s="109" t="str">
        <f t="shared" si="5"/>
        <v>31.12.2014</v>
      </c>
    </row>
    <row r="140" spans="2:10">
      <c r="B140" t="s">
        <v>152</v>
      </c>
      <c r="C140" s="94" t="e">
        <f>+#REF!</f>
        <v>#REF!</v>
      </c>
      <c r="D140" s="94" t="s">
        <v>153</v>
      </c>
      <c r="E140" s="94">
        <v>12</v>
      </c>
      <c r="F140" s="94">
        <v>12</v>
      </c>
      <c r="G140" s="113" t="e">
        <f>+#REF!</f>
        <v>#REF!</v>
      </c>
      <c r="H140" s="95" t="s">
        <v>288</v>
      </c>
      <c r="I140" s="108" t="str">
        <f t="shared" si="4"/>
        <v>19.05.2014</v>
      </c>
      <c r="J140" s="109" t="str">
        <f t="shared" si="5"/>
        <v>31.12.2014</v>
      </c>
    </row>
    <row r="141" spans="2:10">
      <c r="B141" t="s">
        <v>152</v>
      </c>
      <c r="C141" s="94" t="e">
        <f>+#REF!</f>
        <v>#REF!</v>
      </c>
      <c r="D141" s="94" t="s">
        <v>153</v>
      </c>
      <c r="E141" s="94">
        <v>12</v>
      </c>
      <c r="F141" s="94">
        <v>12</v>
      </c>
      <c r="G141" s="113" t="e">
        <f>+#REF!</f>
        <v>#REF!</v>
      </c>
      <c r="H141" s="95" t="s">
        <v>288</v>
      </c>
      <c r="I141" s="108" t="str">
        <f t="shared" si="4"/>
        <v>19.05.2014</v>
      </c>
      <c r="J141" s="109" t="str">
        <f t="shared" si="5"/>
        <v>31.12.2014</v>
      </c>
    </row>
    <row r="142" spans="2:10">
      <c r="B142" t="s">
        <v>152</v>
      </c>
      <c r="C142" s="94" t="e">
        <f>+#REF!</f>
        <v>#REF!</v>
      </c>
      <c r="D142" s="94" t="s">
        <v>153</v>
      </c>
      <c r="E142" s="94">
        <v>12</v>
      </c>
      <c r="F142" s="94">
        <v>12</v>
      </c>
      <c r="G142" s="113" t="e">
        <f>+#REF!</f>
        <v>#REF!</v>
      </c>
      <c r="H142" s="95" t="s">
        <v>288</v>
      </c>
      <c r="I142" s="108" t="str">
        <f t="shared" si="4"/>
        <v>19.05.2014</v>
      </c>
      <c r="J142" s="109" t="str">
        <f t="shared" si="5"/>
        <v>31.12.2014</v>
      </c>
    </row>
    <row r="143" spans="2:10">
      <c r="B143" t="s">
        <v>152</v>
      </c>
      <c r="C143" s="94" t="e">
        <f>+#REF!</f>
        <v>#REF!</v>
      </c>
      <c r="D143" s="94" t="s">
        <v>153</v>
      </c>
      <c r="E143" s="94">
        <v>12</v>
      </c>
      <c r="F143" s="94">
        <v>12</v>
      </c>
      <c r="G143" s="113" t="e">
        <f>+#REF!</f>
        <v>#REF!</v>
      </c>
      <c r="H143" s="95" t="s">
        <v>288</v>
      </c>
      <c r="I143" s="108" t="str">
        <f t="shared" si="4"/>
        <v>19.05.2014</v>
      </c>
      <c r="J143" s="109" t="str">
        <f t="shared" si="5"/>
        <v>31.12.2014</v>
      </c>
    </row>
    <row r="144" spans="2:10">
      <c r="B144" t="s">
        <v>152</v>
      </c>
      <c r="C144" s="94" t="e">
        <f>+#REF!</f>
        <v>#REF!</v>
      </c>
      <c r="D144" s="94" t="s">
        <v>153</v>
      </c>
      <c r="E144" s="94">
        <v>12</v>
      </c>
      <c r="F144" s="94">
        <v>12</v>
      </c>
      <c r="G144" s="113" t="e">
        <f>+#REF!</f>
        <v>#REF!</v>
      </c>
      <c r="H144" s="95" t="s">
        <v>288</v>
      </c>
      <c r="I144" s="108" t="str">
        <f t="shared" si="4"/>
        <v>19.05.2014</v>
      </c>
      <c r="J144" s="109" t="str">
        <f t="shared" si="5"/>
        <v>31.12.2014</v>
      </c>
    </row>
    <row r="145" spans="2:10">
      <c r="B145" t="s">
        <v>152</v>
      </c>
      <c r="C145" s="94" t="e">
        <f>+#REF!</f>
        <v>#REF!</v>
      </c>
      <c r="D145" s="94" t="s">
        <v>153</v>
      </c>
      <c r="E145" s="94">
        <v>12</v>
      </c>
      <c r="F145" s="94">
        <v>12</v>
      </c>
      <c r="G145" s="113" t="e">
        <f>+#REF!</f>
        <v>#REF!</v>
      </c>
      <c r="H145" s="95" t="s">
        <v>288</v>
      </c>
      <c r="I145" s="108" t="str">
        <f t="shared" si="4"/>
        <v>19.05.2014</v>
      </c>
      <c r="J145" s="109" t="str">
        <f t="shared" si="5"/>
        <v>31.12.2014</v>
      </c>
    </row>
    <row r="146" spans="2:10">
      <c r="B146" t="s">
        <v>152</v>
      </c>
      <c r="C146" s="94" t="e">
        <f>+#REF!</f>
        <v>#REF!</v>
      </c>
      <c r="D146" s="94" t="s">
        <v>153</v>
      </c>
      <c r="E146" s="94">
        <v>12</v>
      </c>
      <c r="F146" s="94">
        <v>12</v>
      </c>
      <c r="G146" s="113" t="e">
        <f>+#REF!</f>
        <v>#REF!</v>
      </c>
      <c r="H146" s="95" t="s">
        <v>288</v>
      </c>
      <c r="I146" s="108" t="str">
        <f t="shared" si="4"/>
        <v>19.05.2014</v>
      </c>
      <c r="J146" s="109" t="str">
        <f t="shared" si="5"/>
        <v>31.12.2014</v>
      </c>
    </row>
    <row r="147" spans="2:10">
      <c r="B147" t="s">
        <v>152</v>
      </c>
      <c r="C147" s="94" t="e">
        <f>+#REF!</f>
        <v>#REF!</v>
      </c>
      <c r="D147" s="94" t="s">
        <v>153</v>
      </c>
      <c r="E147" s="94">
        <v>12</v>
      </c>
      <c r="F147" s="94">
        <v>12</v>
      </c>
      <c r="G147" s="113" t="e">
        <f>+#REF!</f>
        <v>#REF!</v>
      </c>
      <c r="H147" s="95" t="s">
        <v>288</v>
      </c>
      <c r="I147" s="108" t="str">
        <f t="shared" si="4"/>
        <v>19.05.2014</v>
      </c>
      <c r="J147" s="109" t="str">
        <f t="shared" si="5"/>
        <v>31.12.2014</v>
      </c>
    </row>
    <row r="148" spans="2:10">
      <c r="B148" t="s">
        <v>152</v>
      </c>
      <c r="C148" s="94" t="e">
        <f>+#REF!</f>
        <v>#REF!</v>
      </c>
      <c r="D148" s="94" t="s">
        <v>153</v>
      </c>
      <c r="E148" s="94">
        <v>12</v>
      </c>
      <c r="F148" s="94">
        <v>12</v>
      </c>
      <c r="G148" s="113" t="e">
        <f>+#REF!</f>
        <v>#REF!</v>
      </c>
      <c r="H148" s="95" t="s">
        <v>288</v>
      </c>
      <c r="I148" s="108" t="str">
        <f t="shared" si="4"/>
        <v>19.05.2014</v>
      </c>
      <c r="J148" s="109" t="str">
        <f t="shared" si="5"/>
        <v>31.12.2014</v>
      </c>
    </row>
    <row r="149" spans="2:10">
      <c r="B149" t="s">
        <v>152</v>
      </c>
      <c r="C149" s="94" t="e">
        <f>+#REF!</f>
        <v>#REF!</v>
      </c>
      <c r="D149" s="94" t="s">
        <v>153</v>
      </c>
      <c r="E149" s="94">
        <v>12</v>
      </c>
      <c r="F149" s="94">
        <v>12</v>
      </c>
      <c r="G149" s="113" t="e">
        <f>+#REF!</f>
        <v>#REF!</v>
      </c>
      <c r="H149" s="95" t="s">
        <v>288</v>
      </c>
      <c r="I149" s="108" t="str">
        <f t="shared" si="4"/>
        <v>19.05.2014</v>
      </c>
      <c r="J149" s="109" t="str">
        <f t="shared" si="5"/>
        <v>31.12.2014</v>
      </c>
    </row>
    <row r="150" spans="2:10">
      <c r="B150" t="s">
        <v>152</v>
      </c>
      <c r="C150" s="94" t="e">
        <f>+#REF!</f>
        <v>#REF!</v>
      </c>
      <c r="D150" s="94" t="s">
        <v>153</v>
      </c>
      <c r="E150" s="94">
        <v>12</v>
      </c>
      <c r="F150" s="94">
        <v>12</v>
      </c>
      <c r="G150" s="113" t="e">
        <f>+#REF!</f>
        <v>#REF!</v>
      </c>
      <c r="H150" s="95" t="s">
        <v>288</v>
      </c>
      <c r="I150" s="108" t="str">
        <f t="shared" si="4"/>
        <v>19.05.2014</v>
      </c>
      <c r="J150" s="109" t="str">
        <f t="shared" si="5"/>
        <v>31.12.2014</v>
      </c>
    </row>
    <row r="151" spans="2:10">
      <c r="B151" t="s">
        <v>152</v>
      </c>
      <c r="C151" s="94" t="e">
        <f>+#REF!</f>
        <v>#REF!</v>
      </c>
      <c r="D151" s="94" t="s">
        <v>153</v>
      </c>
      <c r="E151" s="94">
        <v>12</v>
      </c>
      <c r="F151" s="94">
        <v>12</v>
      </c>
      <c r="G151" s="113" t="e">
        <f>+#REF!</f>
        <v>#REF!</v>
      </c>
      <c r="H151" s="95" t="s">
        <v>288</v>
      </c>
      <c r="I151" s="108" t="str">
        <f t="shared" si="4"/>
        <v>19.05.2014</v>
      </c>
      <c r="J151" s="109" t="str">
        <f t="shared" si="5"/>
        <v>31.12.2014</v>
      </c>
    </row>
    <row r="152" spans="2:10">
      <c r="B152" t="s">
        <v>152</v>
      </c>
      <c r="C152" s="94" t="e">
        <f>+#REF!</f>
        <v>#REF!</v>
      </c>
      <c r="D152" s="94" t="s">
        <v>153</v>
      </c>
      <c r="E152" s="94">
        <v>12</v>
      </c>
      <c r="F152" s="94">
        <v>12</v>
      </c>
      <c r="G152" s="113" t="e">
        <f>+#REF!</f>
        <v>#REF!</v>
      </c>
      <c r="H152" s="95" t="s">
        <v>288</v>
      </c>
      <c r="I152" s="108" t="str">
        <f t="shared" si="4"/>
        <v>19.05.2014</v>
      </c>
      <c r="J152" s="109" t="str">
        <f t="shared" si="5"/>
        <v>31.12.2014</v>
      </c>
    </row>
    <row r="153" spans="2:10">
      <c r="B153" t="s">
        <v>152</v>
      </c>
      <c r="C153" s="94" t="e">
        <f>+#REF!</f>
        <v>#REF!</v>
      </c>
      <c r="D153" s="94" t="s">
        <v>153</v>
      </c>
      <c r="E153" s="94">
        <v>12</v>
      </c>
      <c r="F153" s="94">
        <v>12</v>
      </c>
      <c r="G153" s="113" t="e">
        <f>+#REF!</f>
        <v>#REF!</v>
      </c>
      <c r="H153" s="95" t="s">
        <v>288</v>
      </c>
      <c r="I153" s="108" t="str">
        <f t="shared" si="4"/>
        <v>19.05.2014</v>
      </c>
      <c r="J153" s="109" t="str">
        <f t="shared" si="5"/>
        <v>31.12.2014</v>
      </c>
    </row>
    <row r="154" spans="2:10">
      <c r="B154" t="s">
        <v>152</v>
      </c>
      <c r="C154" s="94" t="e">
        <f>+#REF!</f>
        <v>#REF!</v>
      </c>
      <c r="D154" s="94" t="s">
        <v>153</v>
      </c>
      <c r="E154" s="94">
        <v>12</v>
      </c>
      <c r="F154" s="94">
        <v>12</v>
      </c>
      <c r="G154" s="113" t="e">
        <f>+#REF!</f>
        <v>#REF!</v>
      </c>
      <c r="H154" s="95" t="s">
        <v>288</v>
      </c>
      <c r="I154" s="108" t="str">
        <f t="shared" si="4"/>
        <v>19.05.2014</v>
      </c>
      <c r="J154" s="109" t="str">
        <f t="shared" si="5"/>
        <v>31.12.2014</v>
      </c>
    </row>
    <row r="155" spans="2:10">
      <c r="B155" t="s">
        <v>152</v>
      </c>
      <c r="C155" s="94" t="e">
        <f>+#REF!</f>
        <v>#REF!</v>
      </c>
      <c r="D155" s="94" t="s">
        <v>153</v>
      </c>
      <c r="E155" s="94">
        <v>12</v>
      </c>
      <c r="F155" s="94">
        <v>12</v>
      </c>
      <c r="G155" s="113" t="e">
        <f>+#REF!</f>
        <v>#REF!</v>
      </c>
      <c r="H155" s="95" t="s">
        <v>288</v>
      </c>
      <c r="I155" s="108" t="str">
        <f t="shared" si="4"/>
        <v>19.05.2014</v>
      </c>
      <c r="J155" s="109" t="str">
        <f t="shared" si="5"/>
        <v>31.12.2014</v>
      </c>
    </row>
    <row r="156" spans="2:10">
      <c r="B156" t="s">
        <v>152</v>
      </c>
      <c r="C156" s="94" t="e">
        <f>+#REF!</f>
        <v>#REF!</v>
      </c>
      <c r="D156" s="94" t="s">
        <v>153</v>
      </c>
      <c r="E156" s="94">
        <v>12</v>
      </c>
      <c r="F156" s="94">
        <v>14</v>
      </c>
      <c r="G156" s="113" t="e">
        <f>+#REF!</f>
        <v>#REF!</v>
      </c>
      <c r="H156" s="95" t="s">
        <v>288</v>
      </c>
      <c r="I156" s="108" t="str">
        <f t="shared" si="4"/>
        <v>19.05.2014</v>
      </c>
      <c r="J156" s="109" t="str">
        <f t="shared" si="5"/>
        <v>31.12.2014</v>
      </c>
    </row>
    <row r="157" spans="2:10">
      <c r="B157" t="s">
        <v>152</v>
      </c>
      <c r="C157" s="94" t="e">
        <f>+#REF!</f>
        <v>#REF!</v>
      </c>
      <c r="D157" s="94" t="s">
        <v>153</v>
      </c>
      <c r="E157" s="94">
        <v>12</v>
      </c>
      <c r="F157" s="94">
        <v>14</v>
      </c>
      <c r="G157" s="113" t="e">
        <f>+#REF!</f>
        <v>#REF!</v>
      </c>
      <c r="H157" s="95" t="s">
        <v>288</v>
      </c>
      <c r="I157" s="108" t="str">
        <f t="shared" si="4"/>
        <v>19.05.2014</v>
      </c>
      <c r="J157" s="109" t="str">
        <f t="shared" si="5"/>
        <v>31.12.2014</v>
      </c>
    </row>
    <row r="158" spans="2:10">
      <c r="B158" t="s">
        <v>152</v>
      </c>
      <c r="C158" s="94" t="e">
        <f>+#REF!</f>
        <v>#REF!</v>
      </c>
      <c r="D158" s="94" t="s">
        <v>153</v>
      </c>
      <c r="E158" s="94">
        <v>12</v>
      </c>
      <c r="F158" s="94">
        <v>14</v>
      </c>
      <c r="G158" s="113" t="e">
        <f>+#REF!</f>
        <v>#REF!</v>
      </c>
      <c r="H158" s="95" t="s">
        <v>288</v>
      </c>
      <c r="I158" s="108" t="str">
        <f t="shared" si="4"/>
        <v>19.05.2014</v>
      </c>
      <c r="J158" s="109" t="str">
        <f t="shared" si="5"/>
        <v>31.12.2014</v>
      </c>
    </row>
    <row r="159" spans="2:10">
      <c r="B159" t="s">
        <v>152</v>
      </c>
      <c r="C159" s="94" t="e">
        <f>+#REF!</f>
        <v>#REF!</v>
      </c>
      <c r="D159" s="94" t="s">
        <v>153</v>
      </c>
      <c r="E159" s="94">
        <v>12</v>
      </c>
      <c r="F159" s="94">
        <v>14</v>
      </c>
      <c r="G159" s="113" t="e">
        <f>+#REF!</f>
        <v>#REF!</v>
      </c>
      <c r="H159" s="95" t="s">
        <v>288</v>
      </c>
      <c r="I159" s="108" t="str">
        <f t="shared" si="4"/>
        <v>19.05.2014</v>
      </c>
      <c r="J159" s="109" t="str">
        <f t="shared" si="5"/>
        <v>31.12.2014</v>
      </c>
    </row>
    <row r="160" spans="2:10">
      <c r="B160" t="s">
        <v>152</v>
      </c>
      <c r="C160" s="94" t="e">
        <f>+#REF!</f>
        <v>#REF!</v>
      </c>
      <c r="D160" s="94" t="s">
        <v>153</v>
      </c>
      <c r="E160" s="94">
        <v>12</v>
      </c>
      <c r="F160" s="94">
        <v>14</v>
      </c>
      <c r="G160" s="113" t="e">
        <f>+#REF!</f>
        <v>#REF!</v>
      </c>
      <c r="H160" s="95" t="s">
        <v>288</v>
      </c>
      <c r="I160" s="108" t="str">
        <f t="shared" si="4"/>
        <v>19.05.2014</v>
      </c>
      <c r="J160" s="109" t="str">
        <f t="shared" si="5"/>
        <v>31.12.2014</v>
      </c>
    </row>
    <row r="161" spans="2:10">
      <c r="B161" t="s">
        <v>152</v>
      </c>
      <c r="C161" s="94" t="e">
        <f>+#REF!</f>
        <v>#REF!</v>
      </c>
      <c r="D161" s="94" t="s">
        <v>153</v>
      </c>
      <c r="E161" s="94">
        <v>12</v>
      </c>
      <c r="F161" s="94">
        <v>14</v>
      </c>
      <c r="G161" s="113" t="e">
        <f>+#REF!</f>
        <v>#REF!</v>
      </c>
      <c r="H161" s="95" t="s">
        <v>288</v>
      </c>
      <c r="I161" s="108" t="str">
        <f t="shared" si="4"/>
        <v>19.05.2014</v>
      </c>
      <c r="J161" s="109" t="str">
        <f t="shared" si="5"/>
        <v>31.12.2014</v>
      </c>
    </row>
    <row r="162" spans="2:10">
      <c r="B162" t="s">
        <v>152</v>
      </c>
      <c r="C162" s="94" t="e">
        <f>+#REF!</f>
        <v>#REF!</v>
      </c>
      <c r="D162" s="94" t="s">
        <v>153</v>
      </c>
      <c r="E162" s="94">
        <v>12</v>
      </c>
      <c r="F162" s="94">
        <v>14</v>
      </c>
      <c r="G162" s="113" t="e">
        <f>+#REF!</f>
        <v>#REF!</v>
      </c>
      <c r="H162" s="95" t="s">
        <v>288</v>
      </c>
      <c r="I162" s="108" t="str">
        <f t="shared" si="4"/>
        <v>19.05.2014</v>
      </c>
      <c r="J162" s="109" t="str">
        <f t="shared" si="5"/>
        <v>31.12.2014</v>
      </c>
    </row>
    <row r="163" spans="2:10">
      <c r="B163" t="s">
        <v>152</v>
      </c>
      <c r="C163" s="94" t="e">
        <f>+#REF!</f>
        <v>#REF!</v>
      </c>
      <c r="D163" s="94" t="s">
        <v>153</v>
      </c>
      <c r="E163" s="94">
        <v>12</v>
      </c>
      <c r="F163" s="94">
        <v>14</v>
      </c>
      <c r="G163" s="113" t="e">
        <f>+#REF!</f>
        <v>#REF!</v>
      </c>
      <c r="H163" s="95" t="s">
        <v>288</v>
      </c>
      <c r="I163" s="108" t="str">
        <f t="shared" si="4"/>
        <v>19.05.2014</v>
      </c>
      <c r="J163" s="109" t="str">
        <f t="shared" si="5"/>
        <v>31.12.2014</v>
      </c>
    </row>
    <row r="164" spans="2:10">
      <c r="B164" t="s">
        <v>152</v>
      </c>
      <c r="C164" s="94" t="e">
        <f>+#REF!</f>
        <v>#REF!</v>
      </c>
      <c r="D164" s="94" t="s">
        <v>153</v>
      </c>
      <c r="E164" s="94">
        <v>12</v>
      </c>
      <c r="F164" s="94">
        <v>14</v>
      </c>
      <c r="G164" s="113" t="e">
        <f>+#REF!</f>
        <v>#REF!</v>
      </c>
      <c r="H164" s="95" t="s">
        <v>288</v>
      </c>
      <c r="I164" s="108" t="str">
        <f t="shared" si="4"/>
        <v>19.05.2014</v>
      </c>
      <c r="J164" s="109" t="str">
        <f t="shared" si="5"/>
        <v>31.12.2014</v>
      </c>
    </row>
    <row r="165" spans="2:10">
      <c r="B165" t="s">
        <v>152</v>
      </c>
      <c r="C165" s="94" t="e">
        <f>+#REF!</f>
        <v>#REF!</v>
      </c>
      <c r="D165" s="94" t="s">
        <v>153</v>
      </c>
      <c r="E165" s="94">
        <v>12</v>
      </c>
      <c r="F165" s="94">
        <v>10</v>
      </c>
      <c r="G165" s="113" t="e">
        <f>+#REF!</f>
        <v>#REF!</v>
      </c>
      <c r="H165" s="95" t="s">
        <v>288</v>
      </c>
      <c r="I165" s="108" t="str">
        <f t="shared" si="4"/>
        <v>19.05.2014</v>
      </c>
      <c r="J165" s="109" t="str">
        <f t="shared" si="5"/>
        <v>31.12.2014</v>
      </c>
    </row>
    <row r="166" spans="2:10">
      <c r="B166" t="s">
        <v>152</v>
      </c>
      <c r="C166" s="94" t="e">
        <f>+#REF!</f>
        <v>#REF!</v>
      </c>
      <c r="D166" s="94" t="s">
        <v>153</v>
      </c>
      <c r="E166" s="94">
        <v>12</v>
      </c>
      <c r="F166" s="94">
        <v>10</v>
      </c>
      <c r="G166" s="113" t="e">
        <f>+#REF!</f>
        <v>#REF!</v>
      </c>
      <c r="H166" s="95" t="s">
        <v>288</v>
      </c>
      <c r="I166" s="108" t="str">
        <f t="shared" si="4"/>
        <v>19.05.2014</v>
      </c>
      <c r="J166" s="109" t="str">
        <f t="shared" si="5"/>
        <v>31.12.2014</v>
      </c>
    </row>
    <row r="167" spans="2:10">
      <c r="B167" t="s">
        <v>152</v>
      </c>
      <c r="C167" s="94" t="e">
        <f>+#REF!</f>
        <v>#REF!</v>
      </c>
      <c r="D167" s="94" t="s">
        <v>153</v>
      </c>
      <c r="E167" s="94">
        <v>12</v>
      </c>
      <c r="F167" s="94">
        <v>10</v>
      </c>
      <c r="G167" s="113" t="e">
        <f>+#REF!</f>
        <v>#REF!</v>
      </c>
      <c r="H167" s="95" t="s">
        <v>288</v>
      </c>
      <c r="I167" s="108" t="str">
        <f t="shared" si="4"/>
        <v>19.05.2014</v>
      </c>
      <c r="J167" s="109" t="str">
        <f t="shared" si="5"/>
        <v>31.12.2014</v>
      </c>
    </row>
    <row r="168" spans="2:10">
      <c r="B168" t="s">
        <v>152</v>
      </c>
      <c r="C168" s="94" t="e">
        <f>+#REF!</f>
        <v>#REF!</v>
      </c>
      <c r="D168" s="94" t="s">
        <v>153</v>
      </c>
      <c r="E168" s="94">
        <v>12</v>
      </c>
      <c r="F168" s="94">
        <v>10</v>
      </c>
      <c r="G168" s="113" t="e">
        <f>+#REF!</f>
        <v>#REF!</v>
      </c>
      <c r="H168" s="95" t="s">
        <v>288</v>
      </c>
      <c r="I168" s="108" t="str">
        <f t="shared" si="4"/>
        <v>19.05.2014</v>
      </c>
      <c r="J168" s="109" t="str">
        <f t="shared" si="5"/>
        <v>31.12.2014</v>
      </c>
    </row>
    <row r="169" spans="2:10">
      <c r="B169" t="s">
        <v>152</v>
      </c>
      <c r="C169" s="94" t="e">
        <f>+#REF!</f>
        <v>#REF!</v>
      </c>
      <c r="D169" s="94" t="s">
        <v>153</v>
      </c>
      <c r="E169" s="94">
        <v>12</v>
      </c>
      <c r="F169" s="94">
        <v>10</v>
      </c>
      <c r="G169" s="113" t="e">
        <f>+#REF!</f>
        <v>#REF!</v>
      </c>
      <c r="H169" s="95" t="s">
        <v>288</v>
      </c>
      <c r="I169" s="108" t="str">
        <f t="shared" si="4"/>
        <v>19.05.2014</v>
      </c>
      <c r="J169" s="109" t="str">
        <f t="shared" si="5"/>
        <v>31.12.2014</v>
      </c>
    </row>
    <row r="170" spans="2:10">
      <c r="B170" t="s">
        <v>152</v>
      </c>
      <c r="C170" s="94" t="e">
        <f>+#REF!</f>
        <v>#REF!</v>
      </c>
      <c r="D170" s="94" t="s">
        <v>153</v>
      </c>
      <c r="E170" s="94">
        <v>12</v>
      </c>
      <c r="F170" s="94">
        <v>10</v>
      </c>
      <c r="G170" s="113" t="e">
        <f>+#REF!</f>
        <v>#REF!</v>
      </c>
      <c r="H170" s="95" t="s">
        <v>288</v>
      </c>
      <c r="I170" s="108" t="str">
        <f t="shared" si="4"/>
        <v>19.05.2014</v>
      </c>
      <c r="J170" s="109" t="str">
        <f t="shared" si="5"/>
        <v>31.12.2014</v>
      </c>
    </row>
    <row r="171" spans="2:10">
      <c r="B171" t="s">
        <v>152</v>
      </c>
      <c r="C171" s="94" t="e">
        <f>+#REF!</f>
        <v>#REF!</v>
      </c>
      <c r="D171" s="94" t="s">
        <v>153</v>
      </c>
      <c r="E171" s="94">
        <v>12</v>
      </c>
      <c r="F171" s="94">
        <v>10</v>
      </c>
      <c r="G171" s="113" t="e">
        <f>+#REF!</f>
        <v>#REF!</v>
      </c>
      <c r="H171" s="95" t="s">
        <v>288</v>
      </c>
      <c r="I171" s="108" t="str">
        <f t="shared" si="4"/>
        <v>19.05.2014</v>
      </c>
      <c r="J171" s="109" t="str">
        <f t="shared" si="5"/>
        <v>31.12.2014</v>
      </c>
    </row>
    <row r="172" spans="2:10">
      <c r="B172" t="s">
        <v>152</v>
      </c>
      <c r="C172" s="94" t="e">
        <f>+#REF!</f>
        <v>#REF!</v>
      </c>
      <c r="D172" s="94" t="s">
        <v>153</v>
      </c>
      <c r="E172" s="94">
        <v>12</v>
      </c>
      <c r="F172" s="94">
        <v>10</v>
      </c>
      <c r="G172" s="113" t="e">
        <f>+#REF!</f>
        <v>#REF!</v>
      </c>
      <c r="H172" s="95" t="s">
        <v>288</v>
      </c>
      <c r="I172" s="108" t="str">
        <f t="shared" si="4"/>
        <v>19.05.2014</v>
      </c>
      <c r="J172" s="109" t="str">
        <f t="shared" si="5"/>
        <v>31.12.2014</v>
      </c>
    </row>
    <row r="173" spans="2:10">
      <c r="B173" t="s">
        <v>152</v>
      </c>
      <c r="C173" s="94" t="e">
        <f>+#REF!</f>
        <v>#REF!</v>
      </c>
      <c r="D173" s="94" t="s">
        <v>153</v>
      </c>
      <c r="E173" s="94">
        <v>12</v>
      </c>
      <c r="F173" s="94">
        <v>10</v>
      </c>
      <c r="G173" s="113" t="e">
        <f>+#REF!</f>
        <v>#REF!</v>
      </c>
      <c r="H173" s="95" t="s">
        <v>288</v>
      </c>
      <c r="I173" s="108" t="str">
        <f t="shared" si="4"/>
        <v>19.05.2014</v>
      </c>
      <c r="J173" s="109" t="str">
        <f t="shared" si="5"/>
        <v>31.12.2014</v>
      </c>
    </row>
    <row r="174" spans="2:10">
      <c r="B174" t="s">
        <v>152</v>
      </c>
      <c r="C174" s="94" t="e">
        <f>+#REF!</f>
        <v>#REF!</v>
      </c>
      <c r="D174" s="94" t="s">
        <v>153</v>
      </c>
      <c r="E174" s="94">
        <v>12</v>
      </c>
      <c r="F174" s="94">
        <v>10</v>
      </c>
      <c r="G174" s="113" t="e">
        <f>+#REF!</f>
        <v>#REF!</v>
      </c>
      <c r="H174" s="95" t="s">
        <v>288</v>
      </c>
      <c r="I174" s="108" t="str">
        <f t="shared" si="4"/>
        <v>19.05.2014</v>
      </c>
      <c r="J174" s="109" t="str">
        <f t="shared" si="5"/>
        <v>31.12.2014</v>
      </c>
    </row>
    <row r="175" spans="2:10">
      <c r="B175" t="s">
        <v>152</v>
      </c>
      <c r="C175" s="94" t="e">
        <f>+#REF!</f>
        <v>#REF!</v>
      </c>
      <c r="D175" s="94" t="s">
        <v>153</v>
      </c>
      <c r="E175" s="94">
        <v>12</v>
      </c>
      <c r="F175" s="94">
        <v>10</v>
      </c>
      <c r="G175" s="113" t="e">
        <f>+#REF!</f>
        <v>#REF!</v>
      </c>
      <c r="H175" s="95" t="s">
        <v>288</v>
      </c>
      <c r="I175" s="108" t="str">
        <f t="shared" si="4"/>
        <v>19.05.2014</v>
      </c>
      <c r="J175" s="109" t="str">
        <f t="shared" si="5"/>
        <v>31.12.2014</v>
      </c>
    </row>
    <row r="176" spans="2:10">
      <c r="B176" t="s">
        <v>152</v>
      </c>
      <c r="C176" s="94" t="e">
        <f>+#REF!</f>
        <v>#REF!</v>
      </c>
      <c r="D176" s="94" t="s">
        <v>153</v>
      </c>
      <c r="E176" s="94">
        <v>12</v>
      </c>
      <c r="F176" s="94">
        <v>10</v>
      </c>
      <c r="G176" s="113" t="e">
        <f>+#REF!</f>
        <v>#REF!</v>
      </c>
      <c r="H176" s="95" t="s">
        <v>288</v>
      </c>
      <c r="I176" s="108" t="str">
        <f t="shared" si="4"/>
        <v>19.05.2014</v>
      </c>
      <c r="J176" s="109" t="str">
        <f t="shared" si="5"/>
        <v>31.12.2014</v>
      </c>
    </row>
    <row r="177" spans="2:10">
      <c r="B177" t="s">
        <v>152</v>
      </c>
      <c r="C177" s="94" t="e">
        <f>+#REF!</f>
        <v>#REF!</v>
      </c>
      <c r="D177" s="94" t="s">
        <v>153</v>
      </c>
      <c r="E177" s="94">
        <v>12</v>
      </c>
      <c r="F177" s="94">
        <v>10</v>
      </c>
      <c r="G177" s="113" t="e">
        <f>+#REF!</f>
        <v>#REF!</v>
      </c>
      <c r="H177" s="95" t="s">
        <v>288</v>
      </c>
      <c r="I177" s="108" t="str">
        <f t="shared" si="4"/>
        <v>19.05.2014</v>
      </c>
      <c r="J177" s="109" t="str">
        <f t="shared" si="5"/>
        <v>31.12.2014</v>
      </c>
    </row>
    <row r="178" spans="2:10">
      <c r="B178" t="s">
        <v>152</v>
      </c>
      <c r="C178" s="94" t="e">
        <f>+#REF!</f>
        <v>#REF!</v>
      </c>
      <c r="D178" s="94" t="s">
        <v>153</v>
      </c>
      <c r="E178" s="94">
        <v>12</v>
      </c>
      <c r="F178" s="94">
        <v>10</v>
      </c>
      <c r="G178" s="113" t="e">
        <f>+#REF!</f>
        <v>#REF!</v>
      </c>
      <c r="H178" s="95" t="s">
        <v>288</v>
      </c>
      <c r="I178" s="108" t="str">
        <f t="shared" si="4"/>
        <v>19.05.2014</v>
      </c>
      <c r="J178" s="109" t="str">
        <f t="shared" si="5"/>
        <v>31.12.2014</v>
      </c>
    </row>
    <row r="179" spans="2:10">
      <c r="B179" t="s">
        <v>152</v>
      </c>
      <c r="C179" s="94" t="e">
        <f>+#REF!</f>
        <v>#REF!</v>
      </c>
      <c r="D179" s="94" t="s">
        <v>153</v>
      </c>
      <c r="E179" s="94">
        <v>12</v>
      </c>
      <c r="F179" s="94">
        <v>10</v>
      </c>
      <c r="G179" s="113" t="e">
        <f>+#REF!</f>
        <v>#REF!</v>
      </c>
      <c r="H179" s="95" t="s">
        <v>288</v>
      </c>
      <c r="I179" s="108" t="str">
        <f t="shared" si="4"/>
        <v>19.05.2014</v>
      </c>
      <c r="J179" s="109" t="str">
        <f t="shared" si="5"/>
        <v>31.12.2014</v>
      </c>
    </row>
    <row r="180" spans="2:10">
      <c r="B180" t="s">
        <v>152</v>
      </c>
      <c r="C180" s="94" t="e">
        <f>+#REF!</f>
        <v>#REF!</v>
      </c>
      <c r="D180" s="94" t="s">
        <v>153</v>
      </c>
      <c r="E180" s="94">
        <v>12</v>
      </c>
      <c r="F180" s="94">
        <v>10</v>
      </c>
      <c r="G180" s="113" t="e">
        <f>+#REF!</f>
        <v>#REF!</v>
      </c>
      <c r="H180" s="95" t="s">
        <v>288</v>
      </c>
      <c r="I180" s="108" t="str">
        <f t="shared" si="4"/>
        <v>19.05.2014</v>
      </c>
      <c r="J180" s="109" t="str">
        <f t="shared" si="5"/>
        <v>31.12.2014</v>
      </c>
    </row>
    <row r="181" spans="2:10">
      <c r="B181" t="s">
        <v>152</v>
      </c>
      <c r="C181" s="94" t="e">
        <f>+#REF!</f>
        <v>#REF!</v>
      </c>
      <c r="D181" s="94" t="s">
        <v>153</v>
      </c>
      <c r="E181" s="94">
        <v>12</v>
      </c>
      <c r="F181" s="94">
        <v>10</v>
      </c>
      <c r="G181" s="113" t="e">
        <f>+#REF!</f>
        <v>#REF!</v>
      </c>
      <c r="H181" s="95" t="s">
        <v>288</v>
      </c>
      <c r="I181" s="108" t="str">
        <f t="shared" si="4"/>
        <v>19.05.2014</v>
      </c>
      <c r="J181" s="109" t="str">
        <f t="shared" si="5"/>
        <v>31.12.2014</v>
      </c>
    </row>
    <row r="182" spans="2:10">
      <c r="B182" t="s">
        <v>152</v>
      </c>
      <c r="C182" s="94" t="e">
        <f>+#REF!</f>
        <v>#REF!</v>
      </c>
      <c r="D182" s="94" t="s">
        <v>153</v>
      </c>
      <c r="E182" s="94">
        <v>12</v>
      </c>
      <c r="F182" s="94">
        <v>10</v>
      </c>
      <c r="G182" s="113" t="e">
        <f>+#REF!</f>
        <v>#REF!</v>
      </c>
      <c r="H182" s="95" t="s">
        <v>288</v>
      </c>
      <c r="I182" s="108" t="str">
        <f t="shared" si="4"/>
        <v>19.05.2014</v>
      </c>
      <c r="J182" s="109" t="str">
        <f t="shared" si="5"/>
        <v>31.12.2014</v>
      </c>
    </row>
    <row r="183" spans="2:10">
      <c r="B183" t="s">
        <v>152</v>
      </c>
      <c r="C183" s="94" t="e">
        <f>+#REF!</f>
        <v>#REF!</v>
      </c>
      <c r="D183" s="94" t="s">
        <v>153</v>
      </c>
      <c r="E183" s="94">
        <v>12</v>
      </c>
      <c r="F183" s="94">
        <v>10</v>
      </c>
      <c r="G183" s="113" t="e">
        <f>+#REF!</f>
        <v>#REF!</v>
      </c>
      <c r="H183" s="95" t="s">
        <v>288</v>
      </c>
      <c r="I183" s="108" t="str">
        <f t="shared" si="4"/>
        <v>19.05.2014</v>
      </c>
      <c r="J183" s="109" t="str">
        <f t="shared" si="5"/>
        <v>31.12.2014</v>
      </c>
    </row>
    <row r="184" spans="2:10">
      <c r="B184" t="s">
        <v>152</v>
      </c>
      <c r="C184" s="94" t="e">
        <f>+#REF!</f>
        <v>#REF!</v>
      </c>
      <c r="D184" s="94" t="s">
        <v>153</v>
      </c>
      <c r="E184" s="94">
        <v>12</v>
      </c>
      <c r="F184" s="94">
        <v>10</v>
      </c>
      <c r="G184" s="113" t="e">
        <f>+#REF!</f>
        <v>#REF!</v>
      </c>
      <c r="H184" s="95" t="s">
        <v>288</v>
      </c>
      <c r="I184" s="108" t="str">
        <f t="shared" si="4"/>
        <v>19.05.2014</v>
      </c>
      <c r="J184" s="109" t="str">
        <f t="shared" si="5"/>
        <v>31.12.2014</v>
      </c>
    </row>
    <row r="185" spans="2:10">
      <c r="B185" t="s">
        <v>152</v>
      </c>
      <c r="C185" s="94" t="e">
        <f>+#REF!</f>
        <v>#REF!</v>
      </c>
      <c r="D185" s="94" t="s">
        <v>153</v>
      </c>
      <c r="E185" s="94">
        <v>12</v>
      </c>
      <c r="F185" s="94">
        <v>10</v>
      </c>
      <c r="G185" s="113" t="e">
        <f>+#REF!</f>
        <v>#REF!</v>
      </c>
      <c r="H185" s="95" t="s">
        <v>288</v>
      </c>
      <c r="I185" s="108" t="str">
        <f t="shared" si="4"/>
        <v>19.05.2014</v>
      </c>
      <c r="J185" s="109" t="str">
        <f t="shared" si="5"/>
        <v>31.12.2014</v>
      </c>
    </row>
    <row r="186" spans="2:10">
      <c r="B186" t="s">
        <v>152</v>
      </c>
      <c r="C186" s="94" t="e">
        <f>+#REF!</f>
        <v>#REF!</v>
      </c>
      <c r="D186" s="94" t="s">
        <v>153</v>
      </c>
      <c r="E186" s="94">
        <v>12</v>
      </c>
      <c r="F186" s="94">
        <v>24</v>
      </c>
      <c r="G186" s="113" t="e">
        <f>+#REF!</f>
        <v>#REF!</v>
      </c>
      <c r="H186" s="95" t="s">
        <v>288</v>
      </c>
      <c r="I186" s="108" t="str">
        <f t="shared" si="4"/>
        <v>19.05.2014</v>
      </c>
      <c r="J186" s="109" t="str">
        <f t="shared" si="5"/>
        <v>31.12.2014</v>
      </c>
    </row>
    <row r="187" spans="2:10">
      <c r="B187" t="s">
        <v>152</v>
      </c>
      <c r="C187" s="94" t="e">
        <f>+#REF!</f>
        <v>#REF!</v>
      </c>
      <c r="D187" s="94" t="s">
        <v>153</v>
      </c>
      <c r="E187" s="94">
        <v>12</v>
      </c>
      <c r="F187" s="94">
        <v>24</v>
      </c>
      <c r="G187" s="113" t="e">
        <f>+#REF!</f>
        <v>#REF!</v>
      </c>
      <c r="H187" s="95" t="s">
        <v>288</v>
      </c>
      <c r="I187" s="108" t="str">
        <f t="shared" si="4"/>
        <v>19.05.2014</v>
      </c>
      <c r="J187" s="109" t="str">
        <f t="shared" si="5"/>
        <v>31.12.2014</v>
      </c>
    </row>
    <row r="188" spans="2:10">
      <c r="B188" t="s">
        <v>152</v>
      </c>
      <c r="C188" s="94" t="e">
        <f>+#REF!</f>
        <v>#REF!</v>
      </c>
      <c r="D188" s="94" t="s">
        <v>153</v>
      </c>
      <c r="E188" s="94">
        <v>12</v>
      </c>
      <c r="F188" s="94">
        <v>24</v>
      </c>
      <c r="G188" s="113" t="e">
        <f>+#REF!</f>
        <v>#REF!</v>
      </c>
      <c r="H188" s="95" t="s">
        <v>288</v>
      </c>
      <c r="I188" s="108" t="str">
        <f t="shared" si="4"/>
        <v>19.05.2014</v>
      </c>
      <c r="J188" s="109" t="str">
        <f t="shared" si="5"/>
        <v>31.12.2014</v>
      </c>
    </row>
    <row r="189" spans="2:10">
      <c r="B189" t="s">
        <v>152</v>
      </c>
      <c r="C189" s="94" t="e">
        <f>+#REF!</f>
        <v>#REF!</v>
      </c>
      <c r="D189" s="94" t="s">
        <v>153</v>
      </c>
      <c r="E189" s="94">
        <v>12</v>
      </c>
      <c r="F189" s="94">
        <v>24</v>
      </c>
      <c r="G189" s="113" t="e">
        <f>+#REF!</f>
        <v>#REF!</v>
      </c>
      <c r="H189" s="95" t="s">
        <v>288</v>
      </c>
      <c r="I189" s="108" t="str">
        <f t="shared" si="4"/>
        <v>19.05.2014</v>
      </c>
      <c r="J189" s="109" t="str">
        <f t="shared" si="5"/>
        <v>31.12.2014</v>
      </c>
    </row>
    <row r="190" spans="2:10">
      <c r="B190" t="s">
        <v>152</v>
      </c>
      <c r="C190" s="94" t="e">
        <f>+#REF!</f>
        <v>#REF!</v>
      </c>
      <c r="D190" s="94" t="s">
        <v>153</v>
      </c>
      <c r="E190" s="94">
        <v>12</v>
      </c>
      <c r="F190" s="94">
        <v>24</v>
      </c>
      <c r="G190" s="113" t="e">
        <f>+#REF!</f>
        <v>#REF!</v>
      </c>
      <c r="H190" s="95" t="s">
        <v>288</v>
      </c>
      <c r="I190" s="108" t="str">
        <f t="shared" si="4"/>
        <v>19.05.2014</v>
      </c>
      <c r="J190" s="109" t="str">
        <f t="shared" si="5"/>
        <v>31.12.2014</v>
      </c>
    </row>
    <row r="191" spans="2:10">
      <c r="B191" t="s">
        <v>152</v>
      </c>
      <c r="C191" s="94" t="e">
        <f>+#REF!</f>
        <v>#REF!</v>
      </c>
      <c r="D191" s="94" t="s">
        <v>153</v>
      </c>
      <c r="E191" s="94">
        <v>12</v>
      </c>
      <c r="F191" s="94">
        <v>24</v>
      </c>
      <c r="G191" s="113" t="e">
        <f>+#REF!</f>
        <v>#REF!</v>
      </c>
      <c r="H191" s="95" t="s">
        <v>288</v>
      </c>
      <c r="I191" s="108" t="str">
        <f t="shared" si="4"/>
        <v>19.05.2014</v>
      </c>
      <c r="J191" s="109" t="str">
        <f t="shared" si="5"/>
        <v>31.12.2014</v>
      </c>
    </row>
    <row r="192" spans="2:10">
      <c r="B192" t="s">
        <v>152</v>
      </c>
      <c r="C192" s="94" t="e">
        <f>+#REF!</f>
        <v>#REF!</v>
      </c>
      <c r="D192" s="94" t="s">
        <v>153</v>
      </c>
      <c r="E192" s="94">
        <v>12</v>
      </c>
      <c r="F192" s="94">
        <v>24</v>
      </c>
      <c r="G192" s="113" t="e">
        <f>+#REF!</f>
        <v>#REF!</v>
      </c>
      <c r="H192" s="95" t="s">
        <v>288</v>
      </c>
      <c r="I192" s="108" t="str">
        <f t="shared" si="4"/>
        <v>19.05.2014</v>
      </c>
      <c r="J192" s="109" t="str">
        <f t="shared" si="5"/>
        <v>31.12.2014</v>
      </c>
    </row>
    <row r="193" spans="2:10">
      <c r="B193" t="s">
        <v>152</v>
      </c>
      <c r="C193" s="94" t="e">
        <f>+#REF!</f>
        <v>#REF!</v>
      </c>
      <c r="D193" s="94" t="s">
        <v>153</v>
      </c>
      <c r="E193" s="94">
        <v>12</v>
      </c>
      <c r="F193" s="94">
        <v>24</v>
      </c>
      <c r="G193" s="113" t="e">
        <f>+#REF!</f>
        <v>#REF!</v>
      </c>
      <c r="H193" s="95" t="s">
        <v>288</v>
      </c>
      <c r="I193" s="108" t="str">
        <f t="shared" si="4"/>
        <v>19.05.2014</v>
      </c>
      <c r="J193" s="109" t="str">
        <f t="shared" si="5"/>
        <v>31.12.2014</v>
      </c>
    </row>
    <row r="194" spans="2:10">
      <c r="B194" t="s">
        <v>152</v>
      </c>
      <c r="C194" s="94" t="e">
        <f>+#REF!</f>
        <v>#REF!</v>
      </c>
      <c r="D194" s="94" t="s">
        <v>153</v>
      </c>
      <c r="E194" s="94">
        <v>12</v>
      </c>
      <c r="F194" s="94">
        <v>13</v>
      </c>
      <c r="G194" s="113" t="e">
        <f>+#REF!</f>
        <v>#REF!</v>
      </c>
      <c r="H194" s="95" t="s">
        <v>288</v>
      </c>
      <c r="I194" s="108" t="str">
        <f t="shared" si="4"/>
        <v>19.05.2014</v>
      </c>
      <c r="J194" s="109" t="str">
        <f t="shared" si="5"/>
        <v>31.12.2014</v>
      </c>
    </row>
    <row r="195" spans="2:10">
      <c r="B195" t="s">
        <v>152</v>
      </c>
      <c r="C195" s="94" t="e">
        <f>+#REF!</f>
        <v>#REF!</v>
      </c>
      <c r="D195" s="94" t="s">
        <v>153</v>
      </c>
      <c r="E195" s="94">
        <v>12</v>
      </c>
      <c r="F195" s="94">
        <v>13</v>
      </c>
      <c r="G195" s="113" t="e">
        <f>+#REF!</f>
        <v>#REF!</v>
      </c>
      <c r="H195" s="95" t="s">
        <v>288</v>
      </c>
      <c r="I195" s="108" t="str">
        <f t="shared" si="4"/>
        <v>19.05.2014</v>
      </c>
      <c r="J195" s="109" t="str">
        <f t="shared" si="5"/>
        <v>31.12.2014</v>
      </c>
    </row>
    <row r="196" spans="2:10">
      <c r="B196" t="s">
        <v>152</v>
      </c>
      <c r="C196" s="94" t="e">
        <f>+#REF!</f>
        <v>#REF!</v>
      </c>
      <c r="D196" s="94" t="s">
        <v>153</v>
      </c>
      <c r="E196" s="94">
        <v>12</v>
      </c>
      <c r="F196" s="94">
        <v>13</v>
      </c>
      <c r="G196" s="113" t="e">
        <f>+#REF!</f>
        <v>#REF!</v>
      </c>
      <c r="H196" s="95" t="s">
        <v>288</v>
      </c>
      <c r="I196" s="108" t="str">
        <f t="shared" si="4"/>
        <v>19.05.2014</v>
      </c>
      <c r="J196" s="109" t="str">
        <f t="shared" si="5"/>
        <v>31.12.2014</v>
      </c>
    </row>
    <row r="197" spans="2:10">
      <c r="B197" t="s">
        <v>152</v>
      </c>
      <c r="C197" s="94" t="e">
        <f>+#REF!</f>
        <v>#REF!</v>
      </c>
      <c r="D197" s="94" t="s">
        <v>153</v>
      </c>
      <c r="E197" s="94">
        <v>12</v>
      </c>
      <c r="F197" s="94">
        <v>13</v>
      </c>
      <c r="G197" s="113" t="e">
        <f>+#REF!</f>
        <v>#REF!</v>
      </c>
      <c r="H197" s="95" t="s">
        <v>288</v>
      </c>
      <c r="I197" s="108" t="str">
        <f t="shared" si="4"/>
        <v>19.05.2014</v>
      </c>
      <c r="J197" s="109" t="str">
        <f t="shared" si="5"/>
        <v>31.12.2014</v>
      </c>
    </row>
    <row r="198" spans="2:10">
      <c r="B198" t="s">
        <v>152</v>
      </c>
      <c r="C198" s="94" t="e">
        <f>+#REF!</f>
        <v>#REF!</v>
      </c>
      <c r="D198" s="94" t="s">
        <v>153</v>
      </c>
      <c r="E198" s="94">
        <v>12</v>
      </c>
      <c r="F198" s="94">
        <v>13</v>
      </c>
      <c r="G198" s="113" t="e">
        <f>+#REF!</f>
        <v>#REF!</v>
      </c>
      <c r="H198" s="95" t="s">
        <v>288</v>
      </c>
      <c r="I198" s="108" t="str">
        <f t="shared" si="4"/>
        <v>19.05.2014</v>
      </c>
      <c r="J198" s="109" t="str">
        <f t="shared" si="5"/>
        <v>31.12.2014</v>
      </c>
    </row>
    <row r="199" spans="2:10">
      <c r="B199" t="s">
        <v>152</v>
      </c>
      <c r="C199" s="94" t="e">
        <f>+#REF!</f>
        <v>#REF!</v>
      </c>
      <c r="D199" s="94" t="s">
        <v>153</v>
      </c>
      <c r="E199" s="94">
        <v>12</v>
      </c>
      <c r="F199" s="94">
        <v>13</v>
      </c>
      <c r="G199" s="113" t="e">
        <f>+#REF!</f>
        <v>#REF!</v>
      </c>
      <c r="H199" s="95" t="s">
        <v>288</v>
      </c>
      <c r="I199" s="108" t="str">
        <f t="shared" ref="I199:I229" si="6">+$I$5</f>
        <v>19.05.2014</v>
      </c>
      <c r="J199" s="109" t="str">
        <f t="shared" ref="J199:J229" si="7">+J198</f>
        <v>31.12.2014</v>
      </c>
    </row>
    <row r="200" spans="2:10">
      <c r="B200" t="s">
        <v>152</v>
      </c>
      <c r="C200" s="94" t="e">
        <f>+#REF!</f>
        <v>#REF!</v>
      </c>
      <c r="D200" s="94" t="s">
        <v>153</v>
      </c>
      <c r="E200" s="94">
        <v>12</v>
      </c>
      <c r="F200" s="94">
        <v>11</v>
      </c>
      <c r="G200" s="113" t="e">
        <f>+#REF!</f>
        <v>#REF!</v>
      </c>
      <c r="H200" s="95" t="s">
        <v>288</v>
      </c>
      <c r="I200" s="108" t="str">
        <f t="shared" si="6"/>
        <v>19.05.2014</v>
      </c>
      <c r="J200" s="109" t="str">
        <f t="shared" si="7"/>
        <v>31.12.2014</v>
      </c>
    </row>
    <row r="201" spans="2:10">
      <c r="B201" t="s">
        <v>152</v>
      </c>
      <c r="C201" s="94" t="e">
        <f>#REF!</f>
        <v>#REF!</v>
      </c>
      <c r="D201" s="94" t="s">
        <v>153</v>
      </c>
      <c r="E201" s="94">
        <v>13</v>
      </c>
      <c r="F201" s="94">
        <v>12</v>
      </c>
      <c r="G201" s="113" t="e">
        <f>#REF!</f>
        <v>#REF!</v>
      </c>
      <c r="H201" s="95" t="s">
        <v>288</v>
      </c>
      <c r="I201" s="108" t="str">
        <f t="shared" si="6"/>
        <v>19.05.2014</v>
      </c>
      <c r="J201" s="109" t="str">
        <f t="shared" si="7"/>
        <v>31.12.2014</v>
      </c>
    </row>
    <row r="202" spans="2:10">
      <c r="B202" t="s">
        <v>152</v>
      </c>
      <c r="C202" s="94" t="e">
        <f>#REF!</f>
        <v>#REF!</v>
      </c>
      <c r="D202" s="94" t="s">
        <v>153</v>
      </c>
      <c r="E202" s="94">
        <v>13</v>
      </c>
      <c r="F202" s="94">
        <v>12</v>
      </c>
      <c r="G202" s="113" t="e">
        <f>#REF!</f>
        <v>#REF!</v>
      </c>
      <c r="H202" s="95" t="s">
        <v>288</v>
      </c>
      <c r="I202" s="108" t="str">
        <f t="shared" si="6"/>
        <v>19.05.2014</v>
      </c>
      <c r="J202" s="109" t="str">
        <f t="shared" si="7"/>
        <v>31.12.2014</v>
      </c>
    </row>
    <row r="203" spans="2:10">
      <c r="B203" t="s">
        <v>152</v>
      </c>
      <c r="C203" s="94" t="e">
        <f>#REF!</f>
        <v>#REF!</v>
      </c>
      <c r="D203" s="94" t="s">
        <v>153</v>
      </c>
      <c r="E203" s="94">
        <v>13</v>
      </c>
      <c r="F203" s="94">
        <v>12</v>
      </c>
      <c r="G203" s="113" t="e">
        <f>#REF!</f>
        <v>#REF!</v>
      </c>
      <c r="H203" s="95" t="s">
        <v>288</v>
      </c>
      <c r="I203" s="108" t="str">
        <f t="shared" si="6"/>
        <v>19.05.2014</v>
      </c>
      <c r="J203" s="109" t="str">
        <f t="shared" si="7"/>
        <v>31.12.2014</v>
      </c>
    </row>
    <row r="204" spans="2:10">
      <c r="B204" t="s">
        <v>152</v>
      </c>
      <c r="C204" s="94" t="e">
        <f>#REF!</f>
        <v>#REF!</v>
      </c>
      <c r="D204" s="94" t="s">
        <v>153</v>
      </c>
      <c r="E204" s="94">
        <v>13</v>
      </c>
      <c r="F204" s="94">
        <v>12</v>
      </c>
      <c r="G204" s="113" t="e">
        <f>#REF!</f>
        <v>#REF!</v>
      </c>
      <c r="H204" s="95" t="s">
        <v>288</v>
      </c>
      <c r="I204" s="108" t="str">
        <f t="shared" si="6"/>
        <v>19.05.2014</v>
      </c>
      <c r="J204" s="109" t="str">
        <f t="shared" si="7"/>
        <v>31.12.2014</v>
      </c>
    </row>
    <row r="205" spans="2:10">
      <c r="B205" t="s">
        <v>152</v>
      </c>
      <c r="C205" s="94" t="e">
        <f>#REF!</f>
        <v>#REF!</v>
      </c>
      <c r="D205" s="94" t="s">
        <v>153</v>
      </c>
      <c r="E205" s="94">
        <v>13</v>
      </c>
      <c r="F205" s="94">
        <v>12</v>
      </c>
      <c r="G205" s="113" t="e">
        <f>#REF!</f>
        <v>#REF!</v>
      </c>
      <c r="H205" s="95" t="s">
        <v>288</v>
      </c>
      <c r="I205" s="108" t="str">
        <f t="shared" si="6"/>
        <v>19.05.2014</v>
      </c>
      <c r="J205" s="109" t="str">
        <f t="shared" si="7"/>
        <v>31.12.2014</v>
      </c>
    </row>
    <row r="206" spans="2:10">
      <c r="B206" t="s">
        <v>152</v>
      </c>
      <c r="C206" s="94" t="e">
        <f>#REF!</f>
        <v>#REF!</v>
      </c>
      <c r="D206" s="94" t="s">
        <v>153</v>
      </c>
      <c r="E206" s="94">
        <v>13</v>
      </c>
      <c r="F206" s="94">
        <v>12</v>
      </c>
      <c r="G206" s="113" t="e">
        <f>#REF!</f>
        <v>#REF!</v>
      </c>
      <c r="H206" s="95" t="s">
        <v>288</v>
      </c>
      <c r="I206" s="108" t="str">
        <f t="shared" si="6"/>
        <v>19.05.2014</v>
      </c>
      <c r="J206" s="109" t="str">
        <f t="shared" si="7"/>
        <v>31.12.2014</v>
      </c>
    </row>
    <row r="207" spans="2:10">
      <c r="B207" t="s">
        <v>152</v>
      </c>
      <c r="C207" s="94" t="e">
        <f>#REF!</f>
        <v>#REF!</v>
      </c>
      <c r="D207" s="94" t="s">
        <v>153</v>
      </c>
      <c r="E207" s="94">
        <v>13</v>
      </c>
      <c r="F207" s="94">
        <v>12</v>
      </c>
      <c r="G207" s="113" t="e">
        <f>#REF!</f>
        <v>#REF!</v>
      </c>
      <c r="H207" s="95" t="s">
        <v>288</v>
      </c>
      <c r="I207" s="108" t="str">
        <f t="shared" si="6"/>
        <v>19.05.2014</v>
      </c>
      <c r="J207" s="109" t="str">
        <f t="shared" si="7"/>
        <v>31.12.2014</v>
      </c>
    </row>
    <row r="208" spans="2:10">
      <c r="B208" t="s">
        <v>152</v>
      </c>
      <c r="C208" s="94" t="e">
        <f>#REF!</f>
        <v>#REF!</v>
      </c>
      <c r="D208" s="94" t="s">
        <v>153</v>
      </c>
      <c r="E208" s="94">
        <v>13</v>
      </c>
      <c r="F208" s="94">
        <v>12</v>
      </c>
      <c r="G208" s="113" t="e">
        <f>#REF!</f>
        <v>#REF!</v>
      </c>
      <c r="H208" s="95" t="s">
        <v>288</v>
      </c>
      <c r="I208" s="108" t="str">
        <f t="shared" si="6"/>
        <v>19.05.2014</v>
      </c>
      <c r="J208" s="109" t="str">
        <f t="shared" si="7"/>
        <v>31.12.2014</v>
      </c>
    </row>
    <row r="209" spans="2:10">
      <c r="B209" t="s">
        <v>152</v>
      </c>
      <c r="C209" s="94" t="e">
        <f>#REF!</f>
        <v>#REF!</v>
      </c>
      <c r="D209" s="94" t="s">
        <v>153</v>
      </c>
      <c r="E209" s="94">
        <v>13</v>
      </c>
      <c r="F209" s="94">
        <v>12</v>
      </c>
      <c r="G209" s="113" t="e">
        <f>#REF!</f>
        <v>#REF!</v>
      </c>
      <c r="H209" s="95" t="s">
        <v>288</v>
      </c>
      <c r="I209" s="108" t="str">
        <f t="shared" si="6"/>
        <v>19.05.2014</v>
      </c>
      <c r="J209" s="109" t="str">
        <f t="shared" si="7"/>
        <v>31.12.2014</v>
      </c>
    </row>
    <row r="210" spans="2:10">
      <c r="B210" t="s">
        <v>152</v>
      </c>
      <c r="C210" s="94" t="e">
        <f>#REF!</f>
        <v>#REF!</v>
      </c>
      <c r="D210" s="94" t="s">
        <v>153</v>
      </c>
      <c r="E210" s="94">
        <v>13</v>
      </c>
      <c r="F210" s="94">
        <v>12</v>
      </c>
      <c r="G210" s="113" t="e">
        <f>#REF!</f>
        <v>#REF!</v>
      </c>
      <c r="H210" s="95" t="s">
        <v>288</v>
      </c>
      <c r="I210" s="108" t="str">
        <f t="shared" si="6"/>
        <v>19.05.2014</v>
      </c>
      <c r="J210" s="109" t="str">
        <f t="shared" si="7"/>
        <v>31.12.2014</v>
      </c>
    </row>
    <row r="211" spans="2:10">
      <c r="B211" t="s">
        <v>152</v>
      </c>
      <c r="C211" s="94" t="e">
        <f>#REF!</f>
        <v>#REF!</v>
      </c>
      <c r="D211" s="94" t="s">
        <v>153</v>
      </c>
      <c r="E211" s="94">
        <v>13</v>
      </c>
      <c r="F211" s="94">
        <v>12</v>
      </c>
      <c r="G211" s="113" t="e">
        <f>#REF!</f>
        <v>#REF!</v>
      </c>
      <c r="H211" s="95" t="s">
        <v>288</v>
      </c>
      <c r="I211" s="108" t="str">
        <f t="shared" si="6"/>
        <v>19.05.2014</v>
      </c>
      <c r="J211" s="109" t="str">
        <f t="shared" si="7"/>
        <v>31.12.2014</v>
      </c>
    </row>
    <row r="212" spans="2:10">
      <c r="B212" t="s">
        <v>152</v>
      </c>
      <c r="C212" s="94" t="e">
        <f>#REF!</f>
        <v>#REF!</v>
      </c>
      <c r="D212" s="94" t="s">
        <v>153</v>
      </c>
      <c r="E212" s="94">
        <v>13</v>
      </c>
      <c r="F212" s="94">
        <v>12</v>
      </c>
      <c r="G212" s="113" t="e">
        <f>#REF!</f>
        <v>#REF!</v>
      </c>
      <c r="H212" s="95" t="s">
        <v>288</v>
      </c>
      <c r="I212" s="108" t="str">
        <f t="shared" si="6"/>
        <v>19.05.2014</v>
      </c>
      <c r="J212" s="109" t="str">
        <f t="shared" si="7"/>
        <v>31.12.2014</v>
      </c>
    </row>
    <row r="213" spans="2:10">
      <c r="B213" t="s">
        <v>152</v>
      </c>
      <c r="C213" s="94" t="e">
        <f>#REF!</f>
        <v>#REF!</v>
      </c>
      <c r="D213" s="94" t="s">
        <v>153</v>
      </c>
      <c r="E213" s="94">
        <v>13</v>
      </c>
      <c r="F213" s="94">
        <v>12</v>
      </c>
      <c r="G213" s="113" t="e">
        <f>#REF!</f>
        <v>#REF!</v>
      </c>
      <c r="H213" s="95" t="s">
        <v>288</v>
      </c>
      <c r="I213" s="108" t="str">
        <f t="shared" si="6"/>
        <v>19.05.2014</v>
      </c>
      <c r="J213" s="109" t="str">
        <f t="shared" si="7"/>
        <v>31.12.2014</v>
      </c>
    </row>
    <row r="214" spans="2:10">
      <c r="B214" t="s">
        <v>152</v>
      </c>
      <c r="C214" s="94" t="e">
        <f>#REF!</f>
        <v>#REF!</v>
      </c>
      <c r="D214" s="94" t="s">
        <v>153</v>
      </c>
      <c r="E214" s="94">
        <v>13</v>
      </c>
      <c r="F214" s="94">
        <v>12</v>
      </c>
      <c r="G214" s="113" t="e">
        <f>#REF!</f>
        <v>#REF!</v>
      </c>
      <c r="H214" s="95" t="s">
        <v>288</v>
      </c>
      <c r="I214" s="108" t="str">
        <f t="shared" si="6"/>
        <v>19.05.2014</v>
      </c>
      <c r="J214" s="109" t="str">
        <f t="shared" si="7"/>
        <v>31.12.2014</v>
      </c>
    </row>
    <row r="215" spans="2:10">
      <c r="B215" t="s">
        <v>152</v>
      </c>
      <c r="C215" s="94" t="e">
        <f>#REF!</f>
        <v>#REF!</v>
      </c>
      <c r="D215" s="94" t="s">
        <v>153</v>
      </c>
      <c r="E215" s="94">
        <v>13</v>
      </c>
      <c r="F215" s="94">
        <v>12</v>
      </c>
      <c r="G215" s="113" t="e">
        <f>#REF!</f>
        <v>#REF!</v>
      </c>
      <c r="H215" s="95" t="s">
        <v>288</v>
      </c>
      <c r="I215" s="108" t="str">
        <f t="shared" si="6"/>
        <v>19.05.2014</v>
      </c>
      <c r="J215" s="109" t="str">
        <f t="shared" si="7"/>
        <v>31.12.2014</v>
      </c>
    </row>
    <row r="216" spans="2:10">
      <c r="B216" t="s">
        <v>152</v>
      </c>
      <c r="C216" s="94" t="e">
        <f>#REF!</f>
        <v>#REF!</v>
      </c>
      <c r="D216" s="94" t="s">
        <v>153</v>
      </c>
      <c r="E216" s="94">
        <v>13</v>
      </c>
      <c r="F216" s="94">
        <v>12</v>
      </c>
      <c r="G216" s="113" t="e">
        <f>#REF!</f>
        <v>#REF!</v>
      </c>
      <c r="H216" s="95" t="s">
        <v>288</v>
      </c>
      <c r="I216" s="108" t="str">
        <f t="shared" si="6"/>
        <v>19.05.2014</v>
      </c>
      <c r="J216" s="109" t="str">
        <f t="shared" si="7"/>
        <v>31.12.2014</v>
      </c>
    </row>
    <row r="217" spans="2:10">
      <c r="B217" t="s">
        <v>152</v>
      </c>
      <c r="C217" s="94" t="e">
        <f>#REF!</f>
        <v>#REF!</v>
      </c>
      <c r="D217" s="94" t="s">
        <v>153</v>
      </c>
      <c r="E217" s="94">
        <v>13</v>
      </c>
      <c r="F217" s="94">
        <v>12</v>
      </c>
      <c r="G217" s="113" t="e">
        <f>#REF!</f>
        <v>#REF!</v>
      </c>
      <c r="H217" s="95" t="s">
        <v>288</v>
      </c>
      <c r="I217" s="108" t="str">
        <f t="shared" si="6"/>
        <v>19.05.2014</v>
      </c>
      <c r="J217" s="109" t="str">
        <f t="shared" si="7"/>
        <v>31.12.2014</v>
      </c>
    </row>
    <row r="218" spans="2:10">
      <c r="B218" t="s">
        <v>152</v>
      </c>
      <c r="C218" s="94" t="e">
        <f>#REF!</f>
        <v>#REF!</v>
      </c>
      <c r="D218" s="94" t="s">
        <v>153</v>
      </c>
      <c r="E218" s="94">
        <v>13</v>
      </c>
      <c r="F218" s="94">
        <v>14</v>
      </c>
      <c r="G218" s="113" t="e">
        <f>#REF!</f>
        <v>#REF!</v>
      </c>
      <c r="H218" s="95" t="s">
        <v>288</v>
      </c>
      <c r="I218" s="108" t="str">
        <f t="shared" si="6"/>
        <v>19.05.2014</v>
      </c>
      <c r="J218" s="109" t="str">
        <f t="shared" si="7"/>
        <v>31.12.2014</v>
      </c>
    </row>
    <row r="219" spans="2:10">
      <c r="B219" t="s">
        <v>152</v>
      </c>
      <c r="C219" s="94" t="e">
        <f>#REF!</f>
        <v>#REF!</v>
      </c>
      <c r="D219" s="94" t="s">
        <v>153</v>
      </c>
      <c r="E219" s="94">
        <v>13</v>
      </c>
      <c r="F219" s="94">
        <v>14</v>
      </c>
      <c r="G219" s="113" t="e">
        <f>#REF!</f>
        <v>#REF!</v>
      </c>
      <c r="H219" s="95" t="s">
        <v>288</v>
      </c>
      <c r="I219" s="108" t="str">
        <f t="shared" si="6"/>
        <v>19.05.2014</v>
      </c>
      <c r="J219" s="109" t="str">
        <f t="shared" si="7"/>
        <v>31.12.2014</v>
      </c>
    </row>
    <row r="220" spans="2:10">
      <c r="B220" t="s">
        <v>152</v>
      </c>
      <c r="C220" s="94" t="e">
        <f>#REF!</f>
        <v>#REF!</v>
      </c>
      <c r="D220" s="94" t="s">
        <v>153</v>
      </c>
      <c r="E220" s="94">
        <v>13</v>
      </c>
      <c r="F220" s="94">
        <v>14</v>
      </c>
      <c r="G220" s="113" t="e">
        <f>#REF!</f>
        <v>#REF!</v>
      </c>
      <c r="H220" s="95" t="s">
        <v>288</v>
      </c>
      <c r="I220" s="108" t="str">
        <f t="shared" si="6"/>
        <v>19.05.2014</v>
      </c>
      <c r="J220" s="109" t="str">
        <f t="shared" si="7"/>
        <v>31.12.2014</v>
      </c>
    </row>
    <row r="221" spans="2:10">
      <c r="B221" t="s">
        <v>152</v>
      </c>
      <c r="C221" s="94" t="e">
        <f>#REF!</f>
        <v>#REF!</v>
      </c>
      <c r="D221" s="94" t="s">
        <v>153</v>
      </c>
      <c r="E221" s="94">
        <v>13</v>
      </c>
      <c r="F221" s="94">
        <v>14</v>
      </c>
      <c r="G221" s="113" t="e">
        <f>#REF!</f>
        <v>#REF!</v>
      </c>
      <c r="H221" s="95" t="s">
        <v>288</v>
      </c>
      <c r="I221" s="108" t="str">
        <f t="shared" si="6"/>
        <v>19.05.2014</v>
      </c>
      <c r="J221" s="109" t="str">
        <f t="shared" si="7"/>
        <v>31.12.2014</v>
      </c>
    </row>
    <row r="222" spans="2:10">
      <c r="B222" t="s">
        <v>152</v>
      </c>
      <c r="C222" s="94" t="e">
        <f>#REF!</f>
        <v>#REF!</v>
      </c>
      <c r="D222" s="94" t="s">
        <v>153</v>
      </c>
      <c r="E222" s="94">
        <v>13</v>
      </c>
      <c r="F222" s="94">
        <v>14</v>
      </c>
      <c r="G222" s="113" t="e">
        <f>#REF!</f>
        <v>#REF!</v>
      </c>
      <c r="H222" s="95" t="s">
        <v>288</v>
      </c>
      <c r="I222" s="108" t="str">
        <f t="shared" si="6"/>
        <v>19.05.2014</v>
      </c>
      <c r="J222" s="109" t="str">
        <f t="shared" si="7"/>
        <v>31.12.2014</v>
      </c>
    </row>
    <row r="223" spans="2:10">
      <c r="B223" t="s">
        <v>152</v>
      </c>
      <c r="C223" s="94" t="e">
        <f>#REF!</f>
        <v>#REF!</v>
      </c>
      <c r="D223" s="94" t="s">
        <v>153</v>
      </c>
      <c r="E223" s="94">
        <v>13</v>
      </c>
      <c r="F223" s="94">
        <v>14</v>
      </c>
      <c r="G223" s="113" t="e">
        <f>#REF!</f>
        <v>#REF!</v>
      </c>
      <c r="H223" s="95" t="s">
        <v>288</v>
      </c>
      <c r="I223" s="108" t="str">
        <f t="shared" si="6"/>
        <v>19.05.2014</v>
      </c>
      <c r="J223" s="109" t="str">
        <f t="shared" si="7"/>
        <v>31.12.2014</v>
      </c>
    </row>
    <row r="224" spans="2:10">
      <c r="B224" t="s">
        <v>152</v>
      </c>
      <c r="C224" s="94" t="e">
        <f>#REF!</f>
        <v>#REF!</v>
      </c>
      <c r="D224" s="94" t="s">
        <v>153</v>
      </c>
      <c r="E224" s="94">
        <v>13</v>
      </c>
      <c r="F224" s="94">
        <v>14</v>
      </c>
      <c r="G224" s="113" t="e">
        <f>#REF!</f>
        <v>#REF!</v>
      </c>
      <c r="H224" s="95" t="s">
        <v>288</v>
      </c>
      <c r="I224" s="108" t="str">
        <f t="shared" si="6"/>
        <v>19.05.2014</v>
      </c>
      <c r="J224" s="109" t="str">
        <f t="shared" si="7"/>
        <v>31.12.2014</v>
      </c>
    </row>
    <row r="225" spans="2:10">
      <c r="B225" t="s">
        <v>152</v>
      </c>
      <c r="C225" s="94" t="e">
        <f>#REF!</f>
        <v>#REF!</v>
      </c>
      <c r="D225" s="94" t="s">
        <v>153</v>
      </c>
      <c r="E225" s="94">
        <v>13</v>
      </c>
      <c r="F225" s="94">
        <v>14</v>
      </c>
      <c r="G225" s="113" t="e">
        <f>#REF!</f>
        <v>#REF!</v>
      </c>
      <c r="H225" s="95" t="s">
        <v>288</v>
      </c>
      <c r="I225" s="108" t="str">
        <f t="shared" si="6"/>
        <v>19.05.2014</v>
      </c>
      <c r="J225" s="109" t="str">
        <f t="shared" si="7"/>
        <v>31.12.2014</v>
      </c>
    </row>
    <row r="226" spans="2:10">
      <c r="B226" t="s">
        <v>152</v>
      </c>
      <c r="C226" s="94" t="e">
        <f>#REF!</f>
        <v>#REF!</v>
      </c>
      <c r="D226" s="94" t="s">
        <v>153</v>
      </c>
      <c r="E226" s="94">
        <v>13</v>
      </c>
      <c r="F226" s="94">
        <v>14</v>
      </c>
      <c r="G226" s="113" t="e">
        <f>#REF!</f>
        <v>#REF!</v>
      </c>
      <c r="H226" s="95" t="s">
        <v>288</v>
      </c>
      <c r="I226" s="108" t="str">
        <f t="shared" si="6"/>
        <v>19.05.2014</v>
      </c>
      <c r="J226" s="109" t="str">
        <f t="shared" si="7"/>
        <v>31.12.2014</v>
      </c>
    </row>
    <row r="227" spans="2:10">
      <c r="B227" t="s">
        <v>152</v>
      </c>
      <c r="C227" s="94" t="e">
        <f>#REF!</f>
        <v>#REF!</v>
      </c>
      <c r="D227" s="94" t="s">
        <v>153</v>
      </c>
      <c r="E227" s="94">
        <v>13</v>
      </c>
      <c r="F227" s="94">
        <v>14</v>
      </c>
      <c r="G227" s="113" t="e">
        <f>#REF!</f>
        <v>#REF!</v>
      </c>
      <c r="H227" s="95" t="s">
        <v>288</v>
      </c>
      <c r="I227" s="108" t="str">
        <f t="shared" si="6"/>
        <v>19.05.2014</v>
      </c>
      <c r="J227" s="109" t="str">
        <f t="shared" si="7"/>
        <v>31.12.2014</v>
      </c>
    </row>
    <row r="228" spans="2:10">
      <c r="B228" t="s">
        <v>152</v>
      </c>
      <c r="C228" s="94" t="e">
        <f>#REF!</f>
        <v>#REF!</v>
      </c>
      <c r="D228" s="94" t="s">
        <v>153</v>
      </c>
      <c r="E228" s="94">
        <v>13</v>
      </c>
      <c r="F228" s="94">
        <v>14</v>
      </c>
      <c r="G228" s="113" t="e">
        <f>#REF!</f>
        <v>#REF!</v>
      </c>
      <c r="H228" s="95" t="s">
        <v>288</v>
      </c>
      <c r="I228" s="108" t="str">
        <f t="shared" si="6"/>
        <v>19.05.2014</v>
      </c>
      <c r="J228" s="109" t="str">
        <f t="shared" si="7"/>
        <v>31.12.2014</v>
      </c>
    </row>
    <row r="229" spans="2:10">
      <c r="B229" t="s">
        <v>152</v>
      </c>
      <c r="C229" s="94" t="e">
        <f>#REF!</f>
        <v>#REF!</v>
      </c>
      <c r="D229" s="94" t="s">
        <v>153</v>
      </c>
      <c r="E229" s="94">
        <v>13</v>
      </c>
      <c r="F229" s="94">
        <v>14</v>
      </c>
      <c r="G229" s="113" t="e">
        <f>#REF!</f>
        <v>#REF!</v>
      </c>
      <c r="H229" s="95" t="s">
        <v>288</v>
      </c>
      <c r="I229" s="108" t="str">
        <f t="shared" si="6"/>
        <v>19.05.2014</v>
      </c>
      <c r="J229" s="109" t="str">
        <f t="shared" si="7"/>
        <v>31.12.2014</v>
      </c>
    </row>
  </sheetData>
  <phoneticPr fontId="2" type="noConversion"/>
  <pageMargins left="0.5" right="0.5" top="0.5" bottom="0.25" header="0.5" footer="0.5"/>
  <pageSetup scale="51" fitToWidth="2" fitToHeight="2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P160"/>
  <sheetViews>
    <sheetView view="pageBreakPreview" topLeftCell="A139" zoomScale="99" zoomScaleSheetLayoutView="99" workbookViewId="0">
      <pane xSplit="1" topLeftCell="G1" activePane="topRight" state="frozen"/>
      <selection activeCell="J78" sqref="J78"/>
      <selection pane="topRight" activeCell="J78" sqref="J78"/>
    </sheetView>
  </sheetViews>
  <sheetFormatPr defaultColWidth="9.140625" defaultRowHeight="12.75"/>
  <cols>
    <col min="1" max="1" width="10.42578125" style="54" customWidth="1"/>
    <col min="2" max="2" width="7.7109375" style="54" customWidth="1"/>
    <col min="3" max="3" width="15.7109375" style="54" customWidth="1"/>
    <col min="4" max="4" width="9.85546875" style="54" customWidth="1"/>
    <col min="5" max="5" width="24.7109375" style="54" customWidth="1"/>
    <col min="6" max="6" width="7.85546875" style="54" customWidth="1"/>
    <col min="7" max="7" width="22.7109375" style="117" bestFit="1" customWidth="1"/>
    <col min="8" max="8" width="3.5703125" style="54" customWidth="1"/>
    <col min="9" max="9" width="16" style="90" customWidth="1"/>
    <col min="10" max="10" width="12" style="118" customWidth="1"/>
    <col min="11" max="11" width="12" style="91" customWidth="1"/>
    <col min="12" max="15" width="9.140625" style="54"/>
    <col min="16" max="16" width="12.7109375" style="54" customWidth="1"/>
    <col min="17" max="16384" width="9.140625" style="54"/>
  </cols>
  <sheetData>
    <row r="1" spans="1:16" ht="20.25" customHeight="1">
      <c r="J1" s="118">
        <f>+'Material Pricing Group SBY'!J1</f>
        <v>14070</v>
      </c>
    </row>
    <row r="2" spans="1:16" s="71" customFormat="1" ht="39.75" customHeight="1">
      <c r="A2" s="120" t="s">
        <v>45</v>
      </c>
      <c r="B2" s="121" t="s">
        <v>46</v>
      </c>
      <c r="C2" s="122" t="s">
        <v>47</v>
      </c>
      <c r="D2" s="123" t="s">
        <v>48</v>
      </c>
      <c r="E2" s="124" t="s">
        <v>49</v>
      </c>
      <c r="F2" s="125" t="s">
        <v>19</v>
      </c>
      <c r="G2" s="115" t="s">
        <v>289</v>
      </c>
      <c r="I2" s="126" t="s">
        <v>290</v>
      </c>
      <c r="J2" s="127" t="s">
        <v>419</v>
      </c>
      <c r="K2" s="128" t="s">
        <v>419</v>
      </c>
    </row>
    <row r="3" spans="1:16" s="71" customFormat="1" ht="18" customHeight="1">
      <c r="A3" s="132"/>
      <c r="B3" s="133"/>
      <c r="C3" s="134"/>
      <c r="D3" s="135"/>
      <c r="E3" s="136"/>
      <c r="F3" s="137"/>
      <c r="G3" s="138"/>
      <c r="H3" s="139"/>
      <c r="I3" s="140"/>
      <c r="J3" s="141">
        <f>+J1</f>
        <v>14070</v>
      </c>
      <c r="K3" s="142">
        <f>+J1</f>
        <v>14070</v>
      </c>
    </row>
    <row r="4" spans="1:16">
      <c r="A4" s="72" t="s">
        <v>113</v>
      </c>
      <c r="B4" s="46" t="s">
        <v>342</v>
      </c>
      <c r="C4" s="50" t="s">
        <v>343</v>
      </c>
      <c r="D4" s="48" t="s">
        <v>320</v>
      </c>
      <c r="E4" s="45" t="str">
        <f t="shared" ref="E4:E33" si="0">CONCATENATE(B4,"-",C4,"-",D4)</f>
        <v>Billet-SS400-ALL</v>
      </c>
      <c r="F4" s="46">
        <f t="shared" ref="F4:F33" si="1">LEN(E4)</f>
        <v>16</v>
      </c>
      <c r="G4" s="116" t="s">
        <v>235</v>
      </c>
      <c r="I4" s="100" t="s">
        <v>344</v>
      </c>
      <c r="J4" s="160">
        <f>+K4/1.103</f>
        <v>4687.2166817769721</v>
      </c>
      <c r="K4" s="101">
        <v>5170</v>
      </c>
      <c r="O4" s="157">
        <f>+J4-M4</f>
        <v>4687.2166817769721</v>
      </c>
      <c r="P4" s="158">
        <f>+K4-N4</f>
        <v>5170</v>
      </c>
    </row>
    <row r="5" spans="1:16">
      <c r="A5" s="72" t="s">
        <v>114</v>
      </c>
      <c r="B5" s="46" t="s">
        <v>342</v>
      </c>
      <c r="C5" s="53" t="s">
        <v>345</v>
      </c>
      <c r="D5" s="48" t="s">
        <v>320</v>
      </c>
      <c r="E5" s="45" t="str">
        <f t="shared" si="0"/>
        <v>Billet-U24P/D-ALL</v>
      </c>
      <c r="F5" s="46">
        <f t="shared" si="1"/>
        <v>17</v>
      </c>
      <c r="G5" s="116" t="s">
        <v>236</v>
      </c>
      <c r="I5" s="100" t="str">
        <f>+I4</f>
        <v>Base9</v>
      </c>
      <c r="J5" s="160">
        <f>+K5/1.103</f>
        <v>4687.2166817769721</v>
      </c>
      <c r="K5" s="101">
        <f>+K4</f>
        <v>5170</v>
      </c>
      <c r="O5" s="157">
        <f t="shared" ref="O5:O86" si="2">+J5-M5</f>
        <v>4687.2166817769721</v>
      </c>
      <c r="P5" s="158">
        <f t="shared" ref="P5:P86" si="3">+K5-N5</f>
        <v>5170</v>
      </c>
    </row>
    <row r="6" spans="1:16">
      <c r="A6" s="72" t="s">
        <v>115</v>
      </c>
      <c r="B6" s="46" t="s">
        <v>342</v>
      </c>
      <c r="C6" s="50" t="s">
        <v>346</v>
      </c>
      <c r="D6" s="48" t="s">
        <v>320</v>
      </c>
      <c r="E6" s="45" t="str">
        <f t="shared" si="0"/>
        <v>Billet-BJKU-ALL</v>
      </c>
      <c r="F6" s="46">
        <f t="shared" si="1"/>
        <v>15</v>
      </c>
      <c r="G6" s="116" t="s">
        <v>237</v>
      </c>
      <c r="I6" s="100" t="str">
        <f>+I4</f>
        <v>Base9</v>
      </c>
      <c r="J6" s="160">
        <f t="shared" ref="J6:J33" si="4">+K6/1.103</f>
        <v>4687.2166817769721</v>
      </c>
      <c r="K6" s="101">
        <f>+K5</f>
        <v>5170</v>
      </c>
      <c r="O6" s="157">
        <f t="shared" si="2"/>
        <v>4687.2166817769721</v>
      </c>
      <c r="P6" s="158">
        <f t="shared" si="3"/>
        <v>5170</v>
      </c>
    </row>
    <row r="7" spans="1:16">
      <c r="A7" s="72" t="s">
        <v>116</v>
      </c>
      <c r="B7" s="46" t="s">
        <v>342</v>
      </c>
      <c r="C7" s="53" t="s">
        <v>347</v>
      </c>
      <c r="D7" s="48" t="s">
        <v>320</v>
      </c>
      <c r="E7" s="99" t="str">
        <f t="shared" si="0"/>
        <v>Billet-U40D/P-ALL</v>
      </c>
      <c r="F7" s="46">
        <f t="shared" si="1"/>
        <v>17</v>
      </c>
      <c r="G7" s="116" t="s">
        <v>238</v>
      </c>
      <c r="I7" s="100" t="s">
        <v>348</v>
      </c>
      <c r="J7" s="160">
        <f t="shared" si="4"/>
        <v>4687.2166817769721</v>
      </c>
      <c r="K7" s="101">
        <v>5170</v>
      </c>
      <c r="O7" s="157">
        <f t="shared" si="2"/>
        <v>4687.2166817769721</v>
      </c>
      <c r="P7" s="158">
        <f t="shared" si="3"/>
        <v>5170</v>
      </c>
    </row>
    <row r="8" spans="1:16">
      <c r="A8" s="72" t="s">
        <v>117</v>
      </c>
      <c r="B8" s="46" t="s">
        <v>342</v>
      </c>
      <c r="C8" s="50" t="s">
        <v>349</v>
      </c>
      <c r="D8" s="48" t="s">
        <v>320</v>
      </c>
      <c r="E8" s="99" t="str">
        <f t="shared" si="0"/>
        <v>Billet-GRADE 40-ALL</v>
      </c>
      <c r="F8" s="46">
        <f t="shared" si="1"/>
        <v>19</v>
      </c>
      <c r="G8" s="116" t="s">
        <v>239</v>
      </c>
      <c r="I8" s="100" t="str">
        <f>+I7</f>
        <v>Base10</v>
      </c>
      <c r="J8" s="160">
        <f t="shared" si="4"/>
        <v>4687.2166817769721</v>
      </c>
      <c r="K8" s="101">
        <f>K7</f>
        <v>5170</v>
      </c>
      <c r="O8" s="157">
        <f t="shared" si="2"/>
        <v>4687.2166817769721</v>
      </c>
      <c r="P8" s="158">
        <f t="shared" si="3"/>
        <v>5170</v>
      </c>
    </row>
    <row r="9" spans="1:16">
      <c r="A9" s="72" t="s">
        <v>118</v>
      </c>
      <c r="B9" s="46" t="s">
        <v>342</v>
      </c>
      <c r="C9" s="50" t="s">
        <v>350</v>
      </c>
      <c r="D9" s="48" t="s">
        <v>320</v>
      </c>
      <c r="E9" s="98" t="str">
        <f t="shared" si="0"/>
        <v>Billet-GRADE 60-ALL</v>
      </c>
      <c r="F9" s="46">
        <f t="shared" si="1"/>
        <v>19</v>
      </c>
      <c r="G9" s="116" t="s">
        <v>240</v>
      </c>
      <c r="I9" s="100" t="s">
        <v>353</v>
      </c>
      <c r="J9" s="160">
        <f t="shared" si="4"/>
        <v>4687.2166817769721</v>
      </c>
      <c r="K9" s="101">
        <f>+K7</f>
        <v>5170</v>
      </c>
      <c r="O9" s="157">
        <f t="shared" si="2"/>
        <v>4687.2166817769721</v>
      </c>
      <c r="P9" s="158">
        <f t="shared" si="3"/>
        <v>5170</v>
      </c>
    </row>
    <row r="10" spans="1:16">
      <c r="A10" s="72" t="s">
        <v>119</v>
      </c>
      <c r="B10" s="46" t="s">
        <v>342</v>
      </c>
      <c r="C10" s="50" t="s">
        <v>351</v>
      </c>
      <c r="D10" s="48" t="s">
        <v>320</v>
      </c>
      <c r="E10" s="99" t="str">
        <f t="shared" si="0"/>
        <v>Billet-SD390-ALL</v>
      </c>
      <c r="F10" s="46">
        <f t="shared" si="1"/>
        <v>16</v>
      </c>
      <c r="G10" s="116" t="s">
        <v>241</v>
      </c>
      <c r="I10" s="100" t="str">
        <f>I8</f>
        <v>Base10</v>
      </c>
      <c r="J10" s="160">
        <f t="shared" si="4"/>
        <v>4687.2166817769721</v>
      </c>
      <c r="K10" s="101">
        <f>K9</f>
        <v>5170</v>
      </c>
      <c r="O10" s="157">
        <f t="shared" si="2"/>
        <v>4687.2166817769721</v>
      </c>
      <c r="P10" s="158">
        <f t="shared" si="3"/>
        <v>5170</v>
      </c>
    </row>
    <row r="11" spans="1:16">
      <c r="A11" s="72" t="s">
        <v>120</v>
      </c>
      <c r="B11" s="46" t="s">
        <v>342</v>
      </c>
      <c r="C11" s="50" t="s">
        <v>352</v>
      </c>
      <c r="D11" s="48" t="s">
        <v>320</v>
      </c>
      <c r="E11" s="98" t="str">
        <f t="shared" si="0"/>
        <v>Billet-SS540-ALL</v>
      </c>
      <c r="F11" s="46">
        <f t="shared" si="1"/>
        <v>16</v>
      </c>
      <c r="G11" s="116" t="s">
        <v>242</v>
      </c>
      <c r="I11" s="100" t="str">
        <f>I9</f>
        <v>Base11</v>
      </c>
      <c r="J11" s="160">
        <f t="shared" si="4"/>
        <v>4777.8785131459654</v>
      </c>
      <c r="K11" s="101">
        <f>+K7+100</f>
        <v>5270</v>
      </c>
      <c r="O11" s="157">
        <f t="shared" si="2"/>
        <v>4777.8785131459654</v>
      </c>
      <c r="P11" s="158">
        <f t="shared" si="3"/>
        <v>5270</v>
      </c>
    </row>
    <row r="12" spans="1:16">
      <c r="A12" s="72" t="s">
        <v>121</v>
      </c>
      <c r="B12" s="46" t="s">
        <v>342</v>
      </c>
      <c r="C12" s="50" t="s">
        <v>354</v>
      </c>
      <c r="D12" s="48" t="s">
        <v>320</v>
      </c>
      <c r="E12" s="45" t="str">
        <f t="shared" si="0"/>
        <v>Billet-SD490-ALL</v>
      </c>
      <c r="F12" s="46">
        <f t="shared" si="1"/>
        <v>16</v>
      </c>
      <c r="G12" s="116" t="s">
        <v>243</v>
      </c>
      <c r="I12" s="100" t="str">
        <f>I9</f>
        <v>Base11</v>
      </c>
      <c r="J12" s="160">
        <f t="shared" si="4"/>
        <v>4687.2166817769721</v>
      </c>
      <c r="K12" s="101">
        <f>K9</f>
        <v>5170</v>
      </c>
      <c r="O12" s="157">
        <f t="shared" si="2"/>
        <v>4687.2166817769721</v>
      </c>
      <c r="P12" s="158">
        <f t="shared" si="3"/>
        <v>5170</v>
      </c>
    </row>
    <row r="13" spans="1:16">
      <c r="A13" s="72" t="s">
        <v>122</v>
      </c>
      <c r="B13" s="46" t="s">
        <v>342</v>
      </c>
      <c r="C13" s="50">
        <v>1008</v>
      </c>
      <c r="D13" s="48" t="s">
        <v>320</v>
      </c>
      <c r="E13" s="45" t="str">
        <f t="shared" si="0"/>
        <v>Billet-1008-ALL</v>
      </c>
      <c r="F13" s="46">
        <f t="shared" si="1"/>
        <v>15</v>
      </c>
      <c r="G13" s="116" t="s">
        <v>244</v>
      </c>
      <c r="I13" s="100" t="str">
        <f>I7</f>
        <v>Base10</v>
      </c>
      <c r="J13" s="160">
        <f t="shared" si="4"/>
        <v>4687.2166817769721</v>
      </c>
      <c r="K13" s="101">
        <f>K10</f>
        <v>5170</v>
      </c>
      <c r="O13" s="157">
        <f t="shared" si="2"/>
        <v>4687.2166817769721</v>
      </c>
      <c r="P13" s="158">
        <f t="shared" si="3"/>
        <v>5170</v>
      </c>
    </row>
    <row r="14" spans="1:16">
      <c r="A14" s="72" t="s">
        <v>123</v>
      </c>
      <c r="B14" s="46" t="s">
        <v>342</v>
      </c>
      <c r="C14" s="50" t="s">
        <v>356</v>
      </c>
      <c r="D14" s="48" t="s">
        <v>320</v>
      </c>
      <c r="E14" s="45" t="str">
        <f t="shared" si="0"/>
        <v>Billet-Q195-ALL</v>
      </c>
      <c r="F14" s="46">
        <f t="shared" si="1"/>
        <v>15</v>
      </c>
      <c r="G14" s="116" t="s">
        <v>245</v>
      </c>
      <c r="I14" s="100" t="str">
        <f>+I13</f>
        <v>Base10</v>
      </c>
      <c r="J14" s="160">
        <f t="shared" si="4"/>
        <v>4687.2166817769721</v>
      </c>
      <c r="K14" s="101">
        <f>K7</f>
        <v>5170</v>
      </c>
      <c r="O14" s="157">
        <f t="shared" si="2"/>
        <v>4687.2166817769721</v>
      </c>
      <c r="P14" s="158">
        <f t="shared" si="3"/>
        <v>5170</v>
      </c>
    </row>
    <row r="15" spans="1:16">
      <c r="A15" s="72" t="s">
        <v>124</v>
      </c>
      <c r="B15" s="46" t="s">
        <v>342</v>
      </c>
      <c r="C15" s="84">
        <v>1006</v>
      </c>
      <c r="D15" s="48" t="s">
        <v>320</v>
      </c>
      <c r="E15" s="45" t="str">
        <f t="shared" si="0"/>
        <v>Billet-1006-ALL</v>
      </c>
      <c r="F15" s="46">
        <f t="shared" si="1"/>
        <v>15</v>
      </c>
      <c r="G15" s="116" t="s">
        <v>246</v>
      </c>
      <c r="I15" s="100" t="s">
        <v>398</v>
      </c>
      <c r="J15" s="160">
        <f t="shared" si="4"/>
        <v>4868.5403445149595</v>
      </c>
      <c r="K15" s="73">
        <f>K7+200</f>
        <v>5370</v>
      </c>
      <c r="O15" s="157">
        <f t="shared" si="2"/>
        <v>4868.5403445149595</v>
      </c>
      <c r="P15" s="158">
        <f t="shared" si="3"/>
        <v>5370</v>
      </c>
    </row>
    <row r="16" spans="1:16">
      <c r="A16" s="72" t="s">
        <v>126</v>
      </c>
      <c r="B16" s="46" t="s">
        <v>342</v>
      </c>
      <c r="C16" s="50">
        <v>1010</v>
      </c>
      <c r="D16" s="48" t="s">
        <v>320</v>
      </c>
      <c r="E16" s="45" t="str">
        <f t="shared" si="0"/>
        <v>Billet-1010-ALL</v>
      </c>
      <c r="F16" s="46">
        <f t="shared" si="1"/>
        <v>15</v>
      </c>
      <c r="G16" s="116" t="s">
        <v>247</v>
      </c>
      <c r="I16" s="100" t="str">
        <f>I7</f>
        <v>Base10</v>
      </c>
      <c r="J16" s="160">
        <f t="shared" si="4"/>
        <v>4687.2166817769721</v>
      </c>
      <c r="K16" s="101">
        <f>K7</f>
        <v>5170</v>
      </c>
      <c r="O16" s="157">
        <f t="shared" si="2"/>
        <v>4687.2166817769721</v>
      </c>
      <c r="P16" s="158">
        <f t="shared" si="3"/>
        <v>5170</v>
      </c>
    </row>
    <row r="17" spans="1:16">
      <c r="A17" s="72" t="s">
        <v>128</v>
      </c>
      <c r="B17" s="46" t="s">
        <v>342</v>
      </c>
      <c r="C17" s="50">
        <v>1012</v>
      </c>
      <c r="D17" s="48" t="s">
        <v>320</v>
      </c>
      <c r="E17" s="45" t="str">
        <f t="shared" si="0"/>
        <v>Billet-1012-ALL</v>
      </c>
      <c r="F17" s="46">
        <f t="shared" si="1"/>
        <v>15</v>
      </c>
      <c r="G17" s="116" t="s">
        <v>248</v>
      </c>
      <c r="I17" s="100" t="str">
        <f>+I16</f>
        <v>Base10</v>
      </c>
      <c r="J17" s="160">
        <f t="shared" si="4"/>
        <v>4687.2166817769721</v>
      </c>
      <c r="K17" s="73">
        <f>+K7</f>
        <v>5170</v>
      </c>
      <c r="O17" s="157">
        <f t="shared" si="2"/>
        <v>4687.2166817769721</v>
      </c>
      <c r="P17" s="158">
        <f t="shared" si="3"/>
        <v>5170</v>
      </c>
    </row>
    <row r="18" spans="1:16">
      <c r="A18" s="72" t="s">
        <v>129</v>
      </c>
      <c r="B18" s="46" t="s">
        <v>342</v>
      </c>
      <c r="C18" s="50">
        <v>1015</v>
      </c>
      <c r="D18" s="48" t="s">
        <v>320</v>
      </c>
      <c r="E18" s="45" t="str">
        <f t="shared" si="0"/>
        <v>Billet-1015-ALL</v>
      </c>
      <c r="F18" s="46">
        <f t="shared" si="1"/>
        <v>15</v>
      </c>
      <c r="G18" s="116" t="s">
        <v>249</v>
      </c>
      <c r="I18" s="100" t="str">
        <f>+I16</f>
        <v>Base10</v>
      </c>
      <c r="J18" s="160">
        <f t="shared" si="4"/>
        <v>4687.2166817769721</v>
      </c>
      <c r="K18" s="73">
        <f>+K7</f>
        <v>5170</v>
      </c>
      <c r="O18" s="157">
        <f t="shared" si="2"/>
        <v>4687.2166817769721</v>
      </c>
      <c r="P18" s="158">
        <f t="shared" si="3"/>
        <v>5170</v>
      </c>
    </row>
    <row r="19" spans="1:16">
      <c r="A19" s="72" t="s">
        <v>130</v>
      </c>
      <c r="B19" s="46" t="s">
        <v>342</v>
      </c>
      <c r="C19" s="53" t="s">
        <v>55</v>
      </c>
      <c r="D19" s="48" t="s">
        <v>320</v>
      </c>
      <c r="E19" s="45" t="str">
        <f t="shared" si="0"/>
        <v>Billet-1012B-ALL</v>
      </c>
      <c r="F19" s="46">
        <f t="shared" si="1"/>
        <v>16</v>
      </c>
      <c r="G19" s="116" t="s">
        <v>250</v>
      </c>
      <c r="I19" s="100" t="s">
        <v>355</v>
      </c>
      <c r="J19" s="160">
        <f t="shared" si="4"/>
        <v>4687.2166817769721</v>
      </c>
      <c r="K19" s="101">
        <f>+K5</f>
        <v>5170</v>
      </c>
      <c r="O19" s="157">
        <f t="shared" si="2"/>
        <v>4687.2166817769721</v>
      </c>
      <c r="P19" s="158">
        <f t="shared" si="3"/>
        <v>5170</v>
      </c>
    </row>
    <row r="20" spans="1:16">
      <c r="A20" s="72" t="s">
        <v>131</v>
      </c>
      <c r="B20" s="46" t="s">
        <v>342</v>
      </c>
      <c r="C20" s="53" t="s">
        <v>357</v>
      </c>
      <c r="D20" s="48" t="s">
        <v>320</v>
      </c>
      <c r="E20" s="45" t="str">
        <f t="shared" si="0"/>
        <v>Billet-500N/Mpa-ALL</v>
      </c>
      <c r="F20" s="46">
        <f t="shared" si="1"/>
        <v>19</v>
      </c>
      <c r="G20" s="116" t="s">
        <v>251</v>
      </c>
      <c r="I20" s="100" t="s">
        <v>399</v>
      </c>
      <c r="J20" s="160">
        <f t="shared" si="4"/>
        <v>5666.3644605621039</v>
      </c>
      <c r="K20" s="101">
        <f>+K7+1080</f>
        <v>6250</v>
      </c>
      <c r="O20" s="157">
        <f t="shared" si="2"/>
        <v>5666.3644605621039</v>
      </c>
      <c r="P20" s="158">
        <f t="shared" si="3"/>
        <v>6250</v>
      </c>
    </row>
    <row r="21" spans="1:16">
      <c r="A21" s="72" t="s">
        <v>132</v>
      </c>
      <c r="B21" s="46" t="s">
        <v>342</v>
      </c>
      <c r="C21" s="53" t="s">
        <v>358</v>
      </c>
      <c r="D21" s="48" t="s">
        <v>320</v>
      </c>
      <c r="E21" s="45" t="str">
        <f t="shared" si="0"/>
        <v>Billet-SD295A-ALL</v>
      </c>
      <c r="F21" s="46">
        <f t="shared" si="1"/>
        <v>17</v>
      </c>
      <c r="G21" s="116" t="s">
        <v>252</v>
      </c>
      <c r="I21" s="100" t="str">
        <f>I7</f>
        <v>Base10</v>
      </c>
      <c r="J21" s="160">
        <f t="shared" si="4"/>
        <v>4687.2166817769721</v>
      </c>
      <c r="K21" s="101">
        <f>K7</f>
        <v>5170</v>
      </c>
      <c r="O21" s="157">
        <f t="shared" si="2"/>
        <v>4687.2166817769721</v>
      </c>
      <c r="P21" s="158">
        <f t="shared" si="3"/>
        <v>5170</v>
      </c>
    </row>
    <row r="22" spans="1:16">
      <c r="A22" s="72" t="s">
        <v>133</v>
      </c>
      <c r="B22" s="46" t="s">
        <v>342</v>
      </c>
      <c r="C22" s="53" t="s">
        <v>359</v>
      </c>
      <c r="D22" s="48" t="s">
        <v>320</v>
      </c>
      <c r="E22" s="45" t="str">
        <f t="shared" si="0"/>
        <v>Billet-SD295B-ALL</v>
      </c>
      <c r="F22" s="46">
        <f t="shared" si="1"/>
        <v>17</v>
      </c>
      <c r="G22" s="116" t="s">
        <v>253</v>
      </c>
      <c r="I22" s="100" t="s">
        <v>400</v>
      </c>
      <c r="J22" s="160">
        <f t="shared" si="4"/>
        <v>4732.5475974614692</v>
      </c>
      <c r="K22" s="73">
        <f>K10+50</f>
        <v>5220</v>
      </c>
      <c r="O22" s="157">
        <f t="shared" si="2"/>
        <v>4732.5475974614692</v>
      </c>
      <c r="P22" s="158">
        <f t="shared" si="3"/>
        <v>5220</v>
      </c>
    </row>
    <row r="23" spans="1:16">
      <c r="A23" s="72" t="s">
        <v>134</v>
      </c>
      <c r="B23" s="46" t="s">
        <v>342</v>
      </c>
      <c r="C23" s="53" t="s">
        <v>360</v>
      </c>
      <c r="D23" s="48" t="s">
        <v>320</v>
      </c>
      <c r="E23" s="45" t="str">
        <f t="shared" si="0"/>
        <v>Billet-SD345-ALL</v>
      </c>
      <c r="F23" s="46">
        <f t="shared" si="1"/>
        <v>16</v>
      </c>
      <c r="G23" s="116" t="s">
        <v>254</v>
      </c>
      <c r="I23" s="100" t="s">
        <v>401</v>
      </c>
      <c r="J23" s="160">
        <f t="shared" si="4"/>
        <v>4777.8785131459654</v>
      </c>
      <c r="K23" s="73">
        <f>K10+100</f>
        <v>5270</v>
      </c>
      <c r="O23" s="157">
        <f t="shared" si="2"/>
        <v>4777.8785131459654</v>
      </c>
      <c r="P23" s="158">
        <f t="shared" si="3"/>
        <v>5270</v>
      </c>
    </row>
    <row r="24" spans="1:16">
      <c r="A24" s="72" t="s">
        <v>135</v>
      </c>
      <c r="B24" s="46" t="s">
        <v>342</v>
      </c>
      <c r="C24" s="50" t="s">
        <v>338</v>
      </c>
      <c r="D24" s="48" t="s">
        <v>320</v>
      </c>
      <c r="E24" s="99" t="str">
        <f t="shared" si="0"/>
        <v>Billet-300E-ALL</v>
      </c>
      <c r="F24" s="46">
        <f t="shared" si="1"/>
        <v>15</v>
      </c>
      <c r="G24" s="116" t="s">
        <v>255</v>
      </c>
      <c r="I24" s="100" t="str">
        <f>I7</f>
        <v>Base10</v>
      </c>
      <c r="J24" s="160">
        <f t="shared" si="4"/>
        <v>4687.2166817769721</v>
      </c>
      <c r="K24" s="73">
        <f>K10</f>
        <v>5170</v>
      </c>
      <c r="O24" s="157">
        <f t="shared" si="2"/>
        <v>4687.2166817769721</v>
      </c>
      <c r="P24" s="158">
        <f t="shared" si="3"/>
        <v>5170</v>
      </c>
    </row>
    <row r="25" spans="1:16">
      <c r="A25" s="72" t="s">
        <v>104</v>
      </c>
      <c r="B25" s="46" t="s">
        <v>334</v>
      </c>
      <c r="C25" s="50" t="s">
        <v>335</v>
      </c>
      <c r="D25" s="51">
        <v>6</v>
      </c>
      <c r="E25" s="45" t="str">
        <f t="shared" si="0"/>
        <v>DC-SD 390-6</v>
      </c>
      <c r="F25" s="46">
        <f t="shared" si="1"/>
        <v>11</v>
      </c>
      <c r="G25" s="116" t="s">
        <v>226</v>
      </c>
      <c r="I25" s="100" t="s">
        <v>336</v>
      </c>
      <c r="J25" s="160">
        <f>+K25/1.103</f>
        <v>9836.8087035358112</v>
      </c>
      <c r="K25" s="174">
        <f>+'Material Pricing Group SBY'!K25</f>
        <v>10850</v>
      </c>
      <c r="O25" s="157">
        <f t="shared" ref="O25:O46" si="5">+J25-M25</f>
        <v>9836.8087035358112</v>
      </c>
      <c r="P25" s="158">
        <f t="shared" si="3"/>
        <v>10850</v>
      </c>
    </row>
    <row r="26" spans="1:16">
      <c r="A26" s="72" t="s">
        <v>105</v>
      </c>
      <c r="B26" s="46" t="s">
        <v>334</v>
      </c>
      <c r="C26" s="50" t="s">
        <v>335</v>
      </c>
      <c r="D26" s="51">
        <v>8</v>
      </c>
      <c r="E26" s="45" t="str">
        <f t="shared" si="0"/>
        <v>DC-SD 390-8</v>
      </c>
      <c r="F26" s="46">
        <f t="shared" si="1"/>
        <v>11</v>
      </c>
      <c r="G26" s="116" t="s">
        <v>227</v>
      </c>
      <c r="I26" s="100" t="str">
        <f>+I25</f>
        <v>Base8</v>
      </c>
      <c r="J26" s="160">
        <f t="shared" si="4"/>
        <v>9836.8087035358112</v>
      </c>
      <c r="K26" s="73">
        <f>+K25</f>
        <v>10850</v>
      </c>
      <c r="O26" s="157">
        <f t="shared" si="5"/>
        <v>9836.8087035358112</v>
      </c>
      <c r="P26" s="158">
        <f t="shared" si="3"/>
        <v>10850</v>
      </c>
    </row>
    <row r="27" spans="1:16">
      <c r="A27" s="72" t="s">
        <v>106</v>
      </c>
      <c r="B27" s="46" t="s">
        <v>334</v>
      </c>
      <c r="C27" s="50" t="s">
        <v>335</v>
      </c>
      <c r="D27" s="51">
        <v>10</v>
      </c>
      <c r="E27" s="45" t="str">
        <f t="shared" si="0"/>
        <v>DC-SD 390-10</v>
      </c>
      <c r="F27" s="46">
        <f t="shared" si="1"/>
        <v>12</v>
      </c>
      <c r="G27" s="116" t="s">
        <v>228</v>
      </c>
      <c r="I27" s="100" t="str">
        <f>+I25</f>
        <v>Base8</v>
      </c>
      <c r="J27" s="160">
        <f t="shared" si="4"/>
        <v>9836.8087035358112</v>
      </c>
      <c r="K27" s="73">
        <f>+K25</f>
        <v>10850</v>
      </c>
      <c r="O27" s="157">
        <f t="shared" si="5"/>
        <v>9836.8087035358112</v>
      </c>
      <c r="P27" s="158">
        <f t="shared" si="3"/>
        <v>10850</v>
      </c>
    </row>
    <row r="28" spans="1:16">
      <c r="A28" s="72" t="s">
        <v>107</v>
      </c>
      <c r="B28" s="46" t="s">
        <v>334</v>
      </c>
      <c r="C28" s="50" t="s">
        <v>335</v>
      </c>
      <c r="D28" s="51">
        <v>12</v>
      </c>
      <c r="E28" s="45" t="str">
        <f t="shared" si="0"/>
        <v>DC-SD 390-12</v>
      </c>
      <c r="F28" s="46">
        <f t="shared" si="1"/>
        <v>12</v>
      </c>
      <c r="G28" s="116" t="s">
        <v>229</v>
      </c>
      <c r="I28" s="100" t="str">
        <f>+I25</f>
        <v>Base8</v>
      </c>
      <c r="J28" s="160">
        <f t="shared" si="4"/>
        <v>9836.8087035358112</v>
      </c>
      <c r="K28" s="73">
        <f>+K25</f>
        <v>10850</v>
      </c>
      <c r="O28" s="157">
        <f t="shared" si="5"/>
        <v>9836.8087035358112</v>
      </c>
      <c r="P28" s="158">
        <f t="shared" si="3"/>
        <v>10850</v>
      </c>
    </row>
    <row r="29" spans="1:16">
      <c r="A29" s="72" t="s">
        <v>108</v>
      </c>
      <c r="B29" s="46" t="s">
        <v>334</v>
      </c>
      <c r="C29" s="53" t="s">
        <v>337</v>
      </c>
      <c r="D29" s="48" t="s">
        <v>320</v>
      </c>
      <c r="E29" s="45" t="str">
        <f t="shared" si="0"/>
        <v>DC-500N/MPA-ALL</v>
      </c>
      <c r="F29" s="46">
        <f t="shared" si="1"/>
        <v>15</v>
      </c>
      <c r="G29" s="116" t="s">
        <v>230</v>
      </c>
      <c r="I29" s="100" t="s">
        <v>396</v>
      </c>
      <c r="J29" s="160">
        <f t="shared" si="4"/>
        <v>10997.28014505893</v>
      </c>
      <c r="K29" s="73">
        <f>+K62+1080</f>
        <v>12130</v>
      </c>
      <c r="O29" s="157">
        <f t="shared" si="5"/>
        <v>10997.28014505893</v>
      </c>
      <c r="P29" s="158">
        <f t="shared" si="3"/>
        <v>12130</v>
      </c>
    </row>
    <row r="30" spans="1:16">
      <c r="A30" s="72" t="s">
        <v>109</v>
      </c>
      <c r="B30" s="46" t="s">
        <v>334</v>
      </c>
      <c r="C30" s="50" t="s">
        <v>338</v>
      </c>
      <c r="D30" s="48" t="s">
        <v>320</v>
      </c>
      <c r="E30" s="45" t="str">
        <f t="shared" si="0"/>
        <v>DC-300E-ALL</v>
      </c>
      <c r="F30" s="46">
        <f t="shared" si="1"/>
        <v>11</v>
      </c>
      <c r="G30" s="116" t="s">
        <v>231</v>
      </c>
      <c r="I30" s="100" t="s">
        <v>394</v>
      </c>
      <c r="J30" s="160">
        <f t="shared" si="4"/>
        <v>10154.125113327289</v>
      </c>
      <c r="K30" s="73">
        <f>+K62+150</f>
        <v>11200</v>
      </c>
      <c r="O30" s="157">
        <f t="shared" si="5"/>
        <v>10154.125113327289</v>
      </c>
      <c r="P30" s="158">
        <f t="shared" si="3"/>
        <v>11200</v>
      </c>
    </row>
    <row r="31" spans="1:16">
      <c r="A31" s="72" t="s">
        <v>110</v>
      </c>
      <c r="B31" s="46" t="s">
        <v>334</v>
      </c>
      <c r="C31" s="50" t="s">
        <v>339</v>
      </c>
      <c r="D31" s="48" t="s">
        <v>320</v>
      </c>
      <c r="E31" s="45" t="str">
        <f t="shared" si="0"/>
        <v>DC-SD 490-ALL</v>
      </c>
      <c r="F31" s="46">
        <f t="shared" si="1"/>
        <v>13</v>
      </c>
      <c r="G31" s="116" t="s">
        <v>232</v>
      </c>
      <c r="I31" s="100" t="s">
        <v>395</v>
      </c>
      <c r="J31" s="160">
        <f t="shared" si="4"/>
        <v>10163.191296464189</v>
      </c>
      <c r="K31" s="73">
        <f>K25+360</f>
        <v>11210</v>
      </c>
      <c r="O31" s="157">
        <f t="shared" si="5"/>
        <v>10163.191296464189</v>
      </c>
      <c r="P31" s="158">
        <f t="shared" si="3"/>
        <v>11210</v>
      </c>
    </row>
    <row r="32" spans="1:16">
      <c r="A32" s="72" t="s">
        <v>111</v>
      </c>
      <c r="B32" s="46" t="s">
        <v>334</v>
      </c>
      <c r="C32" s="50" t="s">
        <v>340</v>
      </c>
      <c r="D32" s="48" t="s">
        <v>320</v>
      </c>
      <c r="E32" s="45" t="str">
        <f t="shared" si="0"/>
        <v>DC-Grade 40-ALL</v>
      </c>
      <c r="F32" s="46">
        <f t="shared" si="1"/>
        <v>15</v>
      </c>
      <c r="G32" s="116" t="s">
        <v>233</v>
      </c>
      <c r="I32" s="100" t="s">
        <v>397</v>
      </c>
      <c r="J32" s="160">
        <f t="shared" si="4"/>
        <v>9950.135992747053</v>
      </c>
      <c r="K32" s="73">
        <f>+K25+125</f>
        <v>10975</v>
      </c>
      <c r="O32" s="157">
        <f t="shared" si="5"/>
        <v>9950.135992747053</v>
      </c>
      <c r="P32" s="158">
        <f t="shared" si="3"/>
        <v>10975</v>
      </c>
    </row>
    <row r="33" spans="1:16">
      <c r="A33" s="72" t="s">
        <v>112</v>
      </c>
      <c r="B33" s="46" t="s">
        <v>334</v>
      </c>
      <c r="C33" s="50" t="s">
        <v>341</v>
      </c>
      <c r="D33" s="48" t="s">
        <v>320</v>
      </c>
      <c r="E33" s="45" t="str">
        <f t="shared" si="0"/>
        <v>DC-Grade 60-ALL</v>
      </c>
      <c r="F33" s="46">
        <f t="shared" si="1"/>
        <v>15</v>
      </c>
      <c r="G33" s="116" t="s">
        <v>234</v>
      </c>
      <c r="I33" s="100" t="s">
        <v>395</v>
      </c>
      <c r="J33" s="160">
        <f t="shared" si="4"/>
        <v>10163.191296464189</v>
      </c>
      <c r="K33" s="73">
        <f>+K25+360</f>
        <v>11210</v>
      </c>
      <c r="O33" s="157">
        <f t="shared" si="5"/>
        <v>10163.191296464189</v>
      </c>
      <c r="P33" s="158">
        <f t="shared" si="3"/>
        <v>11210</v>
      </c>
    </row>
    <row r="34" spans="1:16">
      <c r="A34" s="72" t="s">
        <v>138</v>
      </c>
      <c r="B34" s="60" t="s">
        <v>363</v>
      </c>
      <c r="C34" s="74" t="s">
        <v>364</v>
      </c>
      <c r="D34" s="77">
        <v>5.5</v>
      </c>
      <c r="E34" s="78" t="str">
        <f t="shared" ref="E34:E46" si="6">CONCATENATE(B34,"-",C34,"-",D34)</f>
        <v>NP-LCRJ 5.5-5.5</v>
      </c>
      <c r="F34" s="75">
        <f t="shared" ref="F34:F46" si="7">LEN(E34)</f>
        <v>15</v>
      </c>
      <c r="G34" s="116" t="s">
        <v>258</v>
      </c>
      <c r="H34" s="79"/>
      <c r="I34" s="100" t="s">
        <v>404</v>
      </c>
      <c r="J34" s="160">
        <f t="shared" ref="J34:J45" si="8">+K34/1.103</f>
        <v>8361.2873980054392</v>
      </c>
      <c r="K34" s="73">
        <f>K51*0.85</f>
        <v>9222.5</v>
      </c>
      <c r="O34" s="157">
        <f t="shared" si="5"/>
        <v>8361.2873980054392</v>
      </c>
      <c r="P34" s="158">
        <f t="shared" si="3"/>
        <v>9222.5</v>
      </c>
    </row>
    <row r="35" spans="1:16">
      <c r="A35" s="72" t="s">
        <v>139</v>
      </c>
      <c r="B35" s="60" t="s">
        <v>363</v>
      </c>
      <c r="C35" s="74" t="s">
        <v>365</v>
      </c>
      <c r="D35" s="87" t="s">
        <v>366</v>
      </c>
      <c r="E35" s="88" t="str">
        <f t="shared" si="6"/>
        <v>NP-LCRJ 6-8-6.0-8</v>
      </c>
      <c r="F35" s="85">
        <f t="shared" si="7"/>
        <v>17</v>
      </c>
      <c r="G35" s="116" t="s">
        <v>259</v>
      </c>
      <c r="H35" s="79"/>
      <c r="I35" s="100" t="s">
        <v>405</v>
      </c>
      <c r="J35" s="163">
        <f t="shared" si="8"/>
        <v>7905.711695376247</v>
      </c>
      <c r="K35" s="92">
        <f>K48*0.8</f>
        <v>8720</v>
      </c>
      <c r="O35" s="157">
        <f t="shared" si="5"/>
        <v>7905.711695376247</v>
      </c>
      <c r="P35" s="158">
        <f t="shared" si="3"/>
        <v>8720</v>
      </c>
    </row>
    <row r="36" spans="1:16">
      <c r="A36" s="72" t="s">
        <v>140</v>
      </c>
      <c r="B36" s="60" t="s">
        <v>363</v>
      </c>
      <c r="C36" s="74" t="s">
        <v>367</v>
      </c>
      <c r="D36" s="77" t="s">
        <v>368</v>
      </c>
      <c r="E36" s="78" t="str">
        <f t="shared" si="6"/>
        <v>NP-LCRJ 8 up-8 Up</v>
      </c>
      <c r="F36" s="75">
        <f t="shared" si="7"/>
        <v>17</v>
      </c>
      <c r="G36" s="116" t="s">
        <v>260</v>
      </c>
      <c r="H36" s="79"/>
      <c r="I36" s="100" t="s">
        <v>406</v>
      </c>
      <c r="J36" s="160">
        <f t="shared" si="8"/>
        <v>7411.6047144152317</v>
      </c>
      <c r="K36" s="73">
        <f>K48*0.75</f>
        <v>8175</v>
      </c>
      <c r="O36" s="157">
        <f t="shared" si="5"/>
        <v>7411.6047144152317</v>
      </c>
      <c r="P36" s="158">
        <f t="shared" si="3"/>
        <v>8175</v>
      </c>
    </row>
    <row r="37" spans="1:16">
      <c r="A37" s="72" t="s">
        <v>141</v>
      </c>
      <c r="B37" s="60" t="s">
        <v>363</v>
      </c>
      <c r="C37" s="74" t="s">
        <v>369</v>
      </c>
      <c r="D37" s="77">
        <v>5.5</v>
      </c>
      <c r="E37" s="88" t="str">
        <f t="shared" si="6"/>
        <v>NP-HCRJ 5.5-5.5</v>
      </c>
      <c r="F37" s="85">
        <f t="shared" si="7"/>
        <v>15</v>
      </c>
      <c r="G37" s="116" t="s">
        <v>261</v>
      </c>
      <c r="H37" s="79"/>
      <c r="I37" s="100" t="s">
        <v>406</v>
      </c>
      <c r="J37" s="163">
        <f t="shared" si="8"/>
        <v>7411.6047144152317</v>
      </c>
      <c r="K37" s="92">
        <f>+K48*0.75</f>
        <v>8175</v>
      </c>
      <c r="O37" s="157">
        <f t="shared" si="5"/>
        <v>7411.6047144152317</v>
      </c>
      <c r="P37" s="158">
        <f t="shared" si="3"/>
        <v>8175</v>
      </c>
    </row>
    <row r="38" spans="1:16">
      <c r="A38" s="72" t="s">
        <v>142</v>
      </c>
      <c r="B38" s="60" t="s">
        <v>363</v>
      </c>
      <c r="C38" s="74" t="s">
        <v>370</v>
      </c>
      <c r="D38" s="87" t="s">
        <v>366</v>
      </c>
      <c r="E38" s="78" t="str">
        <f t="shared" si="6"/>
        <v>NP-HCRJ 6-8-6.0-8</v>
      </c>
      <c r="F38" s="75">
        <f t="shared" si="7"/>
        <v>17</v>
      </c>
      <c r="G38" s="116" t="s">
        <v>262</v>
      </c>
      <c r="H38" s="79"/>
      <c r="I38" s="100" t="s">
        <v>407</v>
      </c>
      <c r="J38" s="160">
        <f t="shared" si="8"/>
        <v>6917.4977334542154</v>
      </c>
      <c r="K38" s="73">
        <f>+K48*0.7</f>
        <v>7629.9999999999991</v>
      </c>
      <c r="O38" s="157">
        <f t="shared" si="5"/>
        <v>6917.4977334542154</v>
      </c>
      <c r="P38" s="158">
        <f t="shared" si="3"/>
        <v>7629.9999999999991</v>
      </c>
    </row>
    <row r="39" spans="1:16">
      <c r="A39" s="72" t="s">
        <v>143</v>
      </c>
      <c r="B39" s="60" t="s">
        <v>363</v>
      </c>
      <c r="C39" s="74" t="s">
        <v>371</v>
      </c>
      <c r="D39" s="77" t="s">
        <v>368</v>
      </c>
      <c r="E39" s="88" t="str">
        <f t="shared" si="6"/>
        <v>NP-HCRJ 8 up-8 Up</v>
      </c>
      <c r="F39" s="85">
        <f t="shared" si="7"/>
        <v>17</v>
      </c>
      <c r="G39" s="116" t="s">
        <v>263</v>
      </c>
      <c r="H39" s="79"/>
      <c r="I39" s="100" t="s">
        <v>408</v>
      </c>
      <c r="J39" s="163">
        <f t="shared" si="8"/>
        <v>6423.3907524932001</v>
      </c>
      <c r="K39" s="92">
        <f>+K48*0.65</f>
        <v>7085</v>
      </c>
      <c r="O39" s="157">
        <f t="shared" si="5"/>
        <v>6423.3907524932001</v>
      </c>
      <c r="P39" s="158">
        <f t="shared" si="3"/>
        <v>7085</v>
      </c>
    </row>
    <row r="40" spans="1:16">
      <c r="A40" s="72" t="s">
        <v>145</v>
      </c>
      <c r="B40" s="60" t="s">
        <v>363</v>
      </c>
      <c r="C40" s="46" t="s">
        <v>372</v>
      </c>
      <c r="D40" s="77">
        <v>5.5</v>
      </c>
      <c r="E40" s="78" t="str">
        <f t="shared" si="6"/>
        <v>NP-EC(LC /HC)5.5-5.5</v>
      </c>
      <c r="F40" s="75">
        <f t="shared" si="7"/>
        <v>20</v>
      </c>
      <c r="G40" s="116" t="s">
        <v>264</v>
      </c>
      <c r="H40" s="79"/>
      <c r="I40" s="100" t="s">
        <v>407</v>
      </c>
      <c r="J40" s="160">
        <f t="shared" si="8"/>
        <v>6917.4977334542154</v>
      </c>
      <c r="K40" s="73">
        <f>K48*0.7</f>
        <v>7629.9999999999991</v>
      </c>
      <c r="O40" s="157">
        <f t="shared" si="5"/>
        <v>6917.4977334542154</v>
      </c>
      <c r="P40" s="158">
        <f t="shared" si="3"/>
        <v>7629.9999999999991</v>
      </c>
    </row>
    <row r="41" spans="1:16">
      <c r="A41" s="72" t="s">
        <v>146</v>
      </c>
      <c r="B41" s="60" t="s">
        <v>363</v>
      </c>
      <c r="C41" s="46" t="s">
        <v>373</v>
      </c>
      <c r="D41" s="87" t="s">
        <v>374</v>
      </c>
      <c r="E41" s="88" t="str">
        <f t="shared" si="6"/>
        <v>NP-EC(LC/HC)6U-6 &amp; up</v>
      </c>
      <c r="F41" s="85">
        <f>LEN(E41)</f>
        <v>21</v>
      </c>
      <c r="G41" s="116" t="s">
        <v>265</v>
      </c>
      <c r="H41" s="79"/>
      <c r="I41" s="100" t="s">
        <v>408</v>
      </c>
      <c r="J41" s="163">
        <f t="shared" si="8"/>
        <v>6393.9256572982777</v>
      </c>
      <c r="K41" s="92">
        <f>K75*0.65</f>
        <v>7052.5</v>
      </c>
      <c r="O41" s="157">
        <f t="shared" si="5"/>
        <v>6393.9256572982777</v>
      </c>
      <c r="P41" s="158">
        <f t="shared" si="3"/>
        <v>7052.5</v>
      </c>
    </row>
    <row r="42" spans="1:16">
      <c r="A42" s="72" t="s">
        <v>147</v>
      </c>
      <c r="B42" s="60" t="s">
        <v>363</v>
      </c>
      <c r="C42" s="46" t="s">
        <v>375</v>
      </c>
      <c r="D42" s="77">
        <v>5.5</v>
      </c>
      <c r="E42" s="78" t="str">
        <f t="shared" si="6"/>
        <v>NP-MingledSmall5.5-5.5</v>
      </c>
      <c r="F42" s="75">
        <f t="shared" si="7"/>
        <v>22</v>
      </c>
      <c r="G42" s="116" t="s">
        <v>266</v>
      </c>
      <c r="H42" s="79"/>
      <c r="I42" s="100" t="s">
        <v>406</v>
      </c>
      <c r="J42" s="160">
        <f t="shared" si="8"/>
        <v>7411.6047144152317</v>
      </c>
      <c r="K42" s="73">
        <f>K48*0.75</f>
        <v>8175</v>
      </c>
      <c r="O42" s="157">
        <f t="shared" si="5"/>
        <v>7411.6047144152317</v>
      </c>
      <c r="P42" s="158">
        <f t="shared" si="3"/>
        <v>8175</v>
      </c>
    </row>
    <row r="43" spans="1:16">
      <c r="A43" s="72" t="s">
        <v>148</v>
      </c>
      <c r="B43" s="60" t="s">
        <v>363</v>
      </c>
      <c r="C43" s="46" t="s">
        <v>376</v>
      </c>
      <c r="D43" s="87" t="s">
        <v>374</v>
      </c>
      <c r="E43" s="88" t="str">
        <f t="shared" si="6"/>
        <v>NP-MingledS6&amp;Up-6 &amp; up</v>
      </c>
      <c r="F43" s="85">
        <f t="shared" si="7"/>
        <v>22</v>
      </c>
      <c r="G43" s="116" t="s">
        <v>267</v>
      </c>
      <c r="H43" s="79"/>
      <c r="I43" s="100" t="s">
        <v>408</v>
      </c>
      <c r="J43" s="163">
        <f t="shared" si="8"/>
        <v>6423.3907524932001</v>
      </c>
      <c r="K43" s="92">
        <f>K48*0.65</f>
        <v>7085</v>
      </c>
      <c r="O43" s="157">
        <f t="shared" si="5"/>
        <v>6423.3907524932001</v>
      </c>
      <c r="P43" s="158">
        <f t="shared" si="3"/>
        <v>7085</v>
      </c>
    </row>
    <row r="44" spans="1:16">
      <c r="A44" s="72" t="s">
        <v>149</v>
      </c>
      <c r="B44" s="60" t="s">
        <v>363</v>
      </c>
      <c r="C44" s="74" t="s">
        <v>377</v>
      </c>
      <c r="D44" s="77" t="s">
        <v>320</v>
      </c>
      <c r="E44" s="78" t="str">
        <f t="shared" si="6"/>
        <v>NP-Gepeng-ALL</v>
      </c>
      <c r="F44" s="75">
        <f t="shared" si="7"/>
        <v>13</v>
      </c>
      <c r="G44" s="116" t="s">
        <v>268</v>
      </c>
      <c r="H44" s="79"/>
      <c r="I44" s="100" t="s">
        <v>409</v>
      </c>
      <c r="J44" s="160">
        <f t="shared" si="8"/>
        <v>5929.2837715321848</v>
      </c>
      <c r="K44" s="73">
        <f>K48*0.6</f>
        <v>6540</v>
      </c>
      <c r="O44" s="157">
        <f t="shared" si="5"/>
        <v>5929.2837715321848</v>
      </c>
      <c r="P44" s="158">
        <f t="shared" si="3"/>
        <v>6540</v>
      </c>
    </row>
    <row r="45" spans="1:16">
      <c r="A45" s="72" t="s">
        <v>150</v>
      </c>
      <c r="B45" s="60" t="s">
        <v>363</v>
      </c>
      <c r="C45" s="74" t="s">
        <v>378</v>
      </c>
      <c r="D45" s="87" t="s">
        <v>320</v>
      </c>
      <c r="E45" s="88" t="str">
        <f t="shared" si="6"/>
        <v>NP-Misroll-ALL</v>
      </c>
      <c r="F45" s="85">
        <f t="shared" si="7"/>
        <v>14</v>
      </c>
      <c r="G45" s="116" t="s">
        <v>269</v>
      </c>
      <c r="H45" s="79"/>
      <c r="I45" s="100" t="s">
        <v>410</v>
      </c>
      <c r="J45" s="163">
        <f t="shared" si="8"/>
        <v>3952.8558476881235</v>
      </c>
      <c r="K45" s="92">
        <f>K48*0.4</f>
        <v>4360</v>
      </c>
      <c r="O45" s="157">
        <f t="shared" si="5"/>
        <v>3952.8558476881235</v>
      </c>
      <c r="P45" s="158">
        <f t="shared" si="3"/>
        <v>4360</v>
      </c>
    </row>
    <row r="46" spans="1:16">
      <c r="A46" s="72" t="s">
        <v>151</v>
      </c>
      <c r="B46" s="60" t="s">
        <v>363</v>
      </c>
      <c r="C46" s="46" t="s">
        <v>379</v>
      </c>
      <c r="D46" s="77" t="s">
        <v>320</v>
      </c>
      <c r="E46" s="78" t="str">
        <f t="shared" si="6"/>
        <v>NP-BR/Short Length-ALL</v>
      </c>
      <c r="F46" s="75">
        <f t="shared" si="7"/>
        <v>22</v>
      </c>
      <c r="G46" s="116" t="s">
        <v>270</v>
      </c>
      <c r="H46" s="79"/>
      <c r="I46" s="100" t="s">
        <v>411</v>
      </c>
      <c r="J46" s="160">
        <f>+K46/1.103</f>
        <v>2812.3300090661833</v>
      </c>
      <c r="K46" s="73">
        <f>K19*0.6</f>
        <v>3102</v>
      </c>
      <c r="O46" s="157">
        <f t="shared" si="5"/>
        <v>2812.3300090661833</v>
      </c>
      <c r="P46" s="158">
        <f t="shared" si="3"/>
        <v>3102</v>
      </c>
    </row>
    <row r="47" spans="1:16">
      <c r="A47" s="231" t="s">
        <v>480</v>
      </c>
      <c r="B47" s="232"/>
      <c r="C47" s="129"/>
      <c r="D47" s="233"/>
      <c r="E47" s="234"/>
      <c r="F47" s="235"/>
      <c r="G47" s="116"/>
      <c r="H47" s="79"/>
      <c r="I47" s="170"/>
      <c r="J47" s="164"/>
      <c r="K47" s="230"/>
      <c r="O47" s="157"/>
      <c r="P47" s="158"/>
    </row>
    <row r="48" spans="1:16" s="211" customFormat="1">
      <c r="A48" s="205" t="s">
        <v>50</v>
      </c>
      <c r="B48" s="206" t="s">
        <v>51</v>
      </c>
      <c r="C48" s="207" t="s">
        <v>55</v>
      </c>
      <c r="D48" s="208">
        <v>5.0999999999999996</v>
      </c>
      <c r="E48" s="209" t="str">
        <f t="shared" ref="E48:E96" si="9">CONCATENATE(B48,"-",C48,"-",D48)</f>
        <v>WR-1012B-5.1</v>
      </c>
      <c r="F48" s="206">
        <f>LEN(E48)</f>
        <v>12</v>
      </c>
      <c r="G48" s="210" t="s">
        <v>443</v>
      </c>
      <c r="I48" s="249" t="s">
        <v>487</v>
      </c>
      <c r="J48" s="212">
        <f t="shared" ref="J48:J56" si="10">+K48/1.103</f>
        <v>9882.1396192203083</v>
      </c>
      <c r="K48" s="213">
        <f>+K51+25+25</f>
        <v>10900</v>
      </c>
      <c r="O48" s="226">
        <f t="shared" si="2"/>
        <v>9882.1396192203083</v>
      </c>
      <c r="P48" s="227">
        <f t="shared" si="3"/>
        <v>10900</v>
      </c>
    </row>
    <row r="49" spans="1:16" s="211" customFormat="1">
      <c r="A49" s="214" t="s">
        <v>53</v>
      </c>
      <c r="B49" s="215" t="s">
        <v>51</v>
      </c>
      <c r="C49" s="216" t="s">
        <v>292</v>
      </c>
      <c r="D49" s="217" t="s">
        <v>52</v>
      </c>
      <c r="E49" s="218" t="str">
        <f t="shared" si="9"/>
        <v>WR-1012B All  -All</v>
      </c>
      <c r="F49" s="219">
        <f t="shared" ref="F49:F96" si="11">LEN(E49)</f>
        <v>18</v>
      </c>
      <c r="G49" s="220" t="s">
        <v>179</v>
      </c>
      <c r="I49" s="221" t="str">
        <f>+I51</f>
        <v xml:space="preserve">Base1 </v>
      </c>
      <c r="J49" s="222">
        <f t="shared" si="10"/>
        <v>9836.8087035358112</v>
      </c>
      <c r="K49" s="223">
        <f>+K51</f>
        <v>10850</v>
      </c>
      <c r="O49" s="226">
        <f t="shared" si="2"/>
        <v>9836.8087035358112</v>
      </c>
      <c r="P49" s="227">
        <f t="shared" si="3"/>
        <v>10850</v>
      </c>
    </row>
    <row r="50" spans="1:16" s="211" customFormat="1">
      <c r="A50" s="214" t="s">
        <v>54</v>
      </c>
      <c r="B50" s="219" t="s">
        <v>51</v>
      </c>
      <c r="C50" s="216" t="s">
        <v>55</v>
      </c>
      <c r="D50" s="217">
        <v>5.5</v>
      </c>
      <c r="E50" s="218" t="str">
        <f t="shared" si="9"/>
        <v>WR-1012B-5.5</v>
      </c>
      <c r="F50" s="219">
        <f t="shared" si="11"/>
        <v>12</v>
      </c>
      <c r="G50" s="220" t="s">
        <v>180</v>
      </c>
      <c r="I50" s="221" t="str">
        <f>+I51</f>
        <v xml:space="preserve">Base1 </v>
      </c>
      <c r="J50" s="222">
        <f t="shared" si="10"/>
        <v>9836.8087035358112</v>
      </c>
      <c r="K50" s="223">
        <f>+K51</f>
        <v>10850</v>
      </c>
      <c r="O50" s="226">
        <f t="shared" si="2"/>
        <v>9836.8087035358112</v>
      </c>
      <c r="P50" s="227">
        <f t="shared" si="3"/>
        <v>10850</v>
      </c>
    </row>
    <row r="51" spans="1:16" s="211" customFormat="1">
      <c r="A51" s="214" t="s">
        <v>56</v>
      </c>
      <c r="B51" s="219" t="s">
        <v>51</v>
      </c>
      <c r="C51" s="216" t="s">
        <v>55</v>
      </c>
      <c r="D51" s="217">
        <v>5.4</v>
      </c>
      <c r="E51" s="218" t="str">
        <f t="shared" si="9"/>
        <v>WR-1012B-5.4</v>
      </c>
      <c r="F51" s="219">
        <f t="shared" si="11"/>
        <v>12</v>
      </c>
      <c r="G51" s="220" t="s">
        <v>181</v>
      </c>
      <c r="I51" s="224" t="s">
        <v>441</v>
      </c>
      <c r="J51" s="222">
        <f t="shared" si="10"/>
        <v>9836.8087035358112</v>
      </c>
      <c r="K51" s="223">
        <f>+K25</f>
        <v>10850</v>
      </c>
      <c r="O51" s="226">
        <f t="shared" si="2"/>
        <v>9836.8087035358112</v>
      </c>
      <c r="P51" s="227">
        <f t="shared" si="3"/>
        <v>10850</v>
      </c>
    </row>
    <row r="52" spans="1:16" s="211" customFormat="1">
      <c r="A52" s="214" t="s">
        <v>57</v>
      </c>
      <c r="B52" s="219" t="s">
        <v>51</v>
      </c>
      <c r="C52" s="216" t="s">
        <v>55</v>
      </c>
      <c r="D52" s="217">
        <v>5.8</v>
      </c>
      <c r="E52" s="218" t="str">
        <f t="shared" si="9"/>
        <v>WR-1012B-5.8</v>
      </c>
      <c r="F52" s="219">
        <f t="shared" si="11"/>
        <v>12</v>
      </c>
      <c r="G52" s="210" t="s">
        <v>470</v>
      </c>
      <c r="I52" s="224" t="s">
        <v>441</v>
      </c>
      <c r="J52" s="222">
        <f t="shared" si="10"/>
        <v>9836.8087035358112</v>
      </c>
      <c r="K52" s="223">
        <f>+K51</f>
        <v>10850</v>
      </c>
      <c r="O52" s="226">
        <f t="shared" si="2"/>
        <v>9836.8087035358112</v>
      </c>
      <c r="P52" s="227">
        <f t="shared" si="3"/>
        <v>10850</v>
      </c>
    </row>
    <row r="53" spans="1:16" s="211" customFormat="1">
      <c r="A53" s="214" t="s">
        <v>58</v>
      </c>
      <c r="B53" s="219" t="s">
        <v>51</v>
      </c>
      <c r="C53" s="216" t="s">
        <v>55</v>
      </c>
      <c r="D53" s="225" t="s">
        <v>460</v>
      </c>
      <c r="E53" s="218" t="str">
        <f t="shared" si="9"/>
        <v>WR-1012B-6.0-6.8</v>
      </c>
      <c r="F53" s="219">
        <f t="shared" si="11"/>
        <v>16</v>
      </c>
      <c r="G53" s="210" t="s">
        <v>461</v>
      </c>
      <c r="I53" s="224" t="s">
        <v>293</v>
      </c>
      <c r="J53" s="222">
        <f t="shared" si="10"/>
        <v>9814.1432456935636</v>
      </c>
      <c r="K53" s="223">
        <f>+K51-25</f>
        <v>10825</v>
      </c>
      <c r="O53" s="226">
        <f t="shared" si="2"/>
        <v>9814.1432456935636</v>
      </c>
      <c r="P53" s="227">
        <f t="shared" si="3"/>
        <v>10825</v>
      </c>
    </row>
    <row r="54" spans="1:16" s="211" customFormat="1">
      <c r="A54" s="214" t="s">
        <v>59</v>
      </c>
      <c r="B54" s="219" t="s">
        <v>51</v>
      </c>
      <c r="C54" s="216" t="s">
        <v>55</v>
      </c>
      <c r="D54" s="266" t="s">
        <v>491</v>
      </c>
      <c r="E54" s="218" t="str">
        <f t="shared" si="9"/>
        <v>WR-1012B-7.2 - 15</v>
      </c>
      <c r="F54" s="219">
        <f t="shared" si="11"/>
        <v>17</v>
      </c>
      <c r="G54" s="210" t="s">
        <v>510</v>
      </c>
      <c r="I54" s="224" t="s">
        <v>442</v>
      </c>
      <c r="J54" s="222">
        <f t="shared" si="10"/>
        <v>9791.4777878513141</v>
      </c>
      <c r="K54" s="223">
        <f>+K51-50</f>
        <v>10800</v>
      </c>
      <c r="O54" s="226">
        <f t="shared" si="2"/>
        <v>9791.4777878513141</v>
      </c>
      <c r="P54" s="227">
        <f t="shared" si="3"/>
        <v>10800</v>
      </c>
    </row>
    <row r="55" spans="1:16" s="211" customFormat="1">
      <c r="A55" s="214" t="s">
        <v>60</v>
      </c>
      <c r="B55" s="219" t="s">
        <v>51</v>
      </c>
      <c r="C55" s="216" t="s">
        <v>55</v>
      </c>
      <c r="D55" s="217">
        <v>4.9000000000000004</v>
      </c>
      <c r="E55" s="218" t="str">
        <f t="shared" si="9"/>
        <v>WR-1012B-4.9</v>
      </c>
      <c r="F55" s="219">
        <f t="shared" si="11"/>
        <v>12</v>
      </c>
      <c r="G55" s="220" t="s">
        <v>183</v>
      </c>
      <c r="I55" s="224" t="s">
        <v>458</v>
      </c>
      <c r="J55" s="222">
        <f t="shared" si="10"/>
        <v>9904.8050770625559</v>
      </c>
      <c r="K55" s="223">
        <f>+K51+75-50+25+25</f>
        <v>10925</v>
      </c>
      <c r="O55" s="226">
        <f t="shared" si="2"/>
        <v>9904.8050770625559</v>
      </c>
      <c r="P55" s="227">
        <f t="shared" si="3"/>
        <v>10925</v>
      </c>
    </row>
    <row r="56" spans="1:16" s="211" customFormat="1">
      <c r="A56" s="214" t="s">
        <v>61</v>
      </c>
      <c r="B56" s="219" t="s">
        <v>51</v>
      </c>
      <c r="C56" s="216" t="s">
        <v>55</v>
      </c>
      <c r="D56" s="217">
        <v>4.7</v>
      </c>
      <c r="E56" s="218" t="str">
        <f t="shared" si="9"/>
        <v>WR-1012B-4.7</v>
      </c>
      <c r="F56" s="219">
        <f t="shared" si="11"/>
        <v>12</v>
      </c>
      <c r="G56" s="220" t="s">
        <v>184</v>
      </c>
      <c r="I56" s="224" t="s">
        <v>459</v>
      </c>
      <c r="J56" s="222">
        <f t="shared" si="10"/>
        <v>9972.8014505893025</v>
      </c>
      <c r="K56" s="223">
        <f>+K51+150-50+25+25</f>
        <v>11000</v>
      </c>
      <c r="O56" s="226">
        <f t="shared" si="2"/>
        <v>9972.8014505893025</v>
      </c>
      <c r="P56" s="227">
        <f t="shared" si="3"/>
        <v>11000</v>
      </c>
    </row>
    <row r="57" spans="1:16" s="211" customFormat="1">
      <c r="A57" s="214"/>
      <c r="B57" s="219"/>
      <c r="C57" s="216"/>
      <c r="D57" s="217"/>
      <c r="E57" s="218"/>
      <c r="F57" s="219"/>
      <c r="G57" s="220"/>
      <c r="I57" s="224"/>
      <c r="J57" s="222"/>
      <c r="K57" s="223"/>
      <c r="O57" s="226"/>
      <c r="P57" s="227"/>
    </row>
    <row r="58" spans="1:16" ht="12" customHeight="1">
      <c r="A58" s="72" t="s">
        <v>62</v>
      </c>
      <c r="B58" s="46" t="s">
        <v>51</v>
      </c>
      <c r="C58" s="52">
        <v>1005</v>
      </c>
      <c r="D58" s="48" t="s">
        <v>52</v>
      </c>
      <c r="E58" s="45" t="str">
        <f t="shared" si="9"/>
        <v>WR-1005-All</v>
      </c>
      <c r="F58" s="46">
        <f t="shared" si="11"/>
        <v>11</v>
      </c>
      <c r="G58" s="116" t="s">
        <v>185</v>
      </c>
      <c r="I58" s="171" t="s">
        <v>436</v>
      </c>
      <c r="J58" s="160">
        <f t="shared" ref="J58:J98" si="12">+K58/1.103</f>
        <v>10108.794197642792</v>
      </c>
      <c r="K58" s="73">
        <f>+K62+100</f>
        <v>11150</v>
      </c>
      <c r="O58" s="157">
        <f t="shared" si="2"/>
        <v>10108.794197642792</v>
      </c>
      <c r="P58" s="158">
        <f t="shared" si="3"/>
        <v>11150</v>
      </c>
    </row>
    <row r="59" spans="1:16" s="79" customFormat="1">
      <c r="A59" s="72" t="s">
        <v>63</v>
      </c>
      <c r="B59" s="75" t="s">
        <v>51</v>
      </c>
      <c r="C59" s="76">
        <v>1006</v>
      </c>
      <c r="D59" s="77" t="s">
        <v>296</v>
      </c>
      <c r="E59" s="78" t="str">
        <f t="shared" si="9"/>
        <v>WR-1006-5.5-5.8</v>
      </c>
      <c r="F59" s="75">
        <f t="shared" si="11"/>
        <v>15</v>
      </c>
      <c r="G59" s="116" t="s">
        <v>186</v>
      </c>
      <c r="I59" s="171" t="s">
        <v>486</v>
      </c>
      <c r="J59" s="160">
        <f t="shared" si="12"/>
        <v>9836.8087035358112</v>
      </c>
      <c r="K59" s="169">
        <f>+K51</f>
        <v>10850</v>
      </c>
      <c r="O59" s="157">
        <f t="shared" si="2"/>
        <v>9836.8087035358112</v>
      </c>
      <c r="P59" s="158">
        <f t="shared" si="3"/>
        <v>10850</v>
      </c>
    </row>
    <row r="60" spans="1:16" s="184" customFormat="1">
      <c r="A60" s="178" t="s">
        <v>64</v>
      </c>
      <c r="B60" s="179" t="s">
        <v>51</v>
      </c>
      <c r="C60" s="180">
        <v>1006</v>
      </c>
      <c r="D60" s="181" t="s">
        <v>448</v>
      </c>
      <c r="E60" s="182" t="str">
        <f t="shared" si="9"/>
        <v>WR-1006-6.0 - 13.9</v>
      </c>
      <c r="F60" s="179">
        <f t="shared" si="11"/>
        <v>18</v>
      </c>
      <c r="G60" s="183" t="s">
        <v>427</v>
      </c>
      <c r="I60" s="185" t="s">
        <v>486</v>
      </c>
      <c r="J60" s="186">
        <f t="shared" si="12"/>
        <v>9836.8087035358112</v>
      </c>
      <c r="K60" s="187">
        <f>+K59</f>
        <v>10850</v>
      </c>
      <c r="O60" s="201">
        <f t="shared" si="2"/>
        <v>9836.8087035358112</v>
      </c>
      <c r="P60" s="202">
        <f t="shared" si="3"/>
        <v>10850</v>
      </c>
    </row>
    <row r="61" spans="1:16" s="79" customFormat="1">
      <c r="A61" s="72" t="s">
        <v>65</v>
      </c>
      <c r="B61" s="75" t="s">
        <v>51</v>
      </c>
      <c r="C61" s="76" t="s">
        <v>298</v>
      </c>
      <c r="D61" s="77" t="s">
        <v>299</v>
      </c>
      <c r="E61" s="78" t="str">
        <f t="shared" si="9"/>
        <v>WR-1008 All size-all</v>
      </c>
      <c r="F61" s="75">
        <f t="shared" si="11"/>
        <v>20</v>
      </c>
      <c r="G61" s="116" t="s">
        <v>188</v>
      </c>
      <c r="I61" s="100" t="str">
        <f>+I62</f>
        <v>Base2 +25</v>
      </c>
      <c r="J61" s="160">
        <f t="shared" si="12"/>
        <v>10018.1323662738</v>
      </c>
      <c r="K61" s="73">
        <f>+K62</f>
        <v>11050</v>
      </c>
      <c r="O61" s="157">
        <f t="shared" si="2"/>
        <v>10018.1323662738</v>
      </c>
      <c r="P61" s="158">
        <f t="shared" si="3"/>
        <v>11050</v>
      </c>
    </row>
    <row r="62" spans="1:16" ht="15.75" customHeight="1">
      <c r="A62" s="72" t="s">
        <v>66</v>
      </c>
      <c r="B62" s="46" t="s">
        <v>51</v>
      </c>
      <c r="C62" s="47">
        <v>1008</v>
      </c>
      <c r="D62" s="48" t="s">
        <v>296</v>
      </c>
      <c r="E62" s="45" t="str">
        <f t="shared" si="9"/>
        <v>WR-1008-5.5-5.8</v>
      </c>
      <c r="F62" s="46">
        <f t="shared" si="11"/>
        <v>15</v>
      </c>
      <c r="G62" s="116" t="s">
        <v>189</v>
      </c>
      <c r="I62" s="171" t="s">
        <v>465</v>
      </c>
      <c r="J62" s="160">
        <f t="shared" si="12"/>
        <v>10018.1323662738</v>
      </c>
      <c r="K62" s="174">
        <f>+'Material Pricing Group SBY'!K74</f>
        <v>11050</v>
      </c>
      <c r="O62" s="157">
        <f t="shared" si="2"/>
        <v>10018.1323662738</v>
      </c>
      <c r="P62" s="158">
        <f t="shared" si="3"/>
        <v>11050</v>
      </c>
    </row>
    <row r="63" spans="1:16" s="79" customFormat="1">
      <c r="A63" s="72" t="s">
        <v>67</v>
      </c>
      <c r="B63" s="75" t="s">
        <v>51</v>
      </c>
      <c r="C63" s="76">
        <v>1008</v>
      </c>
      <c r="D63" s="81" t="s">
        <v>448</v>
      </c>
      <c r="E63" s="78" t="str">
        <f t="shared" si="9"/>
        <v>WR-1008-6.0 - 13.9</v>
      </c>
      <c r="F63" s="75">
        <f t="shared" si="11"/>
        <v>18</v>
      </c>
      <c r="G63" s="116" t="s">
        <v>428</v>
      </c>
      <c r="I63" s="171" t="s">
        <v>465</v>
      </c>
      <c r="J63" s="160">
        <f t="shared" si="12"/>
        <v>10018.1323662738</v>
      </c>
      <c r="K63" s="73">
        <f>+K62</f>
        <v>11050</v>
      </c>
      <c r="O63" s="157">
        <f t="shared" si="2"/>
        <v>10018.1323662738</v>
      </c>
      <c r="P63" s="158">
        <f t="shared" si="3"/>
        <v>11050</v>
      </c>
    </row>
    <row r="64" spans="1:16">
      <c r="A64" s="72" t="s">
        <v>68</v>
      </c>
      <c r="B64" s="46" t="s">
        <v>51</v>
      </c>
      <c r="C64" s="49" t="s">
        <v>300</v>
      </c>
      <c r="D64" s="48" t="s">
        <v>52</v>
      </c>
      <c r="E64" s="45" t="str">
        <f t="shared" si="9"/>
        <v>WR-1017/SWRM17-All</v>
      </c>
      <c r="F64" s="46">
        <f t="shared" si="11"/>
        <v>18</v>
      </c>
      <c r="G64" s="116" t="s">
        <v>191</v>
      </c>
      <c r="I64" s="100" t="s">
        <v>301</v>
      </c>
      <c r="J64" s="160">
        <f t="shared" si="12"/>
        <v>10018.1323662738</v>
      </c>
      <c r="K64" s="73">
        <f>K62</f>
        <v>11050</v>
      </c>
      <c r="O64" s="157">
        <f t="shared" si="2"/>
        <v>10018.1323662738</v>
      </c>
      <c r="P64" s="158">
        <f t="shared" si="3"/>
        <v>11050</v>
      </c>
    </row>
    <row r="65" spans="1:16">
      <c r="A65" s="72" t="s">
        <v>69</v>
      </c>
      <c r="B65" s="46" t="s">
        <v>51</v>
      </c>
      <c r="C65" s="49">
        <v>1018</v>
      </c>
      <c r="D65" s="48" t="s">
        <v>52</v>
      </c>
      <c r="E65" s="45" t="str">
        <f t="shared" si="9"/>
        <v>WR-1018-All</v>
      </c>
      <c r="F65" s="46">
        <f t="shared" si="11"/>
        <v>11</v>
      </c>
      <c r="G65" s="116" t="s">
        <v>192</v>
      </c>
      <c r="I65" s="171" t="s">
        <v>303</v>
      </c>
      <c r="J65" s="160">
        <f t="shared" si="12"/>
        <v>9836.8087035358112</v>
      </c>
      <c r="K65" s="73">
        <f>+K67</f>
        <v>10850</v>
      </c>
      <c r="O65" s="157">
        <f t="shared" si="2"/>
        <v>9836.8087035358112</v>
      </c>
      <c r="P65" s="158">
        <f t="shared" si="3"/>
        <v>10850</v>
      </c>
    </row>
    <row r="66" spans="1:16" ht="13.5" customHeight="1">
      <c r="A66" s="72" t="s">
        <v>70</v>
      </c>
      <c r="B66" s="75" t="s">
        <v>51</v>
      </c>
      <c r="C66" s="76" t="s">
        <v>302</v>
      </c>
      <c r="D66" s="77">
        <v>5.0999999999999996</v>
      </c>
      <c r="E66" s="78" t="str">
        <f t="shared" si="9"/>
        <v>WR-1010/12/15-5.1</v>
      </c>
      <c r="F66" s="46">
        <f t="shared" si="11"/>
        <v>17</v>
      </c>
      <c r="G66" s="116" t="s">
        <v>193</v>
      </c>
      <c r="I66" s="171" t="s">
        <v>303</v>
      </c>
      <c r="J66" s="160">
        <f t="shared" si="12"/>
        <v>9836.8087035358112</v>
      </c>
      <c r="K66" s="73">
        <f>+K67</f>
        <v>10850</v>
      </c>
      <c r="O66" s="157">
        <f t="shared" si="2"/>
        <v>9836.8087035358112</v>
      </c>
      <c r="P66" s="158">
        <f t="shared" si="3"/>
        <v>10850</v>
      </c>
    </row>
    <row r="67" spans="1:16" ht="13.5" customHeight="1">
      <c r="A67" s="72" t="s">
        <v>71</v>
      </c>
      <c r="B67" s="75" t="s">
        <v>51</v>
      </c>
      <c r="C67" s="76" t="s">
        <v>302</v>
      </c>
      <c r="D67" s="77">
        <v>5.5</v>
      </c>
      <c r="E67" s="78" t="str">
        <f t="shared" si="9"/>
        <v>WR-1010/12/15-5.5</v>
      </c>
      <c r="F67" s="46">
        <f t="shared" si="11"/>
        <v>17</v>
      </c>
      <c r="G67" s="116" t="s">
        <v>194</v>
      </c>
      <c r="I67" s="100" t="s">
        <v>303</v>
      </c>
      <c r="J67" s="160">
        <f t="shared" si="12"/>
        <v>9836.8087035358112</v>
      </c>
      <c r="K67" s="174">
        <f>+'Material Pricing Group SBY'!K84</f>
        <v>10850</v>
      </c>
      <c r="O67" s="157">
        <f t="shared" si="2"/>
        <v>9836.8087035358112</v>
      </c>
      <c r="P67" s="158">
        <f t="shared" si="3"/>
        <v>10850</v>
      </c>
    </row>
    <row r="68" spans="1:16" ht="13.5" customHeight="1">
      <c r="A68" s="72" t="s">
        <v>72</v>
      </c>
      <c r="B68" s="75" t="s">
        <v>51</v>
      </c>
      <c r="C68" s="76" t="s">
        <v>302</v>
      </c>
      <c r="D68" s="77">
        <v>5.4</v>
      </c>
      <c r="E68" s="78" t="str">
        <f t="shared" si="9"/>
        <v>WR-1010/12/15-5.4</v>
      </c>
      <c r="F68" s="46">
        <f t="shared" si="11"/>
        <v>17</v>
      </c>
      <c r="G68" s="116" t="s">
        <v>195</v>
      </c>
      <c r="I68" s="100" t="str">
        <f>+I67</f>
        <v>Base3</v>
      </c>
      <c r="J68" s="160">
        <f t="shared" si="12"/>
        <v>9836.8087035358112</v>
      </c>
      <c r="K68" s="73">
        <f>+K67</f>
        <v>10850</v>
      </c>
      <c r="O68" s="157">
        <f t="shared" si="2"/>
        <v>9836.8087035358112</v>
      </c>
      <c r="P68" s="158">
        <f t="shared" si="3"/>
        <v>10850</v>
      </c>
    </row>
    <row r="69" spans="1:16" ht="13.5" customHeight="1">
      <c r="A69" s="72" t="s">
        <v>73</v>
      </c>
      <c r="B69" s="75" t="s">
        <v>51</v>
      </c>
      <c r="C69" s="76" t="s">
        <v>302</v>
      </c>
      <c r="D69" s="77">
        <v>5.65</v>
      </c>
      <c r="E69" s="78" t="str">
        <f t="shared" si="9"/>
        <v>WR-1010/12/15-5.65</v>
      </c>
      <c r="F69" s="46">
        <f>LEN(E69)</f>
        <v>18</v>
      </c>
      <c r="G69" s="116" t="s">
        <v>196</v>
      </c>
      <c r="I69" s="100" t="str">
        <f>+I68</f>
        <v>Base3</v>
      </c>
      <c r="J69" s="160">
        <f t="shared" si="12"/>
        <v>9836.8087035358112</v>
      </c>
      <c r="K69" s="73">
        <f>+K68</f>
        <v>10850</v>
      </c>
      <c r="O69" s="157">
        <f t="shared" si="2"/>
        <v>9836.8087035358112</v>
      </c>
      <c r="P69" s="158">
        <f t="shared" si="3"/>
        <v>10850</v>
      </c>
    </row>
    <row r="70" spans="1:16" ht="13.5" customHeight="1">
      <c r="A70" s="72" t="s">
        <v>74</v>
      </c>
      <c r="B70" s="75" t="s">
        <v>51</v>
      </c>
      <c r="C70" s="76" t="s">
        <v>304</v>
      </c>
      <c r="D70" s="77" t="s">
        <v>305</v>
      </c>
      <c r="E70" s="78" t="str">
        <f t="shared" si="9"/>
        <v>WR-1010/2/5-5.8-6.2</v>
      </c>
      <c r="F70" s="46">
        <f t="shared" si="11"/>
        <v>19</v>
      </c>
      <c r="G70" s="116" t="s">
        <v>197</v>
      </c>
      <c r="I70" s="100" t="s">
        <v>438</v>
      </c>
      <c r="J70" s="160">
        <f t="shared" si="12"/>
        <v>9836.8087035358112</v>
      </c>
      <c r="K70" s="73">
        <f>+K67</f>
        <v>10850</v>
      </c>
      <c r="O70" s="157">
        <f t="shared" si="2"/>
        <v>9836.8087035358112</v>
      </c>
      <c r="P70" s="158">
        <f t="shared" si="3"/>
        <v>10850</v>
      </c>
    </row>
    <row r="71" spans="1:16" ht="13.5" customHeight="1">
      <c r="A71" s="72" t="s">
        <v>75</v>
      </c>
      <c r="B71" s="75" t="s">
        <v>51</v>
      </c>
      <c r="C71" s="76" t="s">
        <v>304</v>
      </c>
      <c r="D71" s="77" t="s">
        <v>306</v>
      </c>
      <c r="E71" s="78" t="str">
        <f t="shared" si="9"/>
        <v>WR-1010/2/5-6.4-7.2</v>
      </c>
      <c r="F71" s="46">
        <f t="shared" si="11"/>
        <v>19</v>
      </c>
      <c r="G71" s="116" t="s">
        <v>198</v>
      </c>
      <c r="I71" s="171" t="s">
        <v>438</v>
      </c>
      <c r="J71" s="160">
        <f t="shared" si="12"/>
        <v>9836.8087035358112</v>
      </c>
      <c r="K71" s="73">
        <f>+K67</f>
        <v>10850</v>
      </c>
      <c r="O71" s="157">
        <f t="shared" si="2"/>
        <v>9836.8087035358112</v>
      </c>
      <c r="P71" s="158">
        <f t="shared" si="3"/>
        <v>10850</v>
      </c>
    </row>
    <row r="72" spans="1:16" ht="13.5" customHeight="1">
      <c r="A72" s="72" t="s">
        <v>76</v>
      </c>
      <c r="B72" s="75" t="s">
        <v>51</v>
      </c>
      <c r="C72" s="76" t="s">
        <v>304</v>
      </c>
      <c r="D72" s="77" t="s">
        <v>449</v>
      </c>
      <c r="E72" s="78" t="str">
        <f t="shared" si="9"/>
        <v>WR-1010/2/5-7.4 - 13.9</v>
      </c>
      <c r="F72" s="46">
        <f t="shared" si="11"/>
        <v>22</v>
      </c>
      <c r="G72" s="119" t="s">
        <v>450</v>
      </c>
      <c r="I72" s="171" t="s">
        <v>438</v>
      </c>
      <c r="J72" s="160">
        <f t="shared" si="12"/>
        <v>9836.8087035358112</v>
      </c>
      <c r="K72" s="73">
        <f>+K67</f>
        <v>10850</v>
      </c>
      <c r="O72" s="157">
        <f t="shared" si="2"/>
        <v>9836.8087035358112</v>
      </c>
      <c r="P72" s="158">
        <f t="shared" si="3"/>
        <v>10850</v>
      </c>
    </row>
    <row r="73" spans="1:16" s="79" customFormat="1">
      <c r="A73" s="72" t="s">
        <v>77</v>
      </c>
      <c r="B73" s="75" t="s">
        <v>51</v>
      </c>
      <c r="C73" s="76" t="s">
        <v>308</v>
      </c>
      <c r="D73" s="77" t="s">
        <v>299</v>
      </c>
      <c r="E73" s="78" t="str">
        <f t="shared" si="9"/>
        <v>WR-1012 All-all</v>
      </c>
      <c r="F73" s="46">
        <f t="shared" si="11"/>
        <v>15</v>
      </c>
      <c r="G73" s="116" t="s">
        <v>200</v>
      </c>
      <c r="I73" s="100" t="str">
        <f>+I68</f>
        <v>Base3</v>
      </c>
      <c r="J73" s="160">
        <f t="shared" si="12"/>
        <v>9836.8087035358112</v>
      </c>
      <c r="K73" s="73">
        <f>+K68</f>
        <v>10850</v>
      </c>
      <c r="O73" s="157">
        <f t="shared" si="2"/>
        <v>9836.8087035358112</v>
      </c>
      <c r="P73" s="158">
        <f t="shared" si="3"/>
        <v>10850</v>
      </c>
    </row>
    <row r="74" spans="1:16">
      <c r="A74" s="72" t="s">
        <v>78</v>
      </c>
      <c r="B74" s="46" t="s">
        <v>51</v>
      </c>
      <c r="C74" s="49" t="s">
        <v>309</v>
      </c>
      <c r="D74" s="48" t="s">
        <v>52</v>
      </c>
      <c r="E74" s="45" t="str">
        <f t="shared" si="9"/>
        <v>WR-1022/SWRM22-All</v>
      </c>
      <c r="F74" s="46">
        <f t="shared" si="11"/>
        <v>18</v>
      </c>
      <c r="G74" s="116" t="s">
        <v>201</v>
      </c>
      <c r="I74" s="100" t="str">
        <f>I49</f>
        <v xml:space="preserve">Base1 </v>
      </c>
      <c r="J74" s="160">
        <f>+K74/1.103</f>
        <v>9836.8087035358112</v>
      </c>
      <c r="K74" s="73">
        <f>K51</f>
        <v>10850</v>
      </c>
      <c r="O74" s="157">
        <f t="shared" si="2"/>
        <v>9836.8087035358112</v>
      </c>
      <c r="P74" s="158">
        <f t="shared" si="3"/>
        <v>10850</v>
      </c>
    </row>
    <row r="75" spans="1:16">
      <c r="A75" s="72" t="s">
        <v>79</v>
      </c>
      <c r="B75" s="46" t="s">
        <v>51</v>
      </c>
      <c r="C75" s="50" t="s">
        <v>102</v>
      </c>
      <c r="D75" s="51">
        <v>6</v>
      </c>
      <c r="E75" s="45" t="str">
        <f t="shared" si="9"/>
        <v>WR-1012I-6</v>
      </c>
      <c r="F75" s="46">
        <f t="shared" si="11"/>
        <v>10</v>
      </c>
      <c r="G75" s="116" t="s">
        <v>202</v>
      </c>
      <c r="I75" s="100" t="s">
        <v>310</v>
      </c>
      <c r="J75" s="160">
        <f t="shared" si="12"/>
        <v>9836.8087035358112</v>
      </c>
      <c r="K75" s="174">
        <f>+'Material Pricing Group SBY'!K96</f>
        <v>10850</v>
      </c>
      <c r="O75" s="157">
        <f t="shared" si="2"/>
        <v>9836.8087035358112</v>
      </c>
      <c r="P75" s="158">
        <f t="shared" si="3"/>
        <v>10850</v>
      </c>
    </row>
    <row r="76" spans="1:16">
      <c r="A76" s="72" t="s">
        <v>80</v>
      </c>
      <c r="B76" s="46" t="s">
        <v>51</v>
      </c>
      <c r="C76" s="50" t="s">
        <v>102</v>
      </c>
      <c r="D76" s="51">
        <v>8</v>
      </c>
      <c r="E76" s="45" t="str">
        <f t="shared" si="9"/>
        <v>WR-1012I-8</v>
      </c>
      <c r="F76" s="46">
        <f t="shared" si="11"/>
        <v>10</v>
      </c>
      <c r="G76" s="116" t="s">
        <v>203</v>
      </c>
      <c r="I76" s="100" t="str">
        <f t="shared" ref="I76:I78" si="13">+I75</f>
        <v>Base4</v>
      </c>
      <c r="J76" s="160">
        <f t="shared" si="12"/>
        <v>9836.8087035358112</v>
      </c>
      <c r="K76" s="73">
        <f>+K75</f>
        <v>10850</v>
      </c>
      <c r="O76" s="157">
        <f t="shared" si="2"/>
        <v>9836.8087035358112</v>
      </c>
      <c r="P76" s="158">
        <f t="shared" si="3"/>
        <v>10850</v>
      </c>
    </row>
    <row r="77" spans="1:16">
      <c r="A77" s="72" t="s">
        <v>81</v>
      </c>
      <c r="B77" s="46" t="s">
        <v>51</v>
      </c>
      <c r="C77" s="50" t="s">
        <v>102</v>
      </c>
      <c r="D77" s="51">
        <v>10</v>
      </c>
      <c r="E77" s="45" t="str">
        <f t="shared" si="9"/>
        <v>WR-1012I-10</v>
      </c>
      <c r="F77" s="46">
        <f t="shared" si="11"/>
        <v>11</v>
      </c>
      <c r="G77" s="116" t="s">
        <v>204</v>
      </c>
      <c r="I77" s="100" t="str">
        <f t="shared" si="13"/>
        <v>Base4</v>
      </c>
      <c r="J77" s="160">
        <f t="shared" si="12"/>
        <v>9836.8087035358112</v>
      </c>
      <c r="K77" s="73">
        <f>+K75</f>
        <v>10850</v>
      </c>
      <c r="O77" s="157">
        <f t="shared" si="2"/>
        <v>9836.8087035358112</v>
      </c>
      <c r="P77" s="158">
        <f t="shared" si="3"/>
        <v>10850</v>
      </c>
    </row>
    <row r="78" spans="1:16">
      <c r="A78" s="72" t="s">
        <v>82</v>
      </c>
      <c r="B78" s="46" t="s">
        <v>51</v>
      </c>
      <c r="C78" s="50" t="s">
        <v>102</v>
      </c>
      <c r="D78" s="51">
        <v>12</v>
      </c>
      <c r="E78" s="45" t="str">
        <f t="shared" si="9"/>
        <v>WR-1012I-12</v>
      </c>
      <c r="F78" s="46">
        <f t="shared" si="11"/>
        <v>11</v>
      </c>
      <c r="G78" s="116" t="s">
        <v>205</v>
      </c>
      <c r="I78" s="100" t="str">
        <f t="shared" si="13"/>
        <v>Base4</v>
      </c>
      <c r="J78" s="160">
        <f t="shared" si="12"/>
        <v>9836.8087035358112</v>
      </c>
      <c r="K78" s="73">
        <f>+K75</f>
        <v>10850</v>
      </c>
      <c r="O78" s="157">
        <f t="shared" si="2"/>
        <v>9836.8087035358112</v>
      </c>
      <c r="P78" s="158">
        <f t="shared" si="3"/>
        <v>10850</v>
      </c>
    </row>
    <row r="79" spans="1:16">
      <c r="A79" s="72" t="s">
        <v>83</v>
      </c>
      <c r="B79" s="46" t="s">
        <v>51</v>
      </c>
      <c r="C79" s="53" t="s">
        <v>125</v>
      </c>
      <c r="D79" s="48" t="s">
        <v>52</v>
      </c>
      <c r="E79" s="45" t="str">
        <f t="shared" si="9"/>
        <v>WR-SWRH27-All</v>
      </c>
      <c r="F79" s="46">
        <f t="shared" si="11"/>
        <v>13</v>
      </c>
      <c r="G79" s="116" t="s">
        <v>206</v>
      </c>
      <c r="I79" s="100" t="s">
        <v>311</v>
      </c>
      <c r="J79" s="165">
        <f t="shared" si="12"/>
        <v>10652.765185856755</v>
      </c>
      <c r="K79" s="82">
        <f>+K81+100</f>
        <v>11750</v>
      </c>
      <c r="O79" s="157">
        <f t="shared" si="2"/>
        <v>10652.765185856755</v>
      </c>
      <c r="P79" s="158">
        <f t="shared" si="3"/>
        <v>11750</v>
      </c>
    </row>
    <row r="80" spans="1:16">
      <c r="A80" s="72" t="s">
        <v>84</v>
      </c>
      <c r="B80" s="46" t="s">
        <v>51</v>
      </c>
      <c r="C80" s="53" t="s">
        <v>127</v>
      </c>
      <c r="D80" s="48" t="s">
        <v>52</v>
      </c>
      <c r="E80" s="45" t="str">
        <f t="shared" si="9"/>
        <v>WR-SWRH32-All</v>
      </c>
      <c r="F80" s="46">
        <f t="shared" si="11"/>
        <v>13</v>
      </c>
      <c r="G80" s="116" t="s">
        <v>207</v>
      </c>
      <c r="I80" s="100" t="str">
        <f>+$I$79</f>
        <v>Base5+100</v>
      </c>
      <c r="J80" s="165">
        <f t="shared" si="12"/>
        <v>10652.765185856755</v>
      </c>
      <c r="K80" s="82">
        <f>+K81+100</f>
        <v>11750</v>
      </c>
      <c r="O80" s="157">
        <f t="shared" si="2"/>
        <v>10652.765185856755</v>
      </c>
      <c r="P80" s="158">
        <f t="shared" si="3"/>
        <v>11750</v>
      </c>
    </row>
    <row r="81" spans="1:16">
      <c r="A81" s="72" t="s">
        <v>85</v>
      </c>
      <c r="B81" s="46" t="s">
        <v>51</v>
      </c>
      <c r="C81" s="53" t="s">
        <v>312</v>
      </c>
      <c r="D81" s="48" t="s">
        <v>52</v>
      </c>
      <c r="E81" s="45" t="str">
        <f t="shared" si="9"/>
        <v>WR-SWRH37-72B-All</v>
      </c>
      <c r="F81" s="46">
        <f t="shared" si="11"/>
        <v>17</v>
      </c>
      <c r="G81" s="116" t="s">
        <v>208</v>
      </c>
      <c r="I81" s="100" t="s">
        <v>313</v>
      </c>
      <c r="J81" s="165">
        <f t="shared" si="12"/>
        <v>10562.103354487761</v>
      </c>
      <c r="K81" s="251">
        <f>+'Material Pricing Group SBY'!K103</f>
        <v>11650</v>
      </c>
      <c r="O81" s="157">
        <f t="shared" si="2"/>
        <v>10562.103354487761</v>
      </c>
      <c r="P81" s="158">
        <f t="shared" si="3"/>
        <v>11650</v>
      </c>
    </row>
    <row r="82" spans="1:16">
      <c r="A82" s="72" t="s">
        <v>86</v>
      </c>
      <c r="B82" s="46" t="s">
        <v>51</v>
      </c>
      <c r="C82" s="53" t="s">
        <v>144</v>
      </c>
      <c r="D82" s="48" t="s">
        <v>52</v>
      </c>
      <c r="E82" s="45" t="str">
        <f t="shared" si="9"/>
        <v>WR-32 HiSi-All</v>
      </c>
      <c r="F82" s="46">
        <f t="shared" si="11"/>
        <v>14</v>
      </c>
      <c r="G82" s="116" t="s">
        <v>209</v>
      </c>
      <c r="I82" s="100" t="s">
        <v>311</v>
      </c>
      <c r="J82" s="165">
        <f t="shared" si="12"/>
        <v>10652.765185856755</v>
      </c>
      <c r="K82" s="82">
        <f>+$K$81+100</f>
        <v>11750</v>
      </c>
      <c r="O82" s="157">
        <f t="shared" si="2"/>
        <v>10652.765185856755</v>
      </c>
      <c r="P82" s="158">
        <f t="shared" si="3"/>
        <v>11750</v>
      </c>
    </row>
    <row r="83" spans="1:16">
      <c r="A83" s="72" t="s">
        <v>87</v>
      </c>
      <c r="B83" s="46" t="s">
        <v>51</v>
      </c>
      <c r="C83" s="53" t="s">
        <v>314</v>
      </c>
      <c r="D83" s="48" t="s">
        <v>315</v>
      </c>
      <c r="E83" s="45" t="str">
        <f t="shared" si="9"/>
        <v>WR-SWRH77A-82B-5-7.9</v>
      </c>
      <c r="F83" s="46">
        <f t="shared" si="11"/>
        <v>20</v>
      </c>
      <c r="G83" s="116" t="s">
        <v>210</v>
      </c>
      <c r="I83" s="171" t="s">
        <v>311</v>
      </c>
      <c r="J83" s="160">
        <f t="shared" si="12"/>
        <v>10652.765185856755</v>
      </c>
      <c r="K83" s="73">
        <f>+K81+100</f>
        <v>11750</v>
      </c>
      <c r="O83" s="157">
        <f t="shared" si="2"/>
        <v>10652.765185856755</v>
      </c>
      <c r="P83" s="158">
        <f t="shared" si="3"/>
        <v>11750</v>
      </c>
    </row>
    <row r="84" spans="1:16">
      <c r="A84" s="72" t="s">
        <v>88</v>
      </c>
      <c r="B84" s="46" t="s">
        <v>51</v>
      </c>
      <c r="C84" s="53" t="s">
        <v>314</v>
      </c>
      <c r="D84" s="83" t="s">
        <v>316</v>
      </c>
      <c r="E84" s="45" t="str">
        <f t="shared" si="9"/>
        <v>WR-SWRH77A-82B-8-12</v>
      </c>
      <c r="F84" s="46">
        <f t="shared" si="11"/>
        <v>19</v>
      </c>
      <c r="G84" s="116" t="s">
        <v>211</v>
      </c>
      <c r="I84" s="171" t="s">
        <v>437</v>
      </c>
      <c r="J84" s="160">
        <f t="shared" si="12"/>
        <v>10698.096101541252</v>
      </c>
      <c r="K84" s="73">
        <f>+K81+150</f>
        <v>11800</v>
      </c>
      <c r="O84" s="157">
        <f t="shared" si="2"/>
        <v>10698.096101541252</v>
      </c>
      <c r="P84" s="158">
        <f t="shared" si="3"/>
        <v>11800</v>
      </c>
    </row>
    <row r="85" spans="1:16">
      <c r="A85" s="72" t="s">
        <v>89</v>
      </c>
      <c r="B85" s="46" t="s">
        <v>51</v>
      </c>
      <c r="C85" s="50" t="s">
        <v>317</v>
      </c>
      <c r="D85" s="48" t="s">
        <v>318</v>
      </c>
      <c r="E85" s="45" t="str">
        <f>CONCATENATE(B85,"-",C85,"-",D85)</f>
        <v>WR-SWRH77-82-12.5-16</v>
      </c>
      <c r="F85" s="46">
        <f t="shared" si="11"/>
        <v>20</v>
      </c>
      <c r="G85" s="116" t="s">
        <v>212</v>
      </c>
      <c r="I85" s="171" t="s">
        <v>437</v>
      </c>
      <c r="J85" s="160">
        <f t="shared" si="12"/>
        <v>10698.096101541252</v>
      </c>
      <c r="K85" s="73">
        <f>+K84</f>
        <v>11800</v>
      </c>
      <c r="O85" s="157">
        <f t="shared" si="2"/>
        <v>10698.096101541252</v>
      </c>
      <c r="P85" s="158">
        <f t="shared" si="3"/>
        <v>11800</v>
      </c>
    </row>
    <row r="86" spans="1:16">
      <c r="A86" s="72" t="s">
        <v>90</v>
      </c>
      <c r="B86" s="46" t="s">
        <v>51</v>
      </c>
      <c r="C86" s="49" t="s">
        <v>319</v>
      </c>
      <c r="D86" s="48" t="s">
        <v>320</v>
      </c>
      <c r="E86" s="45" t="str">
        <f t="shared" si="9"/>
        <v>WR-SWRY-11-ALL</v>
      </c>
      <c r="F86" s="46">
        <f t="shared" si="11"/>
        <v>14</v>
      </c>
      <c r="G86" s="116" t="s">
        <v>213</v>
      </c>
      <c r="I86" s="100" t="s">
        <v>321</v>
      </c>
      <c r="J86" s="160">
        <f t="shared" si="12"/>
        <v>10562.103354487761</v>
      </c>
      <c r="K86" s="174">
        <f>+'Material Pricing Group SBY'!K109</f>
        <v>11650</v>
      </c>
      <c r="O86" s="157">
        <f t="shared" si="2"/>
        <v>10562.103354487761</v>
      </c>
      <c r="P86" s="158">
        <f t="shared" si="3"/>
        <v>11650</v>
      </c>
    </row>
    <row r="87" spans="1:16">
      <c r="A87" s="72" t="s">
        <v>91</v>
      </c>
      <c r="B87" s="46" t="s">
        <v>51</v>
      </c>
      <c r="C87" s="47" t="s">
        <v>322</v>
      </c>
      <c r="D87" s="48" t="s">
        <v>320</v>
      </c>
      <c r="E87" s="45" t="str">
        <f t="shared" si="9"/>
        <v>WR-SWRY-17-ALL</v>
      </c>
      <c r="F87" s="46">
        <f t="shared" si="11"/>
        <v>14</v>
      </c>
      <c r="G87" s="116" t="s">
        <v>214</v>
      </c>
      <c r="I87" s="100" t="s">
        <v>321</v>
      </c>
      <c r="J87" s="160">
        <f t="shared" si="12"/>
        <v>10562.103354487761</v>
      </c>
      <c r="K87" s="73">
        <f>+K86</f>
        <v>11650</v>
      </c>
      <c r="O87" s="157">
        <f t="shared" ref="O87:O102" si="14">+J87-M87</f>
        <v>10562.103354487761</v>
      </c>
      <c r="P87" s="158">
        <f t="shared" ref="P87:P102" si="15">+K87-N87</f>
        <v>11650</v>
      </c>
    </row>
    <row r="88" spans="1:16">
      <c r="A88" s="72" t="s">
        <v>92</v>
      </c>
      <c r="B88" s="46" t="s">
        <v>51</v>
      </c>
      <c r="C88" s="49" t="s">
        <v>323</v>
      </c>
      <c r="D88" s="48" t="s">
        <v>320</v>
      </c>
      <c r="E88" s="45" t="str">
        <f t="shared" si="9"/>
        <v>WR-XE400P-ALL</v>
      </c>
      <c r="F88" s="46">
        <f t="shared" si="11"/>
        <v>13</v>
      </c>
      <c r="G88" s="116" t="s">
        <v>215</v>
      </c>
      <c r="I88" s="100" t="str">
        <f>+I86</f>
        <v>Base6</v>
      </c>
      <c r="J88" s="160">
        <f t="shared" si="12"/>
        <v>10562.103354487761</v>
      </c>
      <c r="K88" s="73">
        <f>+K86</f>
        <v>11650</v>
      </c>
      <c r="O88" s="157">
        <f t="shared" si="14"/>
        <v>10562.103354487761</v>
      </c>
      <c r="P88" s="158">
        <f t="shared" si="15"/>
        <v>11650</v>
      </c>
    </row>
    <row r="89" spans="1:16">
      <c r="A89" s="72" t="s">
        <v>93</v>
      </c>
      <c r="B89" s="46" t="s">
        <v>51</v>
      </c>
      <c r="C89" s="49" t="s">
        <v>324</v>
      </c>
      <c r="D89" s="48" t="s">
        <v>320</v>
      </c>
      <c r="E89" s="45" t="str">
        <f t="shared" si="9"/>
        <v>WR-XE4000-ALL</v>
      </c>
      <c r="F89" s="46">
        <f t="shared" si="11"/>
        <v>13</v>
      </c>
      <c r="G89" s="116" t="s">
        <v>216</v>
      </c>
      <c r="I89" s="100" t="str">
        <f>+I86</f>
        <v>Base6</v>
      </c>
      <c r="J89" s="160">
        <f t="shared" si="12"/>
        <v>10562.103354487761</v>
      </c>
      <c r="K89" s="73">
        <f>+K86</f>
        <v>11650</v>
      </c>
      <c r="O89" s="157">
        <f t="shared" si="14"/>
        <v>10562.103354487761</v>
      </c>
      <c r="P89" s="158">
        <f t="shared" si="15"/>
        <v>11650</v>
      </c>
    </row>
    <row r="90" spans="1:16">
      <c r="A90" s="72" t="s">
        <v>94</v>
      </c>
      <c r="B90" s="46" t="s">
        <v>51</v>
      </c>
      <c r="C90" s="49" t="s">
        <v>325</v>
      </c>
      <c r="D90" s="48" t="s">
        <v>320</v>
      </c>
      <c r="E90" s="45" t="str">
        <f t="shared" si="9"/>
        <v>WR-XE4100-ALL</v>
      </c>
      <c r="F90" s="46">
        <f t="shared" si="11"/>
        <v>13</v>
      </c>
      <c r="G90" s="116" t="s">
        <v>217</v>
      </c>
      <c r="I90" s="100" t="str">
        <f>+I86</f>
        <v>Base6</v>
      </c>
      <c r="J90" s="160">
        <f t="shared" si="12"/>
        <v>10562.103354487761</v>
      </c>
      <c r="K90" s="73">
        <f>+K86</f>
        <v>11650</v>
      </c>
      <c r="O90" s="157">
        <f t="shared" si="14"/>
        <v>10562.103354487761</v>
      </c>
      <c r="P90" s="158">
        <f t="shared" si="15"/>
        <v>11650</v>
      </c>
    </row>
    <row r="91" spans="1:16">
      <c r="A91" s="72" t="s">
        <v>95</v>
      </c>
      <c r="B91" s="46" t="s">
        <v>51</v>
      </c>
      <c r="C91" s="47">
        <v>1210</v>
      </c>
      <c r="D91" s="48" t="s">
        <v>320</v>
      </c>
      <c r="E91" s="45" t="str">
        <f t="shared" si="9"/>
        <v>WR-1210-ALL</v>
      </c>
      <c r="F91" s="46">
        <f t="shared" si="11"/>
        <v>11</v>
      </c>
      <c r="G91" s="116" t="s">
        <v>218</v>
      </c>
      <c r="I91" s="100" t="s">
        <v>326</v>
      </c>
      <c r="J91" s="160">
        <f t="shared" si="12"/>
        <v>10834.088848594742</v>
      </c>
      <c r="K91" s="73">
        <f>+K86+300</f>
        <v>11950</v>
      </c>
      <c r="O91" s="157">
        <f t="shared" si="14"/>
        <v>10834.088848594742</v>
      </c>
      <c r="P91" s="158">
        <f t="shared" si="15"/>
        <v>11950</v>
      </c>
    </row>
    <row r="92" spans="1:16">
      <c r="A92" s="72" t="s">
        <v>96</v>
      </c>
      <c r="B92" s="46" t="s">
        <v>51</v>
      </c>
      <c r="C92" s="47">
        <v>1222</v>
      </c>
      <c r="D92" s="48" t="s">
        <v>320</v>
      </c>
      <c r="E92" s="45" t="str">
        <f t="shared" si="9"/>
        <v>WR-1222-ALL</v>
      </c>
      <c r="F92" s="46">
        <f t="shared" si="11"/>
        <v>11</v>
      </c>
      <c r="G92" s="116" t="s">
        <v>219</v>
      </c>
      <c r="I92" s="100" t="str">
        <f>+I91</f>
        <v>Base6+300</v>
      </c>
      <c r="J92" s="160">
        <f t="shared" si="12"/>
        <v>10834.088848594742</v>
      </c>
      <c r="K92" s="73">
        <f>+K91</f>
        <v>11950</v>
      </c>
      <c r="O92" s="157">
        <f t="shared" si="14"/>
        <v>10834.088848594742</v>
      </c>
      <c r="P92" s="158">
        <f t="shared" si="15"/>
        <v>11950</v>
      </c>
    </row>
    <row r="93" spans="1:16">
      <c r="A93" s="72" t="s">
        <v>97</v>
      </c>
      <c r="B93" s="46" t="s">
        <v>51</v>
      </c>
      <c r="C93" s="49" t="s">
        <v>327</v>
      </c>
      <c r="D93" s="48" t="s">
        <v>320</v>
      </c>
      <c r="E93" s="45" t="str">
        <f t="shared" si="9"/>
        <v>WR-ER70S4-ALL</v>
      </c>
      <c r="F93" s="46">
        <f t="shared" si="11"/>
        <v>13</v>
      </c>
      <c r="G93" s="116" t="s">
        <v>220</v>
      </c>
      <c r="I93" s="100" t="s">
        <v>328</v>
      </c>
      <c r="J93" s="160">
        <f t="shared" si="12"/>
        <v>11287.398005439711</v>
      </c>
      <c r="K93" s="73">
        <f>+K86+800</f>
        <v>12450</v>
      </c>
      <c r="O93" s="157">
        <f t="shared" si="14"/>
        <v>11287.398005439711</v>
      </c>
      <c r="P93" s="158">
        <f t="shared" si="15"/>
        <v>12450</v>
      </c>
    </row>
    <row r="94" spans="1:16">
      <c r="A94" s="72" t="s">
        <v>98</v>
      </c>
      <c r="B94" s="46" t="s">
        <v>51</v>
      </c>
      <c r="C94" s="47" t="s">
        <v>329</v>
      </c>
      <c r="D94" s="48" t="s">
        <v>320</v>
      </c>
      <c r="E94" s="45" t="str">
        <f t="shared" si="9"/>
        <v>WR-ER70S6-ALL</v>
      </c>
      <c r="F94" s="46">
        <f t="shared" si="11"/>
        <v>13</v>
      </c>
      <c r="G94" s="116" t="s">
        <v>221</v>
      </c>
      <c r="I94" s="100" t="str">
        <f>+I93</f>
        <v>Base6+800</v>
      </c>
      <c r="J94" s="160">
        <f t="shared" si="12"/>
        <v>11287.398005439711</v>
      </c>
      <c r="K94" s="73">
        <f>+K93</f>
        <v>12450</v>
      </c>
      <c r="O94" s="157">
        <f t="shared" si="14"/>
        <v>11287.398005439711</v>
      </c>
      <c r="P94" s="158">
        <f t="shared" si="15"/>
        <v>12450</v>
      </c>
    </row>
    <row r="95" spans="1:16">
      <c r="A95" s="72" t="s">
        <v>99</v>
      </c>
      <c r="B95" s="46" t="s">
        <v>51</v>
      </c>
      <c r="C95" s="49" t="s">
        <v>330</v>
      </c>
      <c r="D95" s="48" t="s">
        <v>320</v>
      </c>
      <c r="E95" s="45" t="str">
        <f t="shared" si="9"/>
        <v>WR-EM12-ALL</v>
      </c>
      <c r="F95" s="46">
        <f t="shared" si="11"/>
        <v>11</v>
      </c>
      <c r="G95" s="116" t="s">
        <v>222</v>
      </c>
      <c r="I95" s="100" t="str">
        <f>+I93</f>
        <v>Base6+800</v>
      </c>
      <c r="J95" s="160">
        <f t="shared" si="12"/>
        <v>11287.398005439711</v>
      </c>
      <c r="K95" s="73">
        <f>+K93</f>
        <v>12450</v>
      </c>
      <c r="O95" s="157">
        <f t="shared" si="14"/>
        <v>11287.398005439711</v>
      </c>
      <c r="P95" s="158">
        <f t="shared" si="15"/>
        <v>12450</v>
      </c>
    </row>
    <row r="96" spans="1:16">
      <c r="A96" s="72" t="s">
        <v>100</v>
      </c>
      <c r="B96" s="46" t="s">
        <v>51</v>
      </c>
      <c r="C96" s="49" t="s">
        <v>331</v>
      </c>
      <c r="D96" s="48" t="s">
        <v>320</v>
      </c>
      <c r="E96" s="45" t="str">
        <f t="shared" si="9"/>
        <v>WR-EM12K-ALL</v>
      </c>
      <c r="F96" s="46">
        <f t="shared" si="11"/>
        <v>12</v>
      </c>
      <c r="G96" s="116" t="s">
        <v>223</v>
      </c>
      <c r="I96" s="100" t="str">
        <f>+I93</f>
        <v>Base6+800</v>
      </c>
      <c r="J96" s="160">
        <f t="shared" si="12"/>
        <v>11287.398005439711</v>
      </c>
      <c r="K96" s="73">
        <f>+K93</f>
        <v>12450</v>
      </c>
      <c r="O96" s="157">
        <f t="shared" si="14"/>
        <v>11287.398005439711</v>
      </c>
      <c r="P96" s="158">
        <f t="shared" si="15"/>
        <v>12450</v>
      </c>
    </row>
    <row r="97" spans="1:16">
      <c r="A97" s="72" t="s">
        <v>101</v>
      </c>
      <c r="B97" s="46" t="s">
        <v>51</v>
      </c>
      <c r="C97" s="50" t="s">
        <v>332</v>
      </c>
      <c r="D97" s="48" t="s">
        <v>320</v>
      </c>
      <c r="E97" s="45" t="str">
        <f>CONCATENATE(B97,"-",C97,"-",D97)</f>
        <v>WR-EH12K-ALL</v>
      </c>
      <c r="F97" s="46">
        <f>LEN(E97)</f>
        <v>12</v>
      </c>
      <c r="G97" s="116" t="s">
        <v>224</v>
      </c>
      <c r="I97" s="100" t="s">
        <v>393</v>
      </c>
      <c r="J97" s="160">
        <f t="shared" si="12"/>
        <v>11378.059836808703</v>
      </c>
      <c r="K97" s="73">
        <f>K86+900</f>
        <v>12550</v>
      </c>
      <c r="O97" s="157">
        <f t="shared" si="14"/>
        <v>11378.059836808703</v>
      </c>
      <c r="P97" s="158">
        <f t="shared" si="15"/>
        <v>12550</v>
      </c>
    </row>
    <row r="98" spans="1:16">
      <c r="A98" s="72" t="s">
        <v>103</v>
      </c>
      <c r="B98" s="46" t="s">
        <v>51</v>
      </c>
      <c r="C98" s="50" t="s">
        <v>333</v>
      </c>
      <c r="D98" s="48" t="s">
        <v>320</v>
      </c>
      <c r="E98" s="45" t="str">
        <f>CONCATENATE(B98,"-",C98,"-",D98)</f>
        <v>WR-EH14-ALL</v>
      </c>
      <c r="F98" s="46">
        <f>LEN(E98)</f>
        <v>11</v>
      </c>
      <c r="G98" s="116" t="s">
        <v>225</v>
      </c>
      <c r="I98" s="100" t="s">
        <v>393</v>
      </c>
      <c r="J98" s="160">
        <f t="shared" si="12"/>
        <v>11378.059836808703</v>
      </c>
      <c r="K98" s="73">
        <f>+K86+900</f>
        <v>12550</v>
      </c>
      <c r="O98" s="157">
        <f t="shared" si="14"/>
        <v>11378.059836808703</v>
      </c>
      <c r="P98" s="158">
        <f t="shared" si="15"/>
        <v>12550</v>
      </c>
    </row>
    <row r="99" spans="1:16" s="244" customFormat="1">
      <c r="A99" s="239" t="s">
        <v>482</v>
      </c>
      <c r="B99" s="240" t="s">
        <v>51</v>
      </c>
      <c r="C99" s="247" t="s">
        <v>483</v>
      </c>
      <c r="D99" s="241" t="s">
        <v>320</v>
      </c>
      <c r="E99" s="242" t="str">
        <f t="shared" ref="E99:E100" si="16">CONCATENATE(B99,"-",C99,"-",D99)</f>
        <v>WR-CHQ 8A-ALL</v>
      </c>
      <c r="F99" s="240">
        <f t="shared" ref="F99:F100" si="17">LEN(E99)</f>
        <v>13</v>
      </c>
      <c r="G99" s="243" t="s">
        <v>484</v>
      </c>
      <c r="I99" s="245" t="s">
        <v>481</v>
      </c>
      <c r="J99" s="246">
        <f>+K99/1.103</f>
        <v>8023.5720761559387</v>
      </c>
      <c r="K99" s="174">
        <f>9250-400</f>
        <v>8850</v>
      </c>
    </row>
    <row r="100" spans="1:16" s="244" customFormat="1">
      <c r="A100" s="248">
        <v>53</v>
      </c>
      <c r="B100" s="240" t="s">
        <v>51</v>
      </c>
      <c r="C100" s="250" t="s">
        <v>489</v>
      </c>
      <c r="D100" s="241" t="s">
        <v>320</v>
      </c>
      <c r="E100" s="242" t="str">
        <f t="shared" si="16"/>
        <v>WR-CHQ 18A-ALL</v>
      </c>
      <c r="F100" s="240">
        <f t="shared" si="17"/>
        <v>14</v>
      </c>
      <c r="G100" s="243" t="s">
        <v>485</v>
      </c>
      <c r="I100" s="245" t="s">
        <v>481</v>
      </c>
      <c r="J100" s="246">
        <f>+K100/1.103</f>
        <v>8023.5720761559387</v>
      </c>
      <c r="K100" s="174">
        <f>+K99</f>
        <v>8850</v>
      </c>
    </row>
    <row r="101" spans="1:16" s="79" customFormat="1">
      <c r="A101" s="72" t="s">
        <v>136</v>
      </c>
      <c r="B101" s="75" t="s">
        <v>51</v>
      </c>
      <c r="C101" s="80" t="s">
        <v>361</v>
      </c>
      <c r="D101" s="77" t="s">
        <v>320</v>
      </c>
      <c r="E101" s="78" t="str">
        <f>CONCATENATE(B101,"-",C101,"-",D101)</f>
        <v>WR-Stock Lot IQ-ALL</v>
      </c>
      <c r="F101" s="75">
        <f>LEN(E101)</f>
        <v>19</v>
      </c>
      <c r="G101" s="116" t="s">
        <v>256</v>
      </c>
      <c r="I101" s="100" t="s">
        <v>402</v>
      </c>
      <c r="J101" s="160">
        <f t="shared" ref="J101:J114" si="18">+K101/1.103</f>
        <v>9088.8485947416139</v>
      </c>
      <c r="K101" s="101">
        <f>+K62-1025</f>
        <v>10025</v>
      </c>
      <c r="O101" s="157">
        <f t="shared" si="14"/>
        <v>9088.8485947416139</v>
      </c>
      <c r="P101" s="158">
        <f t="shared" si="15"/>
        <v>10025</v>
      </c>
    </row>
    <row r="102" spans="1:16" s="79" customFormat="1">
      <c r="A102" s="72" t="s">
        <v>137</v>
      </c>
      <c r="B102" s="85" t="s">
        <v>51</v>
      </c>
      <c r="C102" s="86" t="s">
        <v>362</v>
      </c>
      <c r="D102" s="87" t="s">
        <v>320</v>
      </c>
      <c r="E102" s="88" t="str">
        <f>CONCATENATE(B102,"-",C102,"-",D102)</f>
        <v>WR-Stock Lot SP-ALL</v>
      </c>
      <c r="F102" s="85">
        <f>LEN(E102)</f>
        <v>19</v>
      </c>
      <c r="G102" s="116" t="s">
        <v>257</v>
      </c>
      <c r="I102" s="100" t="s">
        <v>403</v>
      </c>
      <c r="J102" s="163">
        <f t="shared" si="18"/>
        <v>9088.8485947416139</v>
      </c>
      <c r="K102" s="101">
        <f>+K63-1025</f>
        <v>10025</v>
      </c>
      <c r="O102" s="157">
        <f t="shared" si="14"/>
        <v>9088.8485947416139</v>
      </c>
      <c r="P102" s="158">
        <f t="shared" si="15"/>
        <v>10025</v>
      </c>
    </row>
    <row r="103" spans="1:16" s="147" customFormat="1">
      <c r="A103" s="153" t="s">
        <v>422</v>
      </c>
      <c r="B103" s="143" t="s">
        <v>51</v>
      </c>
      <c r="C103" s="144" t="s">
        <v>55</v>
      </c>
      <c r="D103" s="156">
        <v>4.2</v>
      </c>
      <c r="E103" s="145" t="s">
        <v>421</v>
      </c>
      <c r="F103" s="143"/>
      <c r="G103" s="155" t="s">
        <v>421</v>
      </c>
      <c r="I103" s="171" t="s">
        <v>439</v>
      </c>
      <c r="J103" s="160">
        <f t="shared" si="18"/>
        <v>10199.456029011786</v>
      </c>
      <c r="K103" s="101">
        <f>+K51+400-50+25+25</f>
        <v>11250</v>
      </c>
      <c r="O103" s="157">
        <f t="shared" ref="O103:P108" si="19">+J103-M103</f>
        <v>10199.456029011786</v>
      </c>
      <c r="P103" s="158">
        <f t="shared" si="19"/>
        <v>11250</v>
      </c>
    </row>
    <row r="104" spans="1:16" s="147" customFormat="1">
      <c r="A104" s="153" t="s">
        <v>423</v>
      </c>
      <c r="B104" s="143" t="s">
        <v>51</v>
      </c>
      <c r="C104" s="144" t="s">
        <v>55</v>
      </c>
      <c r="D104" s="154">
        <v>4.5</v>
      </c>
      <c r="E104" s="145" t="s">
        <v>424</v>
      </c>
      <c r="F104" s="143"/>
      <c r="G104" s="155" t="s">
        <v>424</v>
      </c>
      <c r="I104" s="171" t="s">
        <v>440</v>
      </c>
      <c r="J104" s="160">
        <f t="shared" si="18"/>
        <v>10108.794197642792</v>
      </c>
      <c r="K104" s="169">
        <f>+K51+300-50+25+25</f>
        <v>11150</v>
      </c>
      <c r="O104" s="157">
        <f t="shared" si="19"/>
        <v>10108.794197642792</v>
      </c>
      <c r="P104" s="158">
        <f t="shared" si="19"/>
        <v>11150</v>
      </c>
    </row>
    <row r="105" spans="1:16" s="147" customFormat="1">
      <c r="A105" s="153" t="s">
        <v>425</v>
      </c>
      <c r="B105" s="143" t="s">
        <v>51</v>
      </c>
      <c r="C105" s="144" t="s">
        <v>55</v>
      </c>
      <c r="D105" s="154">
        <v>5.65</v>
      </c>
      <c r="E105" s="145" t="s">
        <v>426</v>
      </c>
      <c r="F105" s="143"/>
      <c r="G105" s="155" t="s">
        <v>426</v>
      </c>
      <c r="I105" s="171" t="s">
        <v>441</v>
      </c>
      <c r="J105" s="160">
        <f t="shared" si="18"/>
        <v>9814.1432456935636</v>
      </c>
      <c r="K105" s="169">
        <f>+K51-25</f>
        <v>10825</v>
      </c>
      <c r="O105" s="157">
        <f t="shared" si="19"/>
        <v>9814.1432456935636</v>
      </c>
      <c r="P105" s="158">
        <f t="shared" si="19"/>
        <v>10825</v>
      </c>
    </row>
    <row r="106" spans="1:16" s="152" customFormat="1">
      <c r="A106" s="153" t="s">
        <v>429</v>
      </c>
      <c r="B106" s="148" t="s">
        <v>51</v>
      </c>
      <c r="C106" s="149">
        <v>1006</v>
      </c>
      <c r="D106" s="150" t="s">
        <v>446</v>
      </c>
      <c r="E106" s="151" t="s">
        <v>502</v>
      </c>
      <c r="F106" s="148"/>
      <c r="G106" s="146" t="s">
        <v>502</v>
      </c>
      <c r="I106" s="171" t="s">
        <v>433</v>
      </c>
      <c r="J106" s="160">
        <f t="shared" si="18"/>
        <v>9882.1396192203083</v>
      </c>
      <c r="K106" s="252">
        <f>+K59+50</f>
        <v>10900</v>
      </c>
      <c r="O106" s="157">
        <f t="shared" si="19"/>
        <v>9882.1396192203083</v>
      </c>
      <c r="P106" s="158">
        <f t="shared" si="19"/>
        <v>10900</v>
      </c>
    </row>
    <row r="107" spans="1:16" s="152" customFormat="1">
      <c r="A107" s="153" t="s">
        <v>430</v>
      </c>
      <c r="B107" s="148" t="s">
        <v>51</v>
      </c>
      <c r="C107" s="149">
        <v>1008</v>
      </c>
      <c r="D107" s="150">
        <v>14.17</v>
      </c>
      <c r="E107" s="151" t="s">
        <v>503</v>
      </c>
      <c r="F107" s="148"/>
      <c r="G107" s="146" t="s">
        <v>503</v>
      </c>
      <c r="I107" s="171" t="s">
        <v>434</v>
      </c>
      <c r="J107" s="160">
        <f t="shared" si="18"/>
        <v>10063.463281958295</v>
      </c>
      <c r="K107" s="101">
        <f>+K62+50</f>
        <v>11100</v>
      </c>
      <c r="O107" s="157">
        <f t="shared" si="19"/>
        <v>10063.463281958295</v>
      </c>
      <c r="P107" s="158">
        <f t="shared" si="19"/>
        <v>11100</v>
      </c>
    </row>
    <row r="108" spans="1:16" s="147" customFormat="1" ht="13.5" customHeight="1">
      <c r="A108" s="188" t="s">
        <v>431</v>
      </c>
      <c r="B108" s="189" t="s">
        <v>51</v>
      </c>
      <c r="C108" s="190">
        <v>1012</v>
      </c>
      <c r="D108" s="191" t="s">
        <v>446</v>
      </c>
      <c r="E108" s="192" t="s">
        <v>504</v>
      </c>
      <c r="F108" s="193"/>
      <c r="G108" s="155" t="s">
        <v>504</v>
      </c>
      <c r="I108" s="194" t="s">
        <v>432</v>
      </c>
      <c r="J108" s="163">
        <f t="shared" si="18"/>
        <v>9882.1396192203083</v>
      </c>
      <c r="K108" s="195">
        <f>+K67+50</f>
        <v>10900</v>
      </c>
      <c r="O108" s="157">
        <f t="shared" si="19"/>
        <v>9882.1396192203083</v>
      </c>
      <c r="P108" s="158">
        <f t="shared" si="19"/>
        <v>10900</v>
      </c>
    </row>
    <row r="109" spans="1:16">
      <c r="A109" s="72" t="s">
        <v>444</v>
      </c>
      <c r="B109" s="60" t="s">
        <v>51</v>
      </c>
      <c r="C109" s="50">
        <v>1006</v>
      </c>
      <c r="D109" s="77" t="s">
        <v>296</v>
      </c>
      <c r="E109" s="78"/>
      <c r="F109" s="75"/>
      <c r="G109" s="204" t="s">
        <v>447</v>
      </c>
      <c r="H109" s="75"/>
      <c r="I109" s="171" t="s">
        <v>488</v>
      </c>
      <c r="J109" s="160">
        <f t="shared" si="18"/>
        <v>9836.8087035358112</v>
      </c>
      <c r="K109" s="252">
        <f>+K59</f>
        <v>10850</v>
      </c>
    </row>
    <row r="110" spans="1:16">
      <c r="A110" s="72" t="s">
        <v>445</v>
      </c>
      <c r="B110" s="60" t="s">
        <v>51</v>
      </c>
      <c r="C110" s="50">
        <v>1006</v>
      </c>
      <c r="D110" s="77" t="s">
        <v>297</v>
      </c>
      <c r="E110" s="78"/>
      <c r="F110" s="75"/>
      <c r="G110" s="200" t="s">
        <v>451</v>
      </c>
      <c r="H110" s="75"/>
      <c r="I110" s="171" t="s">
        <v>488</v>
      </c>
      <c r="J110" s="160">
        <f t="shared" si="18"/>
        <v>9836.8087035358112</v>
      </c>
      <c r="K110" s="252">
        <f>+K59</f>
        <v>10850</v>
      </c>
    </row>
    <row r="111" spans="1:16">
      <c r="A111" s="203" t="s">
        <v>453</v>
      </c>
      <c r="B111" s="60" t="s">
        <v>51</v>
      </c>
      <c r="C111" s="50" t="s">
        <v>454</v>
      </c>
      <c r="D111" s="77" t="s">
        <v>455</v>
      </c>
      <c r="E111" s="78"/>
      <c r="F111" s="75"/>
      <c r="G111" s="204" t="s">
        <v>456</v>
      </c>
      <c r="H111" s="75"/>
      <c r="I111" s="100" t="s">
        <v>452</v>
      </c>
      <c r="J111" s="160">
        <f t="shared" si="18"/>
        <v>9836.8087035358112</v>
      </c>
      <c r="K111" s="252">
        <f>+K110</f>
        <v>10850</v>
      </c>
    </row>
    <row r="112" spans="1:16" s="211" customFormat="1">
      <c r="A112" s="270" t="s">
        <v>464</v>
      </c>
      <c r="B112" s="271" t="s">
        <v>51</v>
      </c>
      <c r="C112" s="272" t="s">
        <v>55</v>
      </c>
      <c r="D112" s="273">
        <v>7</v>
      </c>
      <c r="E112" s="274" t="str">
        <f t="shared" ref="E112:E114" si="20">CONCATENATE(B112,"-",C112,"-",D112)</f>
        <v>WR-1012B-7</v>
      </c>
      <c r="F112" s="271">
        <f t="shared" ref="F112" si="21">LEN(E112)</f>
        <v>10</v>
      </c>
      <c r="G112" s="210" t="s">
        <v>462</v>
      </c>
      <c r="I112" s="277" t="s">
        <v>463</v>
      </c>
      <c r="J112" s="275">
        <f t="shared" si="18"/>
        <v>9768.8123300090665</v>
      </c>
      <c r="K112" s="278">
        <f>+K51-75</f>
        <v>10775</v>
      </c>
      <c r="O112" s="226">
        <f t="shared" ref="O112" si="22">+J112-M112</f>
        <v>9768.8123300090665</v>
      </c>
      <c r="P112" s="227">
        <f t="shared" ref="P112" si="23">+K112-N112</f>
        <v>10775</v>
      </c>
    </row>
    <row r="113" spans="1:16" s="256" customFormat="1">
      <c r="A113" s="279"/>
      <c r="B113" s="254" t="s">
        <v>51</v>
      </c>
      <c r="C113" s="280" t="s">
        <v>55</v>
      </c>
      <c r="D113" s="257" t="s">
        <v>492</v>
      </c>
      <c r="E113" s="99" t="str">
        <f t="shared" si="20"/>
        <v>WR-1012B-16-22</v>
      </c>
      <c r="F113" s="254"/>
      <c r="G113" s="253" t="s">
        <v>493</v>
      </c>
      <c r="H113" s="254"/>
      <c r="I113" s="100" t="s">
        <v>494</v>
      </c>
      <c r="J113" s="160">
        <f t="shared" si="18"/>
        <v>9859.4741613780607</v>
      </c>
      <c r="K113" s="169">
        <f>+K51+25</f>
        <v>10875</v>
      </c>
      <c r="O113" s="268"/>
      <c r="P113" s="269"/>
    </row>
    <row r="114" spans="1:16" s="256" customFormat="1">
      <c r="A114" s="279"/>
      <c r="B114" s="254" t="s">
        <v>51</v>
      </c>
      <c r="C114" s="281" t="s">
        <v>495</v>
      </c>
      <c r="D114" s="263" t="s">
        <v>320</v>
      </c>
      <c r="E114" s="99" t="str">
        <f t="shared" si="20"/>
        <v>WR-CHQ 22A-ALL</v>
      </c>
      <c r="F114" s="254"/>
      <c r="G114" s="253" t="s">
        <v>509</v>
      </c>
      <c r="H114" s="254"/>
      <c r="I114" s="100" t="s">
        <v>496</v>
      </c>
      <c r="J114" s="160">
        <f t="shared" si="18"/>
        <v>8159.5648232094291</v>
      </c>
      <c r="K114" s="169">
        <f>+K99+150</f>
        <v>9000</v>
      </c>
      <c r="O114" s="268"/>
      <c r="P114" s="269"/>
    </row>
    <row r="115" spans="1:16" s="152" customFormat="1">
      <c r="A115" s="153"/>
      <c r="B115" s="148" t="s">
        <v>51</v>
      </c>
      <c r="C115" s="149">
        <v>1006</v>
      </c>
      <c r="D115" s="150" t="s">
        <v>446</v>
      </c>
      <c r="E115" s="151" t="s">
        <v>499</v>
      </c>
      <c r="F115" s="148"/>
      <c r="G115" s="146" t="s">
        <v>499</v>
      </c>
      <c r="I115" s="171" t="s">
        <v>433</v>
      </c>
      <c r="J115" s="160">
        <f t="shared" ref="J115:J117" si="24">+K115/1.103</f>
        <v>9927.4705349048054</v>
      </c>
      <c r="K115" s="252">
        <f>+K106+50</f>
        <v>10950</v>
      </c>
      <c r="O115" s="157">
        <f t="shared" ref="O115:O117" si="25">+J115-M115</f>
        <v>9927.4705349048054</v>
      </c>
      <c r="P115" s="158">
        <f t="shared" ref="P115:P117" si="26">+K115-N115</f>
        <v>10950</v>
      </c>
    </row>
    <row r="116" spans="1:16" s="152" customFormat="1">
      <c r="A116" s="153"/>
      <c r="B116" s="148" t="s">
        <v>51</v>
      </c>
      <c r="C116" s="149">
        <v>1008</v>
      </c>
      <c r="D116" s="150">
        <v>14.17</v>
      </c>
      <c r="E116" s="151" t="s">
        <v>500</v>
      </c>
      <c r="F116" s="148"/>
      <c r="G116" s="146" t="s">
        <v>500</v>
      </c>
      <c r="I116" s="171" t="s">
        <v>434</v>
      </c>
      <c r="J116" s="160">
        <f t="shared" si="24"/>
        <v>10108.794197642792</v>
      </c>
      <c r="K116" s="101">
        <f>+K107+50</f>
        <v>11150</v>
      </c>
      <c r="O116" s="157">
        <f t="shared" si="25"/>
        <v>10108.794197642792</v>
      </c>
      <c r="P116" s="158">
        <f t="shared" si="26"/>
        <v>11150</v>
      </c>
    </row>
    <row r="117" spans="1:16" s="147" customFormat="1" ht="13.5" customHeight="1">
      <c r="A117" s="188"/>
      <c r="B117" s="189" t="s">
        <v>51</v>
      </c>
      <c r="C117" s="190">
        <v>1012</v>
      </c>
      <c r="D117" s="191" t="s">
        <v>446</v>
      </c>
      <c r="E117" s="192" t="s">
        <v>501</v>
      </c>
      <c r="F117" s="193"/>
      <c r="G117" s="155" t="s">
        <v>501</v>
      </c>
      <c r="I117" s="194" t="s">
        <v>432</v>
      </c>
      <c r="J117" s="163">
        <f t="shared" si="24"/>
        <v>9927.4705349048054</v>
      </c>
      <c r="K117" s="195">
        <f>+K108+50</f>
        <v>10950</v>
      </c>
      <c r="O117" s="157">
        <f t="shared" si="25"/>
        <v>9927.4705349048054</v>
      </c>
      <c r="P117" s="158">
        <f t="shared" si="26"/>
        <v>10950</v>
      </c>
    </row>
    <row r="118" spans="1:16">
      <c r="A118" s="102"/>
      <c r="B118" s="7"/>
      <c r="C118" s="103"/>
      <c r="D118" s="104"/>
      <c r="E118" s="105"/>
      <c r="F118" s="106"/>
      <c r="G118" s="116"/>
      <c r="H118" s="79"/>
      <c r="I118" s="172"/>
      <c r="J118" s="166"/>
      <c r="K118" s="107"/>
    </row>
    <row r="119" spans="1:16">
      <c r="A119" s="102"/>
      <c r="B119" s="7"/>
      <c r="C119" s="103"/>
      <c r="D119" s="104"/>
      <c r="E119" s="105"/>
      <c r="F119" s="106"/>
      <c r="G119" s="116"/>
      <c r="H119" s="79"/>
      <c r="I119" s="172"/>
      <c r="J119" s="166"/>
      <c r="K119" s="107"/>
    </row>
    <row r="120" spans="1:16">
      <c r="I120" s="171" t="s">
        <v>417</v>
      </c>
      <c r="J120" s="160">
        <f>+J1</f>
        <v>14070</v>
      </c>
      <c r="K120" s="168">
        <f>+J1</f>
        <v>14070</v>
      </c>
    </row>
    <row r="121" spans="1:16">
      <c r="A121" s="110" t="s">
        <v>416</v>
      </c>
      <c r="B121" s="110"/>
      <c r="C121" s="110"/>
      <c r="I121" s="173"/>
      <c r="J121" s="167"/>
    </row>
    <row r="122" spans="1:16">
      <c r="A122" s="72" t="s">
        <v>104</v>
      </c>
      <c r="B122" s="46" t="s">
        <v>334</v>
      </c>
      <c r="C122" s="50" t="s">
        <v>335</v>
      </c>
      <c r="D122" s="51">
        <v>6</v>
      </c>
      <c r="E122" s="45" t="str">
        <f t="shared" ref="E122:E130" si="27">CONCATENATE(B122,"-",C122,"-",D122)</f>
        <v>DC-SD 390-6</v>
      </c>
      <c r="F122" s="46">
        <f t="shared" ref="F122:F130" si="28">LEN(E122)</f>
        <v>11</v>
      </c>
      <c r="G122" s="116" t="s">
        <v>226</v>
      </c>
      <c r="I122" s="100" t="s">
        <v>392</v>
      </c>
      <c r="J122" s="160">
        <f>+K122/1.103</f>
        <v>9814.1432456935636</v>
      </c>
      <c r="K122" s="73">
        <f>K25-(25*K120/K120)</f>
        <v>10825</v>
      </c>
      <c r="O122" s="157">
        <f t="shared" ref="O122:O130" si="29">+J122-M122</f>
        <v>9814.1432456935636</v>
      </c>
      <c r="P122" s="158">
        <f t="shared" ref="P122:P130" si="30">+K122-N122</f>
        <v>10825</v>
      </c>
    </row>
    <row r="123" spans="1:16">
      <c r="A123" s="72" t="s">
        <v>105</v>
      </c>
      <c r="B123" s="46" t="s">
        <v>334</v>
      </c>
      <c r="C123" s="50" t="s">
        <v>335</v>
      </c>
      <c r="D123" s="51">
        <v>8</v>
      </c>
      <c r="E123" s="45" t="str">
        <f t="shared" si="27"/>
        <v>DC-SD 390-8</v>
      </c>
      <c r="F123" s="46">
        <f t="shared" si="28"/>
        <v>11</v>
      </c>
      <c r="G123" s="116" t="s">
        <v>227</v>
      </c>
      <c r="I123" s="100" t="str">
        <f>+I122</f>
        <v>Base8-$25</v>
      </c>
      <c r="J123" s="160">
        <f t="shared" ref="J123:J133" si="31">+K123/1.103</f>
        <v>9814.1432456935636</v>
      </c>
      <c r="K123" s="73">
        <f>+K122</f>
        <v>10825</v>
      </c>
      <c r="O123" s="157">
        <f t="shared" si="29"/>
        <v>9814.1432456935636</v>
      </c>
      <c r="P123" s="158">
        <f t="shared" si="30"/>
        <v>10825</v>
      </c>
    </row>
    <row r="124" spans="1:16">
      <c r="A124" s="72" t="s">
        <v>106</v>
      </c>
      <c r="B124" s="46" t="s">
        <v>334</v>
      </c>
      <c r="C124" s="50" t="s">
        <v>335</v>
      </c>
      <c r="D124" s="51">
        <v>10</v>
      </c>
      <c r="E124" s="45" t="str">
        <f t="shared" si="27"/>
        <v>DC-SD 390-10</v>
      </c>
      <c r="F124" s="46">
        <f t="shared" si="28"/>
        <v>12</v>
      </c>
      <c r="G124" s="116" t="s">
        <v>228</v>
      </c>
      <c r="I124" s="100" t="str">
        <f>+I122</f>
        <v>Base8-$25</v>
      </c>
      <c r="J124" s="160">
        <f t="shared" si="31"/>
        <v>9814.1432456935636</v>
      </c>
      <c r="K124" s="73">
        <f>+K122</f>
        <v>10825</v>
      </c>
      <c r="O124" s="157">
        <f t="shared" si="29"/>
        <v>9814.1432456935636</v>
      </c>
      <c r="P124" s="158">
        <f t="shared" si="30"/>
        <v>10825</v>
      </c>
    </row>
    <row r="125" spans="1:16">
      <c r="A125" s="72" t="s">
        <v>107</v>
      </c>
      <c r="B125" s="46" t="s">
        <v>334</v>
      </c>
      <c r="C125" s="50" t="s">
        <v>335</v>
      </c>
      <c r="D125" s="51">
        <v>12</v>
      </c>
      <c r="E125" s="45" t="str">
        <f t="shared" si="27"/>
        <v>DC-SD 390-12</v>
      </c>
      <c r="F125" s="46">
        <f t="shared" si="28"/>
        <v>12</v>
      </c>
      <c r="G125" s="116" t="s">
        <v>229</v>
      </c>
      <c r="I125" s="100" t="str">
        <f>+I122</f>
        <v>Base8-$25</v>
      </c>
      <c r="J125" s="160">
        <f t="shared" si="31"/>
        <v>9814.1432456935636</v>
      </c>
      <c r="K125" s="73">
        <f>+K122</f>
        <v>10825</v>
      </c>
      <c r="O125" s="157">
        <f t="shared" si="29"/>
        <v>9814.1432456935636</v>
      </c>
      <c r="P125" s="158">
        <f t="shared" si="30"/>
        <v>10825</v>
      </c>
    </row>
    <row r="126" spans="1:16">
      <c r="A126" s="72" t="s">
        <v>108</v>
      </c>
      <c r="B126" s="46" t="s">
        <v>334</v>
      </c>
      <c r="C126" s="53" t="s">
        <v>337</v>
      </c>
      <c r="D126" s="48" t="s">
        <v>320</v>
      </c>
      <c r="E126" s="45" t="str">
        <f t="shared" si="27"/>
        <v>DC-500N/MPA-ALL</v>
      </c>
      <c r="F126" s="46">
        <f t="shared" si="28"/>
        <v>15</v>
      </c>
      <c r="G126" s="116" t="s">
        <v>230</v>
      </c>
      <c r="I126" s="100" t="s">
        <v>412</v>
      </c>
      <c r="J126" s="160">
        <f t="shared" si="31"/>
        <v>5347.4614687216681</v>
      </c>
      <c r="K126" s="101">
        <f>K20-(25*K120/1000)</f>
        <v>5898.25</v>
      </c>
      <c r="O126" s="157">
        <f t="shared" si="29"/>
        <v>5347.4614687216681</v>
      </c>
      <c r="P126" s="158">
        <f t="shared" si="30"/>
        <v>5898.25</v>
      </c>
    </row>
    <row r="127" spans="1:16">
      <c r="A127" s="72" t="s">
        <v>109</v>
      </c>
      <c r="B127" s="46" t="s">
        <v>334</v>
      </c>
      <c r="C127" s="50" t="s">
        <v>338</v>
      </c>
      <c r="D127" s="48" t="s">
        <v>320</v>
      </c>
      <c r="E127" s="45" t="str">
        <f t="shared" si="27"/>
        <v>DC-300E-ALL</v>
      </c>
      <c r="F127" s="46">
        <f t="shared" si="28"/>
        <v>11</v>
      </c>
      <c r="G127" s="116" t="s">
        <v>231</v>
      </c>
      <c r="I127" s="100" t="s">
        <v>413</v>
      </c>
      <c r="J127" s="160">
        <f t="shared" si="31"/>
        <v>4368.3136899365372</v>
      </c>
      <c r="K127" s="101">
        <f>K21-(25*K120/1000)</f>
        <v>4818.25</v>
      </c>
      <c r="O127" s="157">
        <f t="shared" si="29"/>
        <v>4368.3136899365372</v>
      </c>
      <c r="P127" s="158">
        <f t="shared" si="30"/>
        <v>4818.25</v>
      </c>
    </row>
    <row r="128" spans="1:16">
      <c r="A128" s="72" t="s">
        <v>110</v>
      </c>
      <c r="B128" s="46" t="s">
        <v>334</v>
      </c>
      <c r="C128" s="50" t="s">
        <v>339</v>
      </c>
      <c r="D128" s="48" t="s">
        <v>320</v>
      </c>
      <c r="E128" s="45" t="str">
        <f t="shared" si="27"/>
        <v>DC-SD 490-ALL</v>
      </c>
      <c r="F128" s="46">
        <f t="shared" si="28"/>
        <v>13</v>
      </c>
      <c r="G128" s="116" t="s">
        <v>232</v>
      </c>
      <c r="I128" s="100" t="s">
        <v>414</v>
      </c>
      <c r="J128" s="160">
        <f t="shared" si="31"/>
        <v>4413.6446056210334</v>
      </c>
      <c r="K128" s="101">
        <f>K22-(25*K120/1000)</f>
        <v>4868.25</v>
      </c>
      <c r="O128" s="157">
        <f t="shared" si="29"/>
        <v>4413.6446056210334</v>
      </c>
      <c r="P128" s="158">
        <f t="shared" si="30"/>
        <v>4868.25</v>
      </c>
    </row>
    <row r="129" spans="1:16">
      <c r="A129" s="72" t="s">
        <v>111</v>
      </c>
      <c r="B129" s="46" t="s">
        <v>334</v>
      </c>
      <c r="C129" s="50" t="s">
        <v>340</v>
      </c>
      <c r="D129" s="48" t="s">
        <v>320</v>
      </c>
      <c r="E129" s="45" t="str">
        <f t="shared" si="27"/>
        <v>DC-Grade 40-ALL</v>
      </c>
      <c r="F129" s="46">
        <f t="shared" si="28"/>
        <v>15</v>
      </c>
      <c r="G129" s="116" t="s">
        <v>233</v>
      </c>
      <c r="I129" s="100" t="s">
        <v>415</v>
      </c>
      <c r="J129" s="160">
        <f t="shared" si="31"/>
        <v>4458.9755213055305</v>
      </c>
      <c r="K129" s="73">
        <f>K23-(25*K120/1000)</f>
        <v>4918.25</v>
      </c>
      <c r="O129" s="157">
        <f t="shared" si="29"/>
        <v>4458.9755213055305</v>
      </c>
      <c r="P129" s="158">
        <f t="shared" si="30"/>
        <v>4918.25</v>
      </c>
    </row>
    <row r="130" spans="1:16">
      <c r="A130" s="72" t="s">
        <v>112</v>
      </c>
      <c r="B130" s="46" t="s">
        <v>334</v>
      </c>
      <c r="C130" s="50" t="s">
        <v>341</v>
      </c>
      <c r="D130" s="48" t="s">
        <v>320</v>
      </c>
      <c r="E130" s="45" t="str">
        <f t="shared" si="27"/>
        <v>DC-Grade 60-ALL</v>
      </c>
      <c r="F130" s="46">
        <f t="shared" si="28"/>
        <v>15</v>
      </c>
      <c r="G130" s="116" t="s">
        <v>234</v>
      </c>
      <c r="I130" s="100" t="s">
        <v>414</v>
      </c>
      <c r="J130" s="160">
        <f t="shared" si="31"/>
        <v>4368.3136899365372</v>
      </c>
      <c r="K130" s="73">
        <f>K24-(25*K120/1000)</f>
        <v>4818.25</v>
      </c>
      <c r="O130" s="157">
        <f t="shared" si="29"/>
        <v>4368.3136899365372</v>
      </c>
      <c r="P130" s="158">
        <f t="shared" si="30"/>
        <v>4818.25</v>
      </c>
    </row>
    <row r="131" spans="1:16" ht="12" customHeight="1">
      <c r="A131" s="72" t="s">
        <v>62</v>
      </c>
      <c r="B131" s="46" t="s">
        <v>51</v>
      </c>
      <c r="C131" s="52">
        <v>1005</v>
      </c>
      <c r="D131" s="48" t="s">
        <v>52</v>
      </c>
      <c r="E131" s="45" t="str">
        <f t="shared" ref="E131:E147" si="32">CONCATENATE(B131,"-",C131,"-",D131)</f>
        <v>WR-1005-All</v>
      </c>
      <c r="F131" s="46">
        <f t="shared" ref="F131:F147" si="33">LEN(E131)</f>
        <v>11</v>
      </c>
      <c r="G131" s="116" t="s">
        <v>185</v>
      </c>
      <c r="I131" s="100" t="s">
        <v>380</v>
      </c>
      <c r="J131" s="160">
        <f t="shared" si="31"/>
        <v>9789.8912058023579</v>
      </c>
      <c r="K131" s="73">
        <f>+(K58)-(25*K120/1000)</f>
        <v>10798.25</v>
      </c>
      <c r="O131" s="157">
        <f t="shared" ref="O131:P159" si="34">+J131-M131</f>
        <v>9789.8912058023579</v>
      </c>
      <c r="P131" s="158">
        <f t="shared" ref="P131:P158" si="35">+K131-N131</f>
        <v>10798.25</v>
      </c>
    </row>
    <row r="132" spans="1:16">
      <c r="A132" s="72" t="s">
        <v>63</v>
      </c>
      <c r="B132" s="75" t="s">
        <v>51</v>
      </c>
      <c r="C132" s="76">
        <v>1006</v>
      </c>
      <c r="D132" s="77" t="s">
        <v>296</v>
      </c>
      <c r="E132" s="78" t="str">
        <f t="shared" si="32"/>
        <v>WR-1006-5.5-5.8</v>
      </c>
      <c r="F132" s="75">
        <f t="shared" si="33"/>
        <v>15</v>
      </c>
      <c r="G132" s="116" t="s">
        <v>186</v>
      </c>
      <c r="I132" s="100" t="s">
        <v>381</v>
      </c>
      <c r="J132" s="160">
        <f t="shared" si="31"/>
        <v>9517.9057116953772</v>
      </c>
      <c r="K132" s="73">
        <f>+(K59)-(25*K120/1000)</f>
        <v>10498.25</v>
      </c>
      <c r="O132" s="157">
        <f t="shared" si="34"/>
        <v>9517.9057116953772</v>
      </c>
      <c r="P132" s="158">
        <f t="shared" si="35"/>
        <v>10498.25</v>
      </c>
    </row>
    <row r="133" spans="1:16">
      <c r="A133" s="72" t="s">
        <v>64</v>
      </c>
      <c r="B133" s="75" t="s">
        <v>51</v>
      </c>
      <c r="C133" s="76">
        <v>1006</v>
      </c>
      <c r="D133" s="81" t="s">
        <v>297</v>
      </c>
      <c r="E133" s="78" t="str">
        <f t="shared" si="32"/>
        <v>WR-1006-6.0 - 17</v>
      </c>
      <c r="F133" s="75">
        <f t="shared" si="33"/>
        <v>16</v>
      </c>
      <c r="G133" s="116" t="s">
        <v>187</v>
      </c>
      <c r="I133" s="100" t="s">
        <v>382</v>
      </c>
      <c r="J133" s="160">
        <f t="shared" si="31"/>
        <v>9517.9057116953772</v>
      </c>
      <c r="K133" s="73">
        <f>+(K60)-(25*K120/1000)</f>
        <v>10498.25</v>
      </c>
      <c r="O133" s="157">
        <f t="shared" si="34"/>
        <v>9517.9057116953772</v>
      </c>
      <c r="P133" s="158">
        <f t="shared" si="35"/>
        <v>10498.25</v>
      </c>
    </row>
    <row r="134" spans="1:16">
      <c r="A134" s="72" t="s">
        <v>65</v>
      </c>
      <c r="B134" s="75" t="s">
        <v>51</v>
      </c>
      <c r="C134" s="76" t="s">
        <v>298</v>
      </c>
      <c r="D134" s="77" t="s">
        <v>299</v>
      </c>
      <c r="E134" s="78" t="str">
        <f t="shared" si="32"/>
        <v>WR-1008 All size-all</v>
      </c>
      <c r="F134" s="75">
        <f t="shared" si="33"/>
        <v>20</v>
      </c>
      <c r="G134" s="116" t="s">
        <v>188</v>
      </c>
      <c r="I134" s="100" t="str">
        <f>+I135</f>
        <v>Base2-$25</v>
      </c>
      <c r="J134" s="160">
        <f t="shared" ref="J134:J147" si="36">+K134/1.103</f>
        <v>9699.2293744333638</v>
      </c>
      <c r="K134" s="73">
        <f>+(K61)-(25*K120/1000)</f>
        <v>10698.25</v>
      </c>
      <c r="O134" s="157">
        <f t="shared" si="34"/>
        <v>9699.2293744333638</v>
      </c>
      <c r="P134" s="158">
        <f t="shared" si="35"/>
        <v>10698.25</v>
      </c>
    </row>
    <row r="135" spans="1:16">
      <c r="A135" s="72" t="s">
        <v>66</v>
      </c>
      <c r="B135" s="46" t="s">
        <v>51</v>
      </c>
      <c r="C135" s="47">
        <v>1008</v>
      </c>
      <c r="D135" s="48" t="s">
        <v>296</v>
      </c>
      <c r="E135" s="45" t="str">
        <f t="shared" si="32"/>
        <v>WR-1008-5.5-5.8</v>
      </c>
      <c r="F135" s="46">
        <f t="shared" si="33"/>
        <v>15</v>
      </c>
      <c r="G135" s="116" t="s">
        <v>189</v>
      </c>
      <c r="I135" s="100" t="s">
        <v>383</v>
      </c>
      <c r="J135" s="160">
        <f t="shared" si="36"/>
        <v>9699.2293744333638</v>
      </c>
      <c r="K135" s="73">
        <f>+(K62)-(25*K120/1000)</f>
        <v>10698.25</v>
      </c>
      <c r="O135" s="157">
        <f t="shared" si="34"/>
        <v>9699.2293744333638</v>
      </c>
      <c r="P135" s="158">
        <f t="shared" si="35"/>
        <v>10698.25</v>
      </c>
    </row>
    <row r="136" spans="1:16">
      <c r="A136" s="72" t="s">
        <v>67</v>
      </c>
      <c r="B136" s="75" t="s">
        <v>51</v>
      </c>
      <c r="C136" s="76">
        <v>1008</v>
      </c>
      <c r="D136" s="81" t="s">
        <v>297</v>
      </c>
      <c r="E136" s="78" t="str">
        <f t="shared" si="32"/>
        <v>WR-1008-6.0 - 17</v>
      </c>
      <c r="F136" s="75">
        <f t="shared" si="33"/>
        <v>16</v>
      </c>
      <c r="G136" s="116" t="s">
        <v>190</v>
      </c>
      <c r="I136" s="100" t="s">
        <v>384</v>
      </c>
      <c r="J136" s="160">
        <f t="shared" si="36"/>
        <v>9699.2293744333638</v>
      </c>
      <c r="K136" s="73">
        <f>+(K63)-(25*K120/1000)</f>
        <v>10698.25</v>
      </c>
      <c r="O136" s="157">
        <f t="shared" si="34"/>
        <v>9699.2293744333638</v>
      </c>
      <c r="P136" s="158">
        <f t="shared" si="35"/>
        <v>10698.25</v>
      </c>
    </row>
    <row r="137" spans="1:16">
      <c r="A137" s="72" t="s">
        <v>68</v>
      </c>
      <c r="B137" s="46" t="s">
        <v>51</v>
      </c>
      <c r="C137" s="49" t="s">
        <v>300</v>
      </c>
      <c r="D137" s="48" t="s">
        <v>52</v>
      </c>
      <c r="E137" s="45" t="str">
        <f t="shared" si="32"/>
        <v>WR-1017/SWRM17-All</v>
      </c>
      <c r="F137" s="46">
        <f t="shared" si="33"/>
        <v>18</v>
      </c>
      <c r="G137" s="116" t="s">
        <v>191</v>
      </c>
      <c r="I137" s="100" t="s">
        <v>385</v>
      </c>
      <c r="J137" s="160">
        <f t="shared" si="36"/>
        <v>9699.2293744333638</v>
      </c>
      <c r="K137" s="73">
        <f>+(K64)-(25*K120/1000)</f>
        <v>10698.25</v>
      </c>
      <c r="O137" s="157">
        <f t="shared" si="34"/>
        <v>9699.2293744333638</v>
      </c>
      <c r="P137" s="158">
        <f t="shared" si="35"/>
        <v>10698.25</v>
      </c>
    </row>
    <row r="138" spans="1:16">
      <c r="A138" s="72" t="s">
        <v>69</v>
      </c>
      <c r="B138" s="46" t="s">
        <v>51</v>
      </c>
      <c r="C138" s="49">
        <v>1018</v>
      </c>
      <c r="D138" s="48" t="s">
        <v>52</v>
      </c>
      <c r="E138" s="45" t="str">
        <f t="shared" si="32"/>
        <v>WR-1018-All</v>
      </c>
      <c r="F138" s="46">
        <f t="shared" si="33"/>
        <v>11</v>
      </c>
      <c r="G138" s="116" t="s">
        <v>192</v>
      </c>
      <c r="I138" s="100" t="str">
        <f>+I137</f>
        <v>Base2+25-$25</v>
      </c>
      <c r="J138" s="160">
        <f t="shared" si="36"/>
        <v>9517.9057116953772</v>
      </c>
      <c r="K138" s="73">
        <f>+(K65)-(25*K120/1000)</f>
        <v>10498.25</v>
      </c>
      <c r="O138" s="157">
        <f t="shared" si="34"/>
        <v>9517.9057116953772</v>
      </c>
      <c r="P138" s="158">
        <f t="shared" si="35"/>
        <v>10498.25</v>
      </c>
    </row>
    <row r="139" spans="1:16">
      <c r="A139" s="72" t="s">
        <v>70</v>
      </c>
      <c r="B139" s="75" t="s">
        <v>51</v>
      </c>
      <c r="C139" s="76" t="s">
        <v>302</v>
      </c>
      <c r="D139" s="77">
        <v>5.0999999999999996</v>
      </c>
      <c r="E139" s="78" t="str">
        <f t="shared" si="32"/>
        <v>WR-1010/12/15-5.1</v>
      </c>
      <c r="F139" s="46">
        <f t="shared" si="33"/>
        <v>17</v>
      </c>
      <c r="G139" s="116" t="s">
        <v>193</v>
      </c>
      <c r="I139" s="100" t="s">
        <v>386</v>
      </c>
      <c r="J139" s="160">
        <f t="shared" si="36"/>
        <v>9517.9057116953772</v>
      </c>
      <c r="K139" s="73">
        <f>+K66-(25*K120/1000)</f>
        <v>10498.25</v>
      </c>
      <c r="O139" s="157">
        <f t="shared" si="34"/>
        <v>9517.9057116953772</v>
      </c>
      <c r="P139" s="158">
        <f t="shared" si="35"/>
        <v>10498.25</v>
      </c>
    </row>
    <row r="140" spans="1:16">
      <c r="A140" s="72" t="s">
        <v>71</v>
      </c>
      <c r="B140" s="75" t="s">
        <v>51</v>
      </c>
      <c r="C140" s="76" t="s">
        <v>302</v>
      </c>
      <c r="D140" s="77">
        <v>5.5</v>
      </c>
      <c r="E140" s="78" t="str">
        <f t="shared" si="32"/>
        <v>WR-1010/12/15-5.5</v>
      </c>
      <c r="F140" s="46">
        <f>LEN(E140)</f>
        <v>17</v>
      </c>
      <c r="G140" s="116" t="s">
        <v>194</v>
      </c>
      <c r="I140" s="100" t="s">
        <v>387</v>
      </c>
      <c r="J140" s="160">
        <f t="shared" si="36"/>
        <v>9517.9057116953772</v>
      </c>
      <c r="K140" s="73">
        <f>+K67-(25*K120/1000)</f>
        <v>10498.25</v>
      </c>
      <c r="O140" s="157">
        <f t="shared" si="34"/>
        <v>9517.9057116953772</v>
      </c>
      <c r="P140" s="158">
        <f t="shared" si="35"/>
        <v>10498.25</v>
      </c>
    </row>
    <row r="141" spans="1:16">
      <c r="A141" s="72" t="s">
        <v>72</v>
      </c>
      <c r="B141" s="75" t="s">
        <v>51</v>
      </c>
      <c r="C141" s="76" t="s">
        <v>302</v>
      </c>
      <c r="D141" s="77">
        <v>5.4</v>
      </c>
      <c r="E141" s="78" t="str">
        <f t="shared" si="32"/>
        <v>WR-1010/12/15-5.4</v>
      </c>
      <c r="F141" s="46">
        <f t="shared" si="33"/>
        <v>17</v>
      </c>
      <c r="G141" s="116" t="s">
        <v>195</v>
      </c>
      <c r="I141" s="100" t="str">
        <f>+I140</f>
        <v>Base3-$25</v>
      </c>
      <c r="J141" s="160">
        <f t="shared" si="36"/>
        <v>9517.9057116953772</v>
      </c>
      <c r="K141" s="73">
        <f>+K68-(25*K120/1000)</f>
        <v>10498.25</v>
      </c>
      <c r="O141" s="157">
        <f t="shared" si="34"/>
        <v>9517.9057116953772</v>
      </c>
      <c r="P141" s="158">
        <f t="shared" si="35"/>
        <v>10498.25</v>
      </c>
    </row>
    <row r="142" spans="1:16">
      <c r="A142" s="72" t="s">
        <v>73</v>
      </c>
      <c r="B142" s="75" t="s">
        <v>51</v>
      </c>
      <c r="C142" s="76" t="s">
        <v>302</v>
      </c>
      <c r="D142" s="77">
        <v>5.65</v>
      </c>
      <c r="E142" s="78" t="str">
        <f t="shared" si="32"/>
        <v>WR-1010/12/15-5.65</v>
      </c>
      <c r="F142" s="46">
        <f t="shared" si="33"/>
        <v>18</v>
      </c>
      <c r="G142" s="116" t="s">
        <v>196</v>
      </c>
      <c r="I142" s="100" t="str">
        <f>+I141</f>
        <v>Base3-$25</v>
      </c>
      <c r="J142" s="160">
        <f t="shared" si="36"/>
        <v>9517.9057116953772</v>
      </c>
      <c r="K142" s="73">
        <f>+K69-(25*K120/1000)</f>
        <v>10498.25</v>
      </c>
      <c r="O142" s="157">
        <f t="shared" si="34"/>
        <v>9517.9057116953772</v>
      </c>
      <c r="P142" s="158">
        <f t="shared" si="35"/>
        <v>10498.25</v>
      </c>
    </row>
    <row r="143" spans="1:16">
      <c r="A143" s="72" t="s">
        <v>74</v>
      </c>
      <c r="B143" s="75" t="s">
        <v>51</v>
      </c>
      <c r="C143" s="76" t="s">
        <v>304</v>
      </c>
      <c r="D143" s="77" t="s">
        <v>305</v>
      </c>
      <c r="E143" s="78" t="str">
        <f t="shared" si="32"/>
        <v>WR-1010/2/5-5.8-6.2</v>
      </c>
      <c r="F143" s="46">
        <f t="shared" si="33"/>
        <v>19</v>
      </c>
      <c r="G143" s="116" t="s">
        <v>197</v>
      </c>
      <c r="I143" s="100" t="s">
        <v>388</v>
      </c>
      <c r="J143" s="160">
        <f t="shared" si="36"/>
        <v>9517.9057116953772</v>
      </c>
      <c r="K143" s="73">
        <f>+K70-(25*K120/1000)</f>
        <v>10498.25</v>
      </c>
      <c r="O143" s="157">
        <f t="shared" si="34"/>
        <v>9517.9057116953772</v>
      </c>
      <c r="P143" s="158">
        <f t="shared" si="35"/>
        <v>10498.25</v>
      </c>
    </row>
    <row r="144" spans="1:16">
      <c r="A144" s="72" t="s">
        <v>75</v>
      </c>
      <c r="B144" s="75" t="s">
        <v>51</v>
      </c>
      <c r="C144" s="76" t="s">
        <v>304</v>
      </c>
      <c r="D144" s="77" t="s">
        <v>306</v>
      </c>
      <c r="E144" s="78" t="str">
        <f t="shared" si="32"/>
        <v>WR-1010/2/5-6.4-7.2</v>
      </c>
      <c r="F144" s="46">
        <f t="shared" si="33"/>
        <v>19</v>
      </c>
      <c r="G144" s="116" t="s">
        <v>198</v>
      </c>
      <c r="I144" s="100" t="s">
        <v>389</v>
      </c>
      <c r="J144" s="160">
        <f t="shared" si="36"/>
        <v>9517.9057116953772</v>
      </c>
      <c r="K144" s="73">
        <f>+K71-(25*K120/1000)</f>
        <v>10498.25</v>
      </c>
      <c r="O144" s="157">
        <f t="shared" si="34"/>
        <v>9517.9057116953772</v>
      </c>
      <c r="P144" s="158">
        <f t="shared" si="35"/>
        <v>10498.25</v>
      </c>
    </row>
    <row r="145" spans="1:16">
      <c r="A145" s="72" t="s">
        <v>76</v>
      </c>
      <c r="B145" s="75" t="s">
        <v>51</v>
      </c>
      <c r="C145" s="76" t="s">
        <v>304</v>
      </c>
      <c r="D145" s="77" t="s">
        <v>307</v>
      </c>
      <c r="E145" s="78" t="str">
        <f t="shared" si="32"/>
        <v>WR-1010/2/5-7.4 - 17</v>
      </c>
      <c r="F145" s="46">
        <f t="shared" si="33"/>
        <v>20</v>
      </c>
      <c r="G145" s="116" t="s">
        <v>199</v>
      </c>
      <c r="I145" s="100" t="s">
        <v>390</v>
      </c>
      <c r="J145" s="160">
        <f t="shared" si="36"/>
        <v>9517.9057116953772</v>
      </c>
      <c r="K145" s="73">
        <f>+K72-(25*K120/1000)</f>
        <v>10498.25</v>
      </c>
      <c r="O145" s="157">
        <f t="shared" si="34"/>
        <v>9517.9057116953772</v>
      </c>
      <c r="P145" s="158">
        <f t="shared" si="35"/>
        <v>10498.25</v>
      </c>
    </row>
    <row r="146" spans="1:16">
      <c r="A146" s="72" t="s">
        <v>77</v>
      </c>
      <c r="B146" s="75" t="s">
        <v>51</v>
      </c>
      <c r="C146" s="76" t="s">
        <v>308</v>
      </c>
      <c r="D146" s="77" t="s">
        <v>299</v>
      </c>
      <c r="E146" s="78" t="str">
        <f t="shared" si="32"/>
        <v>WR-1012 All-all</v>
      </c>
      <c r="F146" s="46">
        <f t="shared" si="33"/>
        <v>15</v>
      </c>
      <c r="G146" s="116" t="s">
        <v>200</v>
      </c>
      <c r="I146" s="100" t="str">
        <f>+I141</f>
        <v>Base3-$25</v>
      </c>
      <c r="J146" s="160">
        <f t="shared" si="36"/>
        <v>9517.9057116953772</v>
      </c>
      <c r="K146" s="73">
        <f>+K73-(25*K120/1000)</f>
        <v>10498.25</v>
      </c>
      <c r="O146" s="157">
        <f t="shared" si="34"/>
        <v>9517.9057116953772</v>
      </c>
      <c r="P146" s="158">
        <f t="shared" si="35"/>
        <v>10498.25</v>
      </c>
    </row>
    <row r="147" spans="1:16">
      <c r="A147" s="72" t="s">
        <v>90</v>
      </c>
      <c r="B147" s="46" t="s">
        <v>51</v>
      </c>
      <c r="C147" s="49" t="s">
        <v>319</v>
      </c>
      <c r="D147" s="48" t="s">
        <v>320</v>
      </c>
      <c r="E147" s="45" t="str">
        <f t="shared" si="32"/>
        <v>WR-SWRY-11-ALL</v>
      </c>
      <c r="F147" s="46">
        <f t="shared" si="33"/>
        <v>14</v>
      </c>
      <c r="G147" s="116" t="s">
        <v>213</v>
      </c>
      <c r="I147" s="100" t="s">
        <v>391</v>
      </c>
      <c r="J147" s="160">
        <f t="shared" si="36"/>
        <v>10243.200362647325</v>
      </c>
      <c r="K147" s="73">
        <f>+K86-25/1000*K120</f>
        <v>11298.25</v>
      </c>
      <c r="O147" s="157">
        <f t="shared" si="34"/>
        <v>10243.200362647325</v>
      </c>
      <c r="P147" s="158">
        <f t="shared" si="35"/>
        <v>11298.25</v>
      </c>
    </row>
    <row r="148" spans="1:16">
      <c r="A148" s="72"/>
      <c r="B148" s="46"/>
      <c r="C148" s="47"/>
      <c r="D148" s="48"/>
      <c r="E148" s="45"/>
      <c r="F148" s="46"/>
      <c r="G148" s="116"/>
      <c r="I148" s="100"/>
      <c r="J148" s="160"/>
      <c r="K148" s="73"/>
      <c r="O148" s="157"/>
      <c r="P148" s="158"/>
    </row>
    <row r="149" spans="1:16">
      <c r="A149" s="231" t="s">
        <v>466</v>
      </c>
      <c r="B149" s="129"/>
      <c r="C149" s="130"/>
      <c r="D149" s="229"/>
      <c r="E149" s="131"/>
      <c r="F149" s="129"/>
      <c r="G149" s="116"/>
      <c r="I149" s="170"/>
      <c r="J149" s="164"/>
      <c r="K149" s="230"/>
      <c r="O149" s="157"/>
      <c r="P149" s="158"/>
    </row>
    <row r="150" spans="1:16" s="211" customFormat="1">
      <c r="A150" s="237" t="s">
        <v>467</v>
      </c>
      <c r="B150" s="206" t="s">
        <v>51</v>
      </c>
      <c r="C150" s="228" t="s">
        <v>55</v>
      </c>
      <c r="D150" s="208">
        <v>5.0999999999999996</v>
      </c>
      <c r="E150" s="209" t="str">
        <f t="shared" ref="E150:E158" si="37">CONCATENATE(B150,"-",C150,"-",D150)</f>
        <v>WR-1012B-5.1</v>
      </c>
      <c r="F150" s="206">
        <f>LEN(E150)</f>
        <v>12</v>
      </c>
      <c r="G150" s="210" t="s">
        <v>443</v>
      </c>
      <c r="I150" s="224" t="s">
        <v>487</v>
      </c>
      <c r="J150" s="222">
        <f>+K150/1.103</f>
        <v>9882.1396192203083</v>
      </c>
      <c r="K150" s="213">
        <f>+K152+25+25</f>
        <v>10900</v>
      </c>
      <c r="O150" s="226">
        <f t="shared" si="34"/>
        <v>9882.1396192203083</v>
      </c>
      <c r="P150" s="227">
        <f t="shared" si="35"/>
        <v>10900</v>
      </c>
    </row>
    <row r="151" spans="1:16" s="211" customFormat="1">
      <c r="A151" s="238" t="s">
        <v>468</v>
      </c>
      <c r="B151" s="219" t="s">
        <v>51</v>
      </c>
      <c r="C151" s="216" t="s">
        <v>55</v>
      </c>
      <c r="D151" s="217">
        <v>5.5</v>
      </c>
      <c r="E151" s="218" t="str">
        <f t="shared" si="37"/>
        <v>WR-1012B-5.5</v>
      </c>
      <c r="F151" s="219">
        <f t="shared" ref="F151:F158" si="38">LEN(E151)</f>
        <v>12</v>
      </c>
      <c r="G151" s="220" t="s">
        <v>180</v>
      </c>
      <c r="I151" s="224" t="s">
        <v>291</v>
      </c>
      <c r="J151" s="222">
        <f t="shared" ref="J151:J158" si="39">+K151/1.103</f>
        <v>9836.8087035358112</v>
      </c>
      <c r="K151" s="223">
        <f>+K152</f>
        <v>10850</v>
      </c>
      <c r="O151" s="226">
        <f t="shared" si="34"/>
        <v>9836.8087035358112</v>
      </c>
      <c r="P151" s="227">
        <f t="shared" si="35"/>
        <v>10850</v>
      </c>
    </row>
    <row r="152" spans="1:16" s="211" customFormat="1">
      <c r="A152" s="238" t="s">
        <v>469</v>
      </c>
      <c r="B152" s="219" t="s">
        <v>51</v>
      </c>
      <c r="C152" s="216" t="s">
        <v>55</v>
      </c>
      <c r="D152" s="217">
        <v>5.4</v>
      </c>
      <c r="E152" s="218" t="str">
        <f t="shared" si="37"/>
        <v>WR-1012B-5.4</v>
      </c>
      <c r="F152" s="219">
        <f t="shared" si="38"/>
        <v>12</v>
      </c>
      <c r="G152" s="220" t="s">
        <v>181</v>
      </c>
      <c r="I152" s="224" t="s">
        <v>291</v>
      </c>
      <c r="J152" s="222">
        <f t="shared" si="39"/>
        <v>9836.8087035358112</v>
      </c>
      <c r="K152" s="174">
        <f>+K25</f>
        <v>10850</v>
      </c>
      <c r="O152" s="226">
        <f t="shared" si="34"/>
        <v>9836.8087035358112</v>
      </c>
      <c r="P152" s="227">
        <f t="shared" si="35"/>
        <v>10850</v>
      </c>
    </row>
    <row r="153" spans="1:16" s="211" customFormat="1">
      <c r="A153" s="238" t="s">
        <v>471</v>
      </c>
      <c r="B153" s="219" t="s">
        <v>51</v>
      </c>
      <c r="C153" s="216" t="s">
        <v>55</v>
      </c>
      <c r="D153" s="217" t="s">
        <v>294</v>
      </c>
      <c r="E153" s="218" t="str">
        <f t="shared" si="37"/>
        <v>WR-1012B-5.65-5.8</v>
      </c>
      <c r="F153" s="219">
        <f t="shared" si="38"/>
        <v>17</v>
      </c>
      <c r="G153" s="210" t="s">
        <v>470</v>
      </c>
      <c r="I153" s="224" t="s">
        <v>441</v>
      </c>
      <c r="J153" s="222">
        <f t="shared" si="39"/>
        <v>9836.8087035358112</v>
      </c>
      <c r="K153" s="223">
        <f>+K152</f>
        <v>10850</v>
      </c>
      <c r="O153" s="226">
        <f t="shared" si="34"/>
        <v>9836.8087035358112</v>
      </c>
      <c r="P153" s="227">
        <f t="shared" si="35"/>
        <v>10850</v>
      </c>
    </row>
    <row r="154" spans="1:16" s="211" customFormat="1">
      <c r="A154" s="238" t="s">
        <v>472</v>
      </c>
      <c r="B154" s="219" t="s">
        <v>51</v>
      </c>
      <c r="C154" s="216" t="s">
        <v>55</v>
      </c>
      <c r="D154" s="225" t="s">
        <v>460</v>
      </c>
      <c r="E154" s="218" t="str">
        <f t="shared" si="37"/>
        <v>WR-1012B-6.0-6.8</v>
      </c>
      <c r="F154" s="219">
        <f t="shared" si="38"/>
        <v>16</v>
      </c>
      <c r="G154" s="210" t="s">
        <v>461</v>
      </c>
      <c r="I154" s="224" t="s">
        <v>293</v>
      </c>
      <c r="J154" s="222">
        <f t="shared" si="39"/>
        <v>9814.1432456935636</v>
      </c>
      <c r="K154" s="223">
        <f>+K152-25</f>
        <v>10825</v>
      </c>
      <c r="O154" s="226">
        <f t="shared" si="34"/>
        <v>9814.1432456935636</v>
      </c>
      <c r="P154" s="227">
        <f t="shared" si="35"/>
        <v>10825</v>
      </c>
    </row>
    <row r="155" spans="1:16" s="211" customFormat="1">
      <c r="A155" s="238" t="s">
        <v>473</v>
      </c>
      <c r="B155" s="219" t="s">
        <v>51</v>
      </c>
      <c r="C155" s="216" t="s">
        <v>55</v>
      </c>
      <c r="D155" s="217" t="s">
        <v>295</v>
      </c>
      <c r="E155" s="218" t="str">
        <f t="shared" si="37"/>
        <v>WR-1012B-7.2 - 17</v>
      </c>
      <c r="F155" s="219">
        <f t="shared" si="38"/>
        <v>17</v>
      </c>
      <c r="G155" s="220" t="s">
        <v>182</v>
      </c>
      <c r="I155" s="224" t="s">
        <v>442</v>
      </c>
      <c r="J155" s="222">
        <f t="shared" si="39"/>
        <v>9791.4777878513141</v>
      </c>
      <c r="K155" s="223">
        <f>+K152-50</f>
        <v>10800</v>
      </c>
      <c r="O155" s="226">
        <f t="shared" si="34"/>
        <v>9791.4777878513141</v>
      </c>
      <c r="P155" s="227">
        <f t="shared" si="35"/>
        <v>10800</v>
      </c>
    </row>
    <row r="156" spans="1:16" s="211" customFormat="1">
      <c r="A156" s="238" t="s">
        <v>474</v>
      </c>
      <c r="B156" s="219" t="s">
        <v>51</v>
      </c>
      <c r="C156" s="216" t="s">
        <v>55</v>
      </c>
      <c r="D156" s="217">
        <v>4.9000000000000004</v>
      </c>
      <c r="E156" s="218" t="str">
        <f t="shared" si="37"/>
        <v>WR-1012B-4.9</v>
      </c>
      <c r="F156" s="219">
        <f t="shared" si="38"/>
        <v>12</v>
      </c>
      <c r="G156" s="220" t="s">
        <v>183</v>
      </c>
      <c r="I156" s="224" t="s">
        <v>458</v>
      </c>
      <c r="J156" s="222">
        <f t="shared" si="39"/>
        <v>9904.8050770625559</v>
      </c>
      <c r="K156" s="223">
        <f>+K152+75-50+25+25</f>
        <v>10925</v>
      </c>
      <c r="O156" s="226">
        <f t="shared" si="34"/>
        <v>9904.8050770625559</v>
      </c>
      <c r="P156" s="227">
        <f t="shared" si="35"/>
        <v>10925</v>
      </c>
    </row>
    <row r="157" spans="1:16" s="211" customFormat="1">
      <c r="A157" s="238" t="s">
        <v>475</v>
      </c>
      <c r="B157" s="219" t="s">
        <v>51</v>
      </c>
      <c r="C157" s="216" t="s">
        <v>55</v>
      </c>
      <c r="D157" s="217">
        <v>4.7</v>
      </c>
      <c r="E157" s="218" t="str">
        <f t="shared" si="37"/>
        <v>WR-1012B-4.7</v>
      </c>
      <c r="F157" s="219">
        <f t="shared" si="38"/>
        <v>12</v>
      </c>
      <c r="G157" s="220" t="s">
        <v>184</v>
      </c>
      <c r="I157" s="224" t="s">
        <v>459</v>
      </c>
      <c r="J157" s="222">
        <f t="shared" si="39"/>
        <v>9972.8014505893025</v>
      </c>
      <c r="K157" s="223">
        <f>+K152+150-50+25+25</f>
        <v>11000</v>
      </c>
      <c r="O157" s="226">
        <f t="shared" si="34"/>
        <v>9972.8014505893025</v>
      </c>
      <c r="P157" s="227">
        <f t="shared" si="35"/>
        <v>11000</v>
      </c>
    </row>
    <row r="158" spans="1:16" s="211" customFormat="1">
      <c r="A158" s="236" t="s">
        <v>476</v>
      </c>
      <c r="B158" s="206" t="s">
        <v>51</v>
      </c>
      <c r="C158" s="207" t="s">
        <v>55</v>
      </c>
      <c r="D158" s="208">
        <v>7</v>
      </c>
      <c r="E158" s="209" t="str">
        <f t="shared" si="37"/>
        <v>WR-1012B-7</v>
      </c>
      <c r="F158" s="206">
        <f t="shared" si="38"/>
        <v>10</v>
      </c>
      <c r="G158" s="210" t="s">
        <v>462</v>
      </c>
      <c r="I158" s="249" t="s">
        <v>442</v>
      </c>
      <c r="J158" s="212">
        <f t="shared" si="39"/>
        <v>9791.4777878513141</v>
      </c>
      <c r="K158" s="213">
        <f>+K152-50</f>
        <v>10800</v>
      </c>
      <c r="O158" s="226">
        <f t="shared" si="34"/>
        <v>9791.4777878513141</v>
      </c>
      <c r="P158" s="227">
        <f t="shared" si="35"/>
        <v>10800</v>
      </c>
    </row>
    <row r="159" spans="1:16" s="147" customFormat="1">
      <c r="A159" s="153" t="s">
        <v>478</v>
      </c>
      <c r="B159" s="143" t="s">
        <v>51</v>
      </c>
      <c r="C159" s="144" t="s">
        <v>55</v>
      </c>
      <c r="D159" s="156">
        <v>4.2</v>
      </c>
      <c r="E159" s="145" t="s">
        <v>421</v>
      </c>
      <c r="F159" s="143"/>
      <c r="G159" s="155" t="s">
        <v>421</v>
      </c>
      <c r="I159" s="171" t="s">
        <v>439</v>
      </c>
      <c r="J159" s="160">
        <f t="shared" ref="J159:J160" si="40">+K159/1.103</f>
        <v>10199.456029011786</v>
      </c>
      <c r="K159" s="101">
        <f>+K152+400-50+25+25</f>
        <v>11250</v>
      </c>
      <c r="O159" s="157">
        <f t="shared" si="34"/>
        <v>10199.456029011786</v>
      </c>
      <c r="P159" s="158">
        <f t="shared" si="34"/>
        <v>11250</v>
      </c>
    </row>
    <row r="160" spans="1:16" s="147" customFormat="1">
      <c r="A160" s="153" t="s">
        <v>479</v>
      </c>
      <c r="B160" s="143" t="s">
        <v>51</v>
      </c>
      <c r="C160" s="144" t="s">
        <v>55</v>
      </c>
      <c r="D160" s="154">
        <v>4.5</v>
      </c>
      <c r="E160" s="145" t="s">
        <v>424</v>
      </c>
      <c r="F160" s="143"/>
      <c r="G160" s="155" t="s">
        <v>424</v>
      </c>
      <c r="I160" s="171" t="s">
        <v>440</v>
      </c>
      <c r="J160" s="160">
        <f t="shared" si="40"/>
        <v>10108.794197642792</v>
      </c>
      <c r="K160" s="101">
        <f>+K152+300-50+25+25</f>
        <v>11150</v>
      </c>
      <c r="O160" s="157">
        <f t="shared" ref="O160:P160" si="41">+J160-M160</f>
        <v>10108.794197642792</v>
      </c>
      <c r="P160" s="158">
        <f t="shared" si="41"/>
        <v>11150</v>
      </c>
    </row>
  </sheetData>
  <conditionalFormatting sqref="F4:F158">
    <cfRule type="cellIs" dxfId="65" priority="43" stopIfTrue="1" operator="lessThanOrEqual">
      <formula>20</formula>
    </cfRule>
    <cfRule type="cellIs" dxfId="64" priority="44" stopIfTrue="1" operator="greaterThan">
      <formula>20</formula>
    </cfRule>
  </conditionalFormatting>
  <conditionalFormatting sqref="F158">
    <cfRule type="cellIs" dxfId="63" priority="27" stopIfTrue="1" operator="lessThanOrEqual">
      <formula>20</formula>
    </cfRule>
    <cfRule type="cellIs" dxfId="62" priority="28" stopIfTrue="1" operator="greaterThan">
      <formula>20</formula>
    </cfRule>
  </conditionalFormatting>
  <conditionalFormatting sqref="F158">
    <cfRule type="cellIs" dxfId="61" priority="25" stopIfTrue="1" operator="lessThanOrEqual">
      <formula>20</formula>
    </cfRule>
    <cfRule type="cellIs" dxfId="60" priority="26" stopIfTrue="1" operator="greaterThan">
      <formula>20</formula>
    </cfRule>
  </conditionalFormatting>
  <conditionalFormatting sqref="F159:F160">
    <cfRule type="cellIs" dxfId="59" priority="23" stopIfTrue="1" operator="lessThanOrEqual">
      <formula>20</formula>
    </cfRule>
    <cfRule type="cellIs" dxfId="58" priority="24" stopIfTrue="1" operator="greaterThan">
      <formula>20</formula>
    </cfRule>
  </conditionalFormatting>
  <conditionalFormatting sqref="F159:F160">
    <cfRule type="cellIs" dxfId="57" priority="21" stopIfTrue="1" operator="lessThanOrEqual">
      <formula>20</formula>
    </cfRule>
    <cfRule type="cellIs" dxfId="56" priority="22" stopIfTrue="1" operator="greaterThan">
      <formula>20</formula>
    </cfRule>
  </conditionalFormatting>
  <conditionalFormatting sqref="F159:F160">
    <cfRule type="cellIs" dxfId="55" priority="19" stopIfTrue="1" operator="lessThanOrEqual">
      <formula>20</formula>
    </cfRule>
    <cfRule type="cellIs" dxfId="54" priority="20" stopIfTrue="1" operator="greaterThan">
      <formula>20</formula>
    </cfRule>
  </conditionalFormatting>
  <conditionalFormatting sqref="F99:F100">
    <cfRule type="cellIs" dxfId="53" priority="17" stopIfTrue="1" operator="lessThanOrEqual">
      <formula>20</formula>
    </cfRule>
    <cfRule type="cellIs" dxfId="52" priority="18" stopIfTrue="1" operator="greaterThan">
      <formula>20</formula>
    </cfRule>
  </conditionalFormatting>
  <conditionalFormatting sqref="F99:F100">
    <cfRule type="cellIs" dxfId="51" priority="15" stopIfTrue="1" operator="lessThanOrEqual">
      <formula>20</formula>
    </cfRule>
    <cfRule type="cellIs" dxfId="50" priority="16" stopIfTrue="1" operator="greaterThan">
      <formula>20</formula>
    </cfRule>
  </conditionalFormatting>
  <conditionalFormatting sqref="F99:F100">
    <cfRule type="cellIs" dxfId="49" priority="13" stopIfTrue="1" operator="lessThanOrEqual">
      <formula>20</formula>
    </cfRule>
    <cfRule type="cellIs" dxfId="48" priority="14" stopIfTrue="1" operator="greaterThan">
      <formula>20</formula>
    </cfRule>
  </conditionalFormatting>
  <conditionalFormatting sqref="F100">
    <cfRule type="cellIs" dxfId="47" priority="11" stopIfTrue="1" operator="lessThanOrEqual">
      <formula>20</formula>
    </cfRule>
    <cfRule type="cellIs" dxfId="46" priority="12" stopIfTrue="1" operator="greaterThan">
      <formula>20</formula>
    </cfRule>
  </conditionalFormatting>
  <conditionalFormatting sqref="F100">
    <cfRule type="cellIs" dxfId="45" priority="9" stopIfTrue="1" operator="lessThanOrEqual">
      <formula>20</formula>
    </cfRule>
    <cfRule type="cellIs" dxfId="44" priority="10" stopIfTrue="1" operator="greaterThan">
      <formula>20</formula>
    </cfRule>
  </conditionalFormatting>
  <conditionalFormatting sqref="F100">
    <cfRule type="cellIs" dxfId="43" priority="7" stopIfTrue="1" operator="lessThanOrEqual">
      <formula>20</formula>
    </cfRule>
    <cfRule type="cellIs" dxfId="42" priority="8" stopIfTrue="1" operator="greaterThan">
      <formula>20</formula>
    </cfRule>
  </conditionalFormatting>
  <conditionalFormatting sqref="F100">
    <cfRule type="cellIs" dxfId="41" priority="5" stopIfTrue="1" operator="lessThanOrEqual">
      <formula>20</formula>
    </cfRule>
    <cfRule type="cellIs" dxfId="40" priority="6" stopIfTrue="1" operator="greaterThan">
      <formula>20</formula>
    </cfRule>
  </conditionalFormatting>
  <conditionalFormatting sqref="F100">
    <cfRule type="cellIs" dxfId="39" priority="3" stopIfTrue="1" operator="lessThanOrEqual">
      <formula>20</formula>
    </cfRule>
    <cfRule type="cellIs" dxfId="38" priority="4" stopIfTrue="1" operator="greaterThan">
      <formula>20</formula>
    </cfRule>
  </conditionalFormatting>
  <conditionalFormatting sqref="F100">
    <cfRule type="cellIs" dxfId="37" priority="1" stopIfTrue="1" operator="lessThanOrEqual">
      <formula>20</formula>
    </cfRule>
    <cfRule type="cellIs" dxfId="36" priority="2" stopIfTrue="1" operator="greaterThan">
      <formula>20</formula>
    </cfRule>
  </conditionalFormatting>
  <pageMargins left="0.5" right="0.25" top="0.5" bottom="0.25" header="0.5" footer="0.5"/>
  <pageSetup scale="70" fitToWidth="2" fitToHeight="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P160"/>
  <sheetViews>
    <sheetView view="pageBreakPreview" zoomScaleSheetLayoutView="100" workbookViewId="0">
      <pane xSplit="1" topLeftCell="G1" activePane="topRight" state="frozen"/>
      <selection activeCell="J78" sqref="J78"/>
      <selection pane="topRight" activeCell="J78" sqref="J78"/>
    </sheetView>
  </sheetViews>
  <sheetFormatPr defaultColWidth="9.140625" defaultRowHeight="12.75"/>
  <cols>
    <col min="1" max="1" width="10.42578125" style="54" customWidth="1"/>
    <col min="2" max="2" width="7.7109375" style="54" customWidth="1"/>
    <col min="3" max="3" width="15.7109375" style="54" customWidth="1"/>
    <col min="4" max="4" width="9.85546875" style="54" customWidth="1"/>
    <col min="5" max="5" width="24.7109375" style="54" customWidth="1"/>
    <col min="6" max="6" width="7.85546875" style="54" customWidth="1"/>
    <col min="7" max="7" width="22.7109375" style="117" bestFit="1" customWidth="1"/>
    <col min="8" max="8" width="3.5703125" style="54" customWidth="1"/>
    <col min="9" max="9" width="16" style="90" customWidth="1"/>
    <col min="10" max="10" width="12" style="118" customWidth="1"/>
    <col min="11" max="11" width="12" style="91" customWidth="1"/>
    <col min="12" max="16384" width="9.140625" style="54"/>
  </cols>
  <sheetData>
    <row r="1" spans="1:16" ht="20.25" customHeight="1">
      <c r="J1" s="118">
        <f>+'Material Pricing Group SBY'!J1</f>
        <v>14070</v>
      </c>
    </row>
    <row r="2" spans="1:16" s="71" customFormat="1" ht="39.75" customHeight="1">
      <c r="A2" s="120" t="s">
        <v>45</v>
      </c>
      <c r="B2" s="121" t="s">
        <v>46</v>
      </c>
      <c r="C2" s="122" t="s">
        <v>47</v>
      </c>
      <c r="D2" s="123" t="s">
        <v>48</v>
      </c>
      <c r="E2" s="124" t="s">
        <v>49</v>
      </c>
      <c r="F2" s="125" t="s">
        <v>19</v>
      </c>
      <c r="G2" s="115" t="s">
        <v>289</v>
      </c>
      <c r="I2" s="126" t="s">
        <v>290</v>
      </c>
      <c r="J2" s="127" t="s">
        <v>419</v>
      </c>
      <c r="K2" s="128" t="s">
        <v>419</v>
      </c>
    </row>
    <row r="3" spans="1:16" s="71" customFormat="1" ht="18" customHeight="1">
      <c r="A3" s="132"/>
      <c r="B3" s="133"/>
      <c r="C3" s="134"/>
      <c r="D3" s="135"/>
      <c r="E3" s="136"/>
      <c r="F3" s="137"/>
      <c r="G3" s="138"/>
      <c r="H3" s="139"/>
      <c r="I3" s="140"/>
      <c r="J3" s="141">
        <f>+J1</f>
        <v>14070</v>
      </c>
      <c r="K3" s="142">
        <f>+J1</f>
        <v>14070</v>
      </c>
    </row>
    <row r="4" spans="1:16">
      <c r="A4" s="72" t="s">
        <v>113</v>
      </c>
      <c r="B4" s="46" t="s">
        <v>342</v>
      </c>
      <c r="C4" s="50" t="s">
        <v>343</v>
      </c>
      <c r="D4" s="48" t="s">
        <v>320</v>
      </c>
      <c r="E4" s="45" t="str">
        <f t="shared" ref="E4:E33" si="0">CONCATENATE(B4,"-",C4,"-",D4)</f>
        <v>Billet-SS400-ALL</v>
      </c>
      <c r="F4" s="46">
        <f t="shared" ref="F4:F33" si="1">LEN(E4)</f>
        <v>16</v>
      </c>
      <c r="G4" s="116" t="s">
        <v>235</v>
      </c>
      <c r="I4" s="100" t="s">
        <v>344</v>
      </c>
      <c r="J4" s="160">
        <f>+K4/1.103</f>
        <v>4687.2166817769721</v>
      </c>
      <c r="K4" s="101">
        <v>5170</v>
      </c>
      <c r="O4" s="157">
        <f>+J4-M4</f>
        <v>4687.2166817769721</v>
      </c>
      <c r="P4" s="158">
        <f>+K4-N4</f>
        <v>5170</v>
      </c>
    </row>
    <row r="5" spans="1:16">
      <c r="A5" s="72" t="s">
        <v>114</v>
      </c>
      <c r="B5" s="46" t="s">
        <v>342</v>
      </c>
      <c r="C5" s="53" t="s">
        <v>345</v>
      </c>
      <c r="D5" s="48" t="s">
        <v>320</v>
      </c>
      <c r="E5" s="45" t="str">
        <f t="shared" si="0"/>
        <v>Billet-U24P/D-ALL</v>
      </c>
      <c r="F5" s="46">
        <f t="shared" si="1"/>
        <v>17</v>
      </c>
      <c r="G5" s="116" t="s">
        <v>236</v>
      </c>
      <c r="I5" s="100" t="str">
        <f>+I4</f>
        <v>Base9</v>
      </c>
      <c r="J5" s="160">
        <f t="shared" ref="J5:J33" si="2">+K5/1.103</f>
        <v>4687.2166817769721</v>
      </c>
      <c r="K5" s="101">
        <f>+K4</f>
        <v>5170</v>
      </c>
      <c r="O5" s="157">
        <f t="shared" ref="O5:O86" si="3">+J5-M5</f>
        <v>4687.2166817769721</v>
      </c>
      <c r="P5" s="158">
        <f t="shared" ref="P5:P86" si="4">+K5-N5</f>
        <v>5170</v>
      </c>
    </row>
    <row r="6" spans="1:16">
      <c r="A6" s="72" t="s">
        <v>115</v>
      </c>
      <c r="B6" s="46" t="s">
        <v>342</v>
      </c>
      <c r="C6" s="50" t="s">
        <v>346</v>
      </c>
      <c r="D6" s="48" t="s">
        <v>320</v>
      </c>
      <c r="E6" s="45" t="str">
        <f t="shared" si="0"/>
        <v>Billet-BJKU-ALL</v>
      </c>
      <c r="F6" s="46">
        <f t="shared" si="1"/>
        <v>15</v>
      </c>
      <c r="G6" s="116" t="s">
        <v>237</v>
      </c>
      <c r="I6" s="100" t="str">
        <f>+I4</f>
        <v>Base9</v>
      </c>
      <c r="J6" s="160">
        <f t="shared" si="2"/>
        <v>4687.2166817769721</v>
      </c>
      <c r="K6" s="101">
        <f>+K5</f>
        <v>5170</v>
      </c>
      <c r="O6" s="157">
        <f t="shared" si="3"/>
        <v>4687.2166817769721</v>
      </c>
      <c r="P6" s="158">
        <f t="shared" si="4"/>
        <v>5170</v>
      </c>
    </row>
    <row r="7" spans="1:16">
      <c r="A7" s="72" t="s">
        <v>116</v>
      </c>
      <c r="B7" s="46" t="s">
        <v>342</v>
      </c>
      <c r="C7" s="53" t="s">
        <v>347</v>
      </c>
      <c r="D7" s="48" t="s">
        <v>320</v>
      </c>
      <c r="E7" s="99" t="str">
        <f t="shared" si="0"/>
        <v>Billet-U40D/P-ALL</v>
      </c>
      <c r="F7" s="46">
        <f t="shared" si="1"/>
        <v>17</v>
      </c>
      <c r="G7" s="116" t="s">
        <v>238</v>
      </c>
      <c r="I7" s="100" t="s">
        <v>348</v>
      </c>
      <c r="J7" s="160">
        <f t="shared" si="2"/>
        <v>4687.2166817769721</v>
      </c>
      <c r="K7" s="101">
        <v>5170</v>
      </c>
      <c r="O7" s="157">
        <f t="shared" si="3"/>
        <v>4687.2166817769721</v>
      </c>
      <c r="P7" s="158">
        <f t="shared" si="4"/>
        <v>5170</v>
      </c>
    </row>
    <row r="8" spans="1:16">
      <c r="A8" s="72" t="s">
        <v>117</v>
      </c>
      <c r="B8" s="46" t="s">
        <v>342</v>
      </c>
      <c r="C8" s="50" t="s">
        <v>349</v>
      </c>
      <c r="D8" s="48" t="s">
        <v>320</v>
      </c>
      <c r="E8" s="99" t="str">
        <f t="shared" si="0"/>
        <v>Billet-GRADE 40-ALL</v>
      </c>
      <c r="F8" s="46">
        <f t="shared" si="1"/>
        <v>19</v>
      </c>
      <c r="G8" s="116" t="s">
        <v>239</v>
      </c>
      <c r="I8" s="100" t="str">
        <f>+I7</f>
        <v>Base10</v>
      </c>
      <c r="J8" s="160">
        <f t="shared" si="2"/>
        <v>4687.2166817769721</v>
      </c>
      <c r="K8" s="101">
        <f>K7</f>
        <v>5170</v>
      </c>
      <c r="O8" s="157">
        <f t="shared" si="3"/>
        <v>4687.2166817769721</v>
      </c>
      <c r="P8" s="158">
        <f t="shared" si="4"/>
        <v>5170</v>
      </c>
    </row>
    <row r="9" spans="1:16">
      <c r="A9" s="72" t="s">
        <v>118</v>
      </c>
      <c r="B9" s="46" t="s">
        <v>342</v>
      </c>
      <c r="C9" s="50" t="s">
        <v>350</v>
      </c>
      <c r="D9" s="48" t="s">
        <v>320</v>
      </c>
      <c r="E9" s="98" t="str">
        <f t="shared" si="0"/>
        <v>Billet-GRADE 60-ALL</v>
      </c>
      <c r="F9" s="46">
        <f t="shared" si="1"/>
        <v>19</v>
      </c>
      <c r="G9" s="116" t="s">
        <v>240</v>
      </c>
      <c r="I9" s="100" t="s">
        <v>353</v>
      </c>
      <c r="J9" s="160">
        <f t="shared" si="2"/>
        <v>4687.2166817769721</v>
      </c>
      <c r="K9" s="101">
        <f>+K7</f>
        <v>5170</v>
      </c>
      <c r="O9" s="157">
        <f t="shared" si="3"/>
        <v>4687.2166817769721</v>
      </c>
      <c r="P9" s="158">
        <f t="shared" si="4"/>
        <v>5170</v>
      </c>
    </row>
    <row r="10" spans="1:16">
      <c r="A10" s="72" t="s">
        <v>119</v>
      </c>
      <c r="B10" s="46" t="s">
        <v>342</v>
      </c>
      <c r="C10" s="50" t="s">
        <v>351</v>
      </c>
      <c r="D10" s="48" t="s">
        <v>320</v>
      </c>
      <c r="E10" s="99" t="str">
        <f t="shared" si="0"/>
        <v>Billet-SD390-ALL</v>
      </c>
      <c r="F10" s="46">
        <f t="shared" si="1"/>
        <v>16</v>
      </c>
      <c r="G10" s="116" t="s">
        <v>241</v>
      </c>
      <c r="I10" s="100" t="str">
        <f>I8</f>
        <v>Base10</v>
      </c>
      <c r="J10" s="160">
        <f t="shared" si="2"/>
        <v>4687.2166817769721</v>
      </c>
      <c r="K10" s="101">
        <f>K9</f>
        <v>5170</v>
      </c>
      <c r="O10" s="157">
        <f t="shared" si="3"/>
        <v>4687.2166817769721</v>
      </c>
      <c r="P10" s="158">
        <f t="shared" si="4"/>
        <v>5170</v>
      </c>
    </row>
    <row r="11" spans="1:16">
      <c r="A11" s="72" t="s">
        <v>120</v>
      </c>
      <c r="B11" s="46" t="s">
        <v>342</v>
      </c>
      <c r="C11" s="50" t="s">
        <v>352</v>
      </c>
      <c r="D11" s="48" t="s">
        <v>320</v>
      </c>
      <c r="E11" s="98" t="str">
        <f t="shared" si="0"/>
        <v>Billet-SS540-ALL</v>
      </c>
      <c r="F11" s="46">
        <f t="shared" si="1"/>
        <v>16</v>
      </c>
      <c r="G11" s="116" t="s">
        <v>242</v>
      </c>
      <c r="I11" s="100" t="str">
        <f>I9</f>
        <v>Base11</v>
      </c>
      <c r="J11" s="160">
        <f t="shared" si="2"/>
        <v>4777.8785131459654</v>
      </c>
      <c r="K11" s="101">
        <f>+K7+100</f>
        <v>5270</v>
      </c>
      <c r="O11" s="157">
        <f t="shared" si="3"/>
        <v>4777.8785131459654</v>
      </c>
      <c r="P11" s="158">
        <f t="shared" si="4"/>
        <v>5270</v>
      </c>
    </row>
    <row r="12" spans="1:16">
      <c r="A12" s="72" t="s">
        <v>121</v>
      </c>
      <c r="B12" s="46" t="s">
        <v>342</v>
      </c>
      <c r="C12" s="50" t="s">
        <v>354</v>
      </c>
      <c r="D12" s="48" t="s">
        <v>320</v>
      </c>
      <c r="E12" s="45" t="str">
        <f t="shared" si="0"/>
        <v>Billet-SD490-ALL</v>
      </c>
      <c r="F12" s="46">
        <f t="shared" si="1"/>
        <v>16</v>
      </c>
      <c r="G12" s="116" t="s">
        <v>243</v>
      </c>
      <c r="I12" s="100" t="str">
        <f>I9</f>
        <v>Base11</v>
      </c>
      <c r="J12" s="160">
        <f t="shared" si="2"/>
        <v>4687.2166817769721</v>
      </c>
      <c r="K12" s="101">
        <f>K9</f>
        <v>5170</v>
      </c>
      <c r="O12" s="157">
        <f t="shared" si="3"/>
        <v>4687.2166817769721</v>
      </c>
      <c r="P12" s="158">
        <f t="shared" si="4"/>
        <v>5170</v>
      </c>
    </row>
    <row r="13" spans="1:16">
      <c r="A13" s="72" t="s">
        <v>122</v>
      </c>
      <c r="B13" s="46" t="s">
        <v>342</v>
      </c>
      <c r="C13" s="50">
        <v>1008</v>
      </c>
      <c r="D13" s="48" t="s">
        <v>320</v>
      </c>
      <c r="E13" s="45" t="str">
        <f t="shared" si="0"/>
        <v>Billet-1008-ALL</v>
      </c>
      <c r="F13" s="46">
        <f t="shared" si="1"/>
        <v>15</v>
      </c>
      <c r="G13" s="116" t="s">
        <v>244</v>
      </c>
      <c r="I13" s="100" t="str">
        <f>I7</f>
        <v>Base10</v>
      </c>
      <c r="J13" s="160">
        <f t="shared" si="2"/>
        <v>4687.2166817769721</v>
      </c>
      <c r="K13" s="101">
        <f>K10</f>
        <v>5170</v>
      </c>
      <c r="O13" s="157">
        <f t="shared" si="3"/>
        <v>4687.2166817769721</v>
      </c>
      <c r="P13" s="158">
        <f t="shared" si="4"/>
        <v>5170</v>
      </c>
    </row>
    <row r="14" spans="1:16">
      <c r="A14" s="72" t="s">
        <v>123</v>
      </c>
      <c r="B14" s="46" t="s">
        <v>342</v>
      </c>
      <c r="C14" s="50" t="s">
        <v>356</v>
      </c>
      <c r="D14" s="48" t="s">
        <v>320</v>
      </c>
      <c r="E14" s="45" t="str">
        <f t="shared" si="0"/>
        <v>Billet-Q195-ALL</v>
      </c>
      <c r="F14" s="46">
        <f t="shared" si="1"/>
        <v>15</v>
      </c>
      <c r="G14" s="116" t="s">
        <v>245</v>
      </c>
      <c r="I14" s="100" t="str">
        <f>+I13</f>
        <v>Base10</v>
      </c>
      <c r="J14" s="160">
        <f t="shared" si="2"/>
        <v>4687.2166817769721</v>
      </c>
      <c r="K14" s="73">
        <f>K7</f>
        <v>5170</v>
      </c>
      <c r="O14" s="157">
        <f t="shared" si="3"/>
        <v>4687.2166817769721</v>
      </c>
      <c r="P14" s="158">
        <f t="shared" si="4"/>
        <v>5170</v>
      </c>
    </row>
    <row r="15" spans="1:16">
      <c r="A15" s="72" t="s">
        <v>124</v>
      </c>
      <c r="B15" s="46" t="s">
        <v>342</v>
      </c>
      <c r="C15" s="84">
        <v>1006</v>
      </c>
      <c r="D15" s="48" t="s">
        <v>320</v>
      </c>
      <c r="E15" s="45" t="str">
        <f t="shared" si="0"/>
        <v>Billet-1006-ALL</v>
      </c>
      <c r="F15" s="46">
        <f t="shared" si="1"/>
        <v>15</v>
      </c>
      <c r="G15" s="116" t="s">
        <v>246</v>
      </c>
      <c r="I15" s="100" t="s">
        <v>398</v>
      </c>
      <c r="J15" s="160">
        <f t="shared" si="2"/>
        <v>4868.5403445149595</v>
      </c>
      <c r="K15" s="73">
        <f>K7+200</f>
        <v>5370</v>
      </c>
      <c r="O15" s="157">
        <f t="shared" si="3"/>
        <v>4868.5403445149595</v>
      </c>
      <c r="P15" s="158">
        <f t="shared" si="4"/>
        <v>5370</v>
      </c>
    </row>
    <row r="16" spans="1:16">
      <c r="A16" s="72" t="s">
        <v>126</v>
      </c>
      <c r="B16" s="46" t="s">
        <v>342</v>
      </c>
      <c r="C16" s="50">
        <v>1010</v>
      </c>
      <c r="D16" s="48" t="s">
        <v>320</v>
      </c>
      <c r="E16" s="45" t="str">
        <f t="shared" si="0"/>
        <v>Billet-1010-ALL</v>
      </c>
      <c r="F16" s="46">
        <f t="shared" si="1"/>
        <v>15</v>
      </c>
      <c r="G16" s="116" t="s">
        <v>247</v>
      </c>
      <c r="I16" s="100" t="str">
        <f>I7</f>
        <v>Base10</v>
      </c>
      <c r="J16" s="160">
        <f t="shared" si="2"/>
        <v>4687.2166817769721</v>
      </c>
      <c r="K16" s="101">
        <f>K7</f>
        <v>5170</v>
      </c>
      <c r="O16" s="157">
        <f t="shared" si="3"/>
        <v>4687.2166817769721</v>
      </c>
      <c r="P16" s="158">
        <f t="shared" si="4"/>
        <v>5170</v>
      </c>
    </row>
    <row r="17" spans="1:16">
      <c r="A17" s="72" t="s">
        <v>128</v>
      </c>
      <c r="B17" s="46" t="s">
        <v>342</v>
      </c>
      <c r="C17" s="50">
        <v>1012</v>
      </c>
      <c r="D17" s="48" t="s">
        <v>320</v>
      </c>
      <c r="E17" s="45" t="str">
        <f t="shared" si="0"/>
        <v>Billet-1012-ALL</v>
      </c>
      <c r="F17" s="46">
        <f t="shared" si="1"/>
        <v>15</v>
      </c>
      <c r="G17" s="116" t="s">
        <v>248</v>
      </c>
      <c r="I17" s="100" t="str">
        <f>+I16</f>
        <v>Base10</v>
      </c>
      <c r="J17" s="160">
        <f t="shared" si="2"/>
        <v>4687.2166817769721</v>
      </c>
      <c r="K17" s="73">
        <f>+K7</f>
        <v>5170</v>
      </c>
      <c r="O17" s="157">
        <f t="shared" si="3"/>
        <v>4687.2166817769721</v>
      </c>
      <c r="P17" s="158">
        <f t="shared" si="4"/>
        <v>5170</v>
      </c>
    </row>
    <row r="18" spans="1:16">
      <c r="A18" s="72" t="s">
        <v>129</v>
      </c>
      <c r="B18" s="46" t="s">
        <v>342</v>
      </c>
      <c r="C18" s="50">
        <v>1015</v>
      </c>
      <c r="D18" s="48" t="s">
        <v>320</v>
      </c>
      <c r="E18" s="45" t="str">
        <f t="shared" si="0"/>
        <v>Billet-1015-ALL</v>
      </c>
      <c r="F18" s="46">
        <f t="shared" si="1"/>
        <v>15</v>
      </c>
      <c r="G18" s="116" t="s">
        <v>249</v>
      </c>
      <c r="I18" s="100" t="str">
        <f>+I16</f>
        <v>Base10</v>
      </c>
      <c r="J18" s="160">
        <f t="shared" si="2"/>
        <v>4687.2166817769721</v>
      </c>
      <c r="K18" s="73">
        <f>+K7</f>
        <v>5170</v>
      </c>
      <c r="O18" s="157">
        <f t="shared" si="3"/>
        <v>4687.2166817769721</v>
      </c>
      <c r="P18" s="158">
        <f t="shared" si="4"/>
        <v>5170</v>
      </c>
    </row>
    <row r="19" spans="1:16">
      <c r="A19" s="72" t="s">
        <v>130</v>
      </c>
      <c r="B19" s="46" t="s">
        <v>342</v>
      </c>
      <c r="C19" s="53" t="s">
        <v>55</v>
      </c>
      <c r="D19" s="48" t="s">
        <v>320</v>
      </c>
      <c r="E19" s="45" t="str">
        <f t="shared" si="0"/>
        <v>Billet-1012B-ALL</v>
      </c>
      <c r="F19" s="46">
        <f t="shared" si="1"/>
        <v>16</v>
      </c>
      <c r="G19" s="116" t="s">
        <v>250</v>
      </c>
      <c r="I19" s="100" t="s">
        <v>355</v>
      </c>
      <c r="J19" s="160">
        <f t="shared" si="2"/>
        <v>4687.2166817769721</v>
      </c>
      <c r="K19" s="101">
        <f>+K5</f>
        <v>5170</v>
      </c>
      <c r="O19" s="157">
        <f t="shared" si="3"/>
        <v>4687.2166817769721</v>
      </c>
      <c r="P19" s="158">
        <f t="shared" si="4"/>
        <v>5170</v>
      </c>
    </row>
    <row r="20" spans="1:16">
      <c r="A20" s="72" t="s">
        <v>131</v>
      </c>
      <c r="B20" s="46" t="s">
        <v>342</v>
      </c>
      <c r="C20" s="53" t="s">
        <v>357</v>
      </c>
      <c r="D20" s="48" t="s">
        <v>320</v>
      </c>
      <c r="E20" s="45" t="str">
        <f t="shared" si="0"/>
        <v>Billet-500N/Mpa-ALL</v>
      </c>
      <c r="F20" s="46">
        <f t="shared" si="1"/>
        <v>19</v>
      </c>
      <c r="G20" s="116" t="s">
        <v>251</v>
      </c>
      <c r="I20" s="100" t="s">
        <v>399</v>
      </c>
      <c r="J20" s="160">
        <f t="shared" si="2"/>
        <v>5666.3644605621039</v>
      </c>
      <c r="K20" s="101">
        <f>+K7+1080</f>
        <v>6250</v>
      </c>
      <c r="O20" s="157">
        <f t="shared" si="3"/>
        <v>5666.3644605621039</v>
      </c>
      <c r="P20" s="158">
        <f t="shared" si="4"/>
        <v>6250</v>
      </c>
    </row>
    <row r="21" spans="1:16">
      <c r="A21" s="72" t="s">
        <v>132</v>
      </c>
      <c r="B21" s="46" t="s">
        <v>342</v>
      </c>
      <c r="C21" s="53" t="s">
        <v>358</v>
      </c>
      <c r="D21" s="48" t="s">
        <v>320</v>
      </c>
      <c r="E21" s="45" t="str">
        <f t="shared" si="0"/>
        <v>Billet-SD295A-ALL</v>
      </c>
      <c r="F21" s="46">
        <f t="shared" si="1"/>
        <v>17</v>
      </c>
      <c r="G21" s="116" t="s">
        <v>252</v>
      </c>
      <c r="I21" s="100" t="str">
        <f>I7</f>
        <v>Base10</v>
      </c>
      <c r="J21" s="160">
        <f t="shared" si="2"/>
        <v>4687.2166817769721</v>
      </c>
      <c r="K21" s="101">
        <f>K7</f>
        <v>5170</v>
      </c>
      <c r="O21" s="157">
        <f t="shared" si="3"/>
        <v>4687.2166817769721</v>
      </c>
      <c r="P21" s="158">
        <f t="shared" si="4"/>
        <v>5170</v>
      </c>
    </row>
    <row r="22" spans="1:16">
      <c r="A22" s="72" t="s">
        <v>133</v>
      </c>
      <c r="B22" s="46" t="s">
        <v>342</v>
      </c>
      <c r="C22" s="53" t="s">
        <v>359</v>
      </c>
      <c r="D22" s="48" t="s">
        <v>320</v>
      </c>
      <c r="E22" s="45" t="str">
        <f t="shared" si="0"/>
        <v>Billet-SD295B-ALL</v>
      </c>
      <c r="F22" s="46">
        <f t="shared" si="1"/>
        <v>17</v>
      </c>
      <c r="G22" s="116" t="s">
        <v>253</v>
      </c>
      <c r="I22" s="100" t="s">
        <v>400</v>
      </c>
      <c r="J22" s="160">
        <f t="shared" si="2"/>
        <v>4732.5475974614692</v>
      </c>
      <c r="K22" s="73">
        <f>K10+50</f>
        <v>5220</v>
      </c>
      <c r="O22" s="157">
        <f t="shared" si="3"/>
        <v>4732.5475974614692</v>
      </c>
      <c r="P22" s="158">
        <f t="shared" si="4"/>
        <v>5220</v>
      </c>
    </row>
    <row r="23" spans="1:16">
      <c r="A23" s="72" t="s">
        <v>134</v>
      </c>
      <c r="B23" s="46" t="s">
        <v>342</v>
      </c>
      <c r="C23" s="53" t="s">
        <v>360</v>
      </c>
      <c r="D23" s="48" t="s">
        <v>320</v>
      </c>
      <c r="E23" s="45" t="str">
        <f t="shared" si="0"/>
        <v>Billet-SD345-ALL</v>
      </c>
      <c r="F23" s="46">
        <f t="shared" si="1"/>
        <v>16</v>
      </c>
      <c r="G23" s="116" t="s">
        <v>254</v>
      </c>
      <c r="I23" s="100" t="s">
        <v>401</v>
      </c>
      <c r="J23" s="160">
        <f t="shared" si="2"/>
        <v>4777.8785131459654</v>
      </c>
      <c r="K23" s="73">
        <f>K10+100</f>
        <v>5270</v>
      </c>
      <c r="O23" s="157">
        <f t="shared" si="3"/>
        <v>4777.8785131459654</v>
      </c>
      <c r="P23" s="158">
        <f t="shared" si="4"/>
        <v>5270</v>
      </c>
    </row>
    <row r="24" spans="1:16">
      <c r="A24" s="72" t="s">
        <v>135</v>
      </c>
      <c r="B24" s="46" t="s">
        <v>342</v>
      </c>
      <c r="C24" s="50" t="s">
        <v>338</v>
      </c>
      <c r="D24" s="48" t="s">
        <v>320</v>
      </c>
      <c r="E24" s="99" t="str">
        <f t="shared" si="0"/>
        <v>Billet-300E-ALL</v>
      </c>
      <c r="F24" s="46">
        <f t="shared" si="1"/>
        <v>15</v>
      </c>
      <c r="G24" s="116" t="s">
        <v>255</v>
      </c>
      <c r="I24" s="100" t="str">
        <f>I7</f>
        <v>Base10</v>
      </c>
      <c r="J24" s="160">
        <f t="shared" si="2"/>
        <v>4687.2166817769721</v>
      </c>
      <c r="K24" s="73">
        <f>K10</f>
        <v>5170</v>
      </c>
      <c r="O24" s="157">
        <f t="shared" si="3"/>
        <v>4687.2166817769721</v>
      </c>
      <c r="P24" s="158">
        <f t="shared" si="4"/>
        <v>5170</v>
      </c>
    </row>
    <row r="25" spans="1:16">
      <c r="A25" s="72" t="s">
        <v>104</v>
      </c>
      <c r="B25" s="46" t="s">
        <v>334</v>
      </c>
      <c r="C25" s="50" t="s">
        <v>335</v>
      </c>
      <c r="D25" s="51">
        <v>6</v>
      </c>
      <c r="E25" s="45" t="str">
        <f t="shared" si="0"/>
        <v>DC-SD 390-6</v>
      </c>
      <c r="F25" s="46">
        <f t="shared" si="1"/>
        <v>11</v>
      </c>
      <c r="G25" s="116" t="s">
        <v>226</v>
      </c>
      <c r="I25" s="100" t="s">
        <v>336</v>
      </c>
      <c r="J25" s="160">
        <f>+K25/1.103</f>
        <v>9836.8087035358112</v>
      </c>
      <c r="K25" s="174">
        <f>+'Material Pricing Group SBY'!K25</f>
        <v>10850</v>
      </c>
      <c r="O25" s="157">
        <f t="shared" ref="O25:O46" si="5">+J25-M25</f>
        <v>9836.8087035358112</v>
      </c>
      <c r="P25" s="158">
        <f t="shared" si="4"/>
        <v>10850</v>
      </c>
    </row>
    <row r="26" spans="1:16">
      <c r="A26" s="72" t="s">
        <v>105</v>
      </c>
      <c r="B26" s="46" t="s">
        <v>334</v>
      </c>
      <c r="C26" s="50" t="s">
        <v>335</v>
      </c>
      <c r="D26" s="51">
        <v>8</v>
      </c>
      <c r="E26" s="45" t="str">
        <f t="shared" si="0"/>
        <v>DC-SD 390-8</v>
      </c>
      <c r="F26" s="46">
        <f t="shared" si="1"/>
        <v>11</v>
      </c>
      <c r="G26" s="116" t="s">
        <v>227</v>
      </c>
      <c r="I26" s="100" t="str">
        <f>+I25</f>
        <v>Base8</v>
      </c>
      <c r="J26" s="160">
        <f t="shared" si="2"/>
        <v>9836.8087035358112</v>
      </c>
      <c r="K26" s="73">
        <f>+K25</f>
        <v>10850</v>
      </c>
      <c r="O26" s="157">
        <f t="shared" si="5"/>
        <v>9836.8087035358112</v>
      </c>
      <c r="P26" s="158">
        <f t="shared" si="4"/>
        <v>10850</v>
      </c>
    </row>
    <row r="27" spans="1:16">
      <c r="A27" s="72" t="s">
        <v>106</v>
      </c>
      <c r="B27" s="46" t="s">
        <v>334</v>
      </c>
      <c r="C27" s="50" t="s">
        <v>335</v>
      </c>
      <c r="D27" s="51">
        <v>10</v>
      </c>
      <c r="E27" s="45" t="str">
        <f t="shared" si="0"/>
        <v>DC-SD 390-10</v>
      </c>
      <c r="F27" s="46">
        <f t="shared" si="1"/>
        <v>12</v>
      </c>
      <c r="G27" s="116" t="s">
        <v>228</v>
      </c>
      <c r="I27" s="100" t="str">
        <f>+I25</f>
        <v>Base8</v>
      </c>
      <c r="J27" s="160">
        <f t="shared" si="2"/>
        <v>9836.8087035358112</v>
      </c>
      <c r="K27" s="73">
        <f>+K25</f>
        <v>10850</v>
      </c>
      <c r="O27" s="157">
        <f t="shared" si="5"/>
        <v>9836.8087035358112</v>
      </c>
      <c r="P27" s="158">
        <f t="shared" si="4"/>
        <v>10850</v>
      </c>
    </row>
    <row r="28" spans="1:16">
      <c r="A28" s="72" t="s">
        <v>107</v>
      </c>
      <c r="B28" s="46" t="s">
        <v>334</v>
      </c>
      <c r="C28" s="50" t="s">
        <v>335</v>
      </c>
      <c r="D28" s="51">
        <v>12</v>
      </c>
      <c r="E28" s="45" t="str">
        <f t="shared" si="0"/>
        <v>DC-SD 390-12</v>
      </c>
      <c r="F28" s="46">
        <f t="shared" si="1"/>
        <v>12</v>
      </c>
      <c r="G28" s="116" t="s">
        <v>229</v>
      </c>
      <c r="I28" s="100" t="str">
        <f>+I25</f>
        <v>Base8</v>
      </c>
      <c r="J28" s="160">
        <f t="shared" si="2"/>
        <v>9836.8087035358112</v>
      </c>
      <c r="K28" s="73">
        <f>+K25</f>
        <v>10850</v>
      </c>
      <c r="O28" s="157">
        <f t="shared" si="5"/>
        <v>9836.8087035358112</v>
      </c>
      <c r="P28" s="158">
        <f t="shared" si="4"/>
        <v>10850</v>
      </c>
    </row>
    <row r="29" spans="1:16">
      <c r="A29" s="72" t="s">
        <v>108</v>
      </c>
      <c r="B29" s="46" t="s">
        <v>334</v>
      </c>
      <c r="C29" s="53" t="s">
        <v>337</v>
      </c>
      <c r="D29" s="48" t="s">
        <v>320</v>
      </c>
      <c r="E29" s="45" t="str">
        <f t="shared" si="0"/>
        <v>DC-500N/MPA-ALL</v>
      </c>
      <c r="F29" s="46">
        <f t="shared" si="1"/>
        <v>15</v>
      </c>
      <c r="G29" s="116" t="s">
        <v>230</v>
      </c>
      <c r="I29" s="100" t="s">
        <v>396</v>
      </c>
      <c r="J29" s="160">
        <f t="shared" si="2"/>
        <v>10997.28014505893</v>
      </c>
      <c r="K29" s="73">
        <f>+K62+1080</f>
        <v>12130</v>
      </c>
      <c r="O29" s="157">
        <f t="shared" si="5"/>
        <v>10997.28014505893</v>
      </c>
      <c r="P29" s="158">
        <f t="shared" si="4"/>
        <v>12130</v>
      </c>
    </row>
    <row r="30" spans="1:16">
      <c r="A30" s="72" t="s">
        <v>109</v>
      </c>
      <c r="B30" s="46" t="s">
        <v>334</v>
      </c>
      <c r="C30" s="50" t="s">
        <v>338</v>
      </c>
      <c r="D30" s="48" t="s">
        <v>320</v>
      </c>
      <c r="E30" s="45" t="str">
        <f t="shared" si="0"/>
        <v>DC-300E-ALL</v>
      </c>
      <c r="F30" s="46">
        <f t="shared" si="1"/>
        <v>11</v>
      </c>
      <c r="G30" s="116" t="s">
        <v>231</v>
      </c>
      <c r="I30" s="100" t="s">
        <v>394</v>
      </c>
      <c r="J30" s="160">
        <f t="shared" si="2"/>
        <v>10154.125113327289</v>
      </c>
      <c r="K30" s="73">
        <f>+K62+150</f>
        <v>11200</v>
      </c>
      <c r="O30" s="157">
        <f t="shared" si="5"/>
        <v>10154.125113327289</v>
      </c>
      <c r="P30" s="158">
        <f t="shared" si="4"/>
        <v>11200</v>
      </c>
    </row>
    <row r="31" spans="1:16">
      <c r="A31" s="72" t="s">
        <v>110</v>
      </c>
      <c r="B31" s="46" t="s">
        <v>334</v>
      </c>
      <c r="C31" s="50" t="s">
        <v>339</v>
      </c>
      <c r="D31" s="48" t="s">
        <v>320</v>
      </c>
      <c r="E31" s="45" t="str">
        <f t="shared" si="0"/>
        <v>DC-SD 490-ALL</v>
      </c>
      <c r="F31" s="46">
        <f t="shared" si="1"/>
        <v>13</v>
      </c>
      <c r="G31" s="116" t="s">
        <v>232</v>
      </c>
      <c r="I31" s="100" t="s">
        <v>395</v>
      </c>
      <c r="J31" s="160">
        <f t="shared" si="2"/>
        <v>10163.191296464189</v>
      </c>
      <c r="K31" s="73">
        <f>K25+360</f>
        <v>11210</v>
      </c>
      <c r="O31" s="157">
        <f t="shared" si="5"/>
        <v>10163.191296464189</v>
      </c>
      <c r="P31" s="158">
        <f t="shared" si="4"/>
        <v>11210</v>
      </c>
    </row>
    <row r="32" spans="1:16">
      <c r="A32" s="72" t="s">
        <v>111</v>
      </c>
      <c r="B32" s="46" t="s">
        <v>334</v>
      </c>
      <c r="C32" s="50" t="s">
        <v>340</v>
      </c>
      <c r="D32" s="48" t="s">
        <v>320</v>
      </c>
      <c r="E32" s="45" t="str">
        <f t="shared" si="0"/>
        <v>DC-Grade 40-ALL</v>
      </c>
      <c r="F32" s="46">
        <f t="shared" si="1"/>
        <v>15</v>
      </c>
      <c r="G32" s="116" t="s">
        <v>233</v>
      </c>
      <c r="I32" s="100" t="s">
        <v>397</v>
      </c>
      <c r="J32" s="160">
        <f t="shared" si="2"/>
        <v>9950.135992747053</v>
      </c>
      <c r="K32" s="73">
        <f>+K25+125</f>
        <v>10975</v>
      </c>
      <c r="O32" s="157">
        <f t="shared" si="5"/>
        <v>9950.135992747053</v>
      </c>
      <c r="P32" s="158">
        <f t="shared" si="4"/>
        <v>10975</v>
      </c>
    </row>
    <row r="33" spans="1:16">
      <c r="A33" s="72" t="s">
        <v>112</v>
      </c>
      <c r="B33" s="46" t="s">
        <v>334</v>
      </c>
      <c r="C33" s="50" t="s">
        <v>341</v>
      </c>
      <c r="D33" s="48" t="s">
        <v>320</v>
      </c>
      <c r="E33" s="45" t="str">
        <f t="shared" si="0"/>
        <v>DC-Grade 60-ALL</v>
      </c>
      <c r="F33" s="46">
        <f t="shared" si="1"/>
        <v>15</v>
      </c>
      <c r="G33" s="116" t="s">
        <v>234</v>
      </c>
      <c r="I33" s="100" t="s">
        <v>395</v>
      </c>
      <c r="J33" s="160">
        <f t="shared" si="2"/>
        <v>10163.191296464189</v>
      </c>
      <c r="K33" s="73">
        <f>+K25+360</f>
        <v>11210</v>
      </c>
      <c r="O33" s="157">
        <f t="shared" si="5"/>
        <v>10163.191296464189</v>
      </c>
      <c r="P33" s="158">
        <f t="shared" si="4"/>
        <v>11210</v>
      </c>
    </row>
    <row r="34" spans="1:16">
      <c r="A34" s="72" t="s">
        <v>138</v>
      </c>
      <c r="B34" s="60" t="s">
        <v>363</v>
      </c>
      <c r="C34" s="74" t="s">
        <v>364</v>
      </c>
      <c r="D34" s="77">
        <v>5.5</v>
      </c>
      <c r="E34" s="78" t="str">
        <f t="shared" ref="E34:E46" si="6">CONCATENATE(B34,"-",C34,"-",D34)</f>
        <v>NP-LCRJ 5.5-5.5</v>
      </c>
      <c r="F34" s="75">
        <f t="shared" ref="F34:F46" si="7">LEN(E34)</f>
        <v>15</v>
      </c>
      <c r="G34" s="116" t="s">
        <v>258</v>
      </c>
      <c r="H34" s="79"/>
      <c r="I34" s="100" t="s">
        <v>404</v>
      </c>
      <c r="J34" s="160">
        <f t="shared" ref="J34:J46" si="8">+K34/1.103</f>
        <v>8361.2873980054392</v>
      </c>
      <c r="K34" s="73">
        <f>K51*0.85</f>
        <v>9222.5</v>
      </c>
      <c r="O34" s="157">
        <f t="shared" si="5"/>
        <v>8361.2873980054392</v>
      </c>
      <c r="P34" s="158">
        <f t="shared" si="4"/>
        <v>9222.5</v>
      </c>
    </row>
    <row r="35" spans="1:16">
      <c r="A35" s="72" t="s">
        <v>139</v>
      </c>
      <c r="B35" s="60" t="s">
        <v>363</v>
      </c>
      <c r="C35" s="74" t="s">
        <v>365</v>
      </c>
      <c r="D35" s="87" t="s">
        <v>366</v>
      </c>
      <c r="E35" s="88" t="str">
        <f t="shared" si="6"/>
        <v>NP-LCRJ 6-8-6.0-8</v>
      </c>
      <c r="F35" s="85">
        <f t="shared" si="7"/>
        <v>17</v>
      </c>
      <c r="G35" s="116" t="s">
        <v>259</v>
      </c>
      <c r="H35" s="79"/>
      <c r="I35" s="100" t="s">
        <v>405</v>
      </c>
      <c r="J35" s="163">
        <f t="shared" si="8"/>
        <v>7905.711695376247</v>
      </c>
      <c r="K35" s="92">
        <f>K48*0.8</f>
        <v>8720</v>
      </c>
      <c r="O35" s="157">
        <f t="shared" si="5"/>
        <v>7905.711695376247</v>
      </c>
      <c r="P35" s="158">
        <f t="shared" si="4"/>
        <v>8720</v>
      </c>
    </row>
    <row r="36" spans="1:16">
      <c r="A36" s="72" t="s">
        <v>140</v>
      </c>
      <c r="B36" s="60" t="s">
        <v>363</v>
      </c>
      <c r="C36" s="74" t="s">
        <v>367</v>
      </c>
      <c r="D36" s="77" t="s">
        <v>368</v>
      </c>
      <c r="E36" s="78" t="str">
        <f t="shared" si="6"/>
        <v>NP-LCRJ 8 up-8 Up</v>
      </c>
      <c r="F36" s="75">
        <f t="shared" si="7"/>
        <v>17</v>
      </c>
      <c r="G36" s="116" t="s">
        <v>260</v>
      </c>
      <c r="H36" s="79"/>
      <c r="I36" s="100" t="s">
        <v>406</v>
      </c>
      <c r="J36" s="160">
        <f t="shared" si="8"/>
        <v>7411.6047144152317</v>
      </c>
      <c r="K36" s="73">
        <f>K48*0.75</f>
        <v>8175</v>
      </c>
      <c r="O36" s="157">
        <f t="shared" si="5"/>
        <v>7411.6047144152317</v>
      </c>
      <c r="P36" s="158">
        <f t="shared" si="4"/>
        <v>8175</v>
      </c>
    </row>
    <row r="37" spans="1:16">
      <c r="A37" s="72" t="s">
        <v>141</v>
      </c>
      <c r="B37" s="60" t="s">
        <v>363</v>
      </c>
      <c r="C37" s="74" t="s">
        <v>369</v>
      </c>
      <c r="D37" s="77">
        <v>5.5</v>
      </c>
      <c r="E37" s="88" t="str">
        <f t="shared" si="6"/>
        <v>NP-HCRJ 5.5-5.5</v>
      </c>
      <c r="F37" s="85">
        <f t="shared" si="7"/>
        <v>15</v>
      </c>
      <c r="G37" s="116" t="s">
        <v>261</v>
      </c>
      <c r="H37" s="79"/>
      <c r="I37" s="100" t="s">
        <v>406</v>
      </c>
      <c r="J37" s="163">
        <f t="shared" si="8"/>
        <v>7411.6047144152317</v>
      </c>
      <c r="K37" s="92">
        <f>+K48*0.75</f>
        <v>8175</v>
      </c>
      <c r="O37" s="157">
        <f t="shared" si="5"/>
        <v>7411.6047144152317</v>
      </c>
      <c r="P37" s="158">
        <f t="shared" si="4"/>
        <v>8175</v>
      </c>
    </row>
    <row r="38" spans="1:16">
      <c r="A38" s="72" t="s">
        <v>142</v>
      </c>
      <c r="B38" s="60" t="s">
        <v>363</v>
      </c>
      <c r="C38" s="74" t="s">
        <v>370</v>
      </c>
      <c r="D38" s="87" t="s">
        <v>366</v>
      </c>
      <c r="E38" s="78" t="str">
        <f t="shared" si="6"/>
        <v>NP-HCRJ 6-8-6.0-8</v>
      </c>
      <c r="F38" s="75">
        <f t="shared" si="7"/>
        <v>17</v>
      </c>
      <c r="G38" s="116" t="s">
        <v>262</v>
      </c>
      <c r="H38" s="79"/>
      <c r="I38" s="100" t="s">
        <v>407</v>
      </c>
      <c r="J38" s="160">
        <f t="shared" si="8"/>
        <v>6917.4977334542154</v>
      </c>
      <c r="K38" s="73">
        <f>+K48*0.7</f>
        <v>7629.9999999999991</v>
      </c>
      <c r="O38" s="157">
        <f t="shared" si="5"/>
        <v>6917.4977334542154</v>
      </c>
      <c r="P38" s="158">
        <f t="shared" si="4"/>
        <v>7629.9999999999991</v>
      </c>
    </row>
    <row r="39" spans="1:16">
      <c r="A39" s="72" t="s">
        <v>143</v>
      </c>
      <c r="B39" s="60" t="s">
        <v>363</v>
      </c>
      <c r="C39" s="74" t="s">
        <v>371</v>
      </c>
      <c r="D39" s="77" t="s">
        <v>368</v>
      </c>
      <c r="E39" s="88" t="str">
        <f t="shared" si="6"/>
        <v>NP-HCRJ 8 up-8 Up</v>
      </c>
      <c r="F39" s="85">
        <f t="shared" si="7"/>
        <v>17</v>
      </c>
      <c r="G39" s="116" t="s">
        <v>263</v>
      </c>
      <c r="H39" s="79"/>
      <c r="I39" s="100" t="s">
        <v>408</v>
      </c>
      <c r="J39" s="163">
        <f t="shared" si="8"/>
        <v>6423.3907524932001</v>
      </c>
      <c r="K39" s="92">
        <f>+K48*0.65</f>
        <v>7085</v>
      </c>
      <c r="O39" s="157">
        <f t="shared" si="5"/>
        <v>6423.3907524932001</v>
      </c>
      <c r="P39" s="158">
        <f t="shared" si="4"/>
        <v>7085</v>
      </c>
    </row>
    <row r="40" spans="1:16">
      <c r="A40" s="72" t="s">
        <v>145</v>
      </c>
      <c r="B40" s="60" t="s">
        <v>363</v>
      </c>
      <c r="C40" s="46" t="s">
        <v>372</v>
      </c>
      <c r="D40" s="77">
        <v>5.5</v>
      </c>
      <c r="E40" s="78" t="str">
        <f t="shared" si="6"/>
        <v>NP-EC(LC /HC)5.5-5.5</v>
      </c>
      <c r="F40" s="75">
        <f t="shared" si="7"/>
        <v>20</v>
      </c>
      <c r="G40" s="116" t="s">
        <v>264</v>
      </c>
      <c r="H40" s="79"/>
      <c r="I40" s="100" t="s">
        <v>407</v>
      </c>
      <c r="J40" s="160">
        <f t="shared" si="8"/>
        <v>6917.4977334542154</v>
      </c>
      <c r="K40" s="73">
        <f>K48*0.7</f>
        <v>7629.9999999999991</v>
      </c>
      <c r="O40" s="157">
        <f t="shared" si="5"/>
        <v>6917.4977334542154</v>
      </c>
      <c r="P40" s="158">
        <f t="shared" si="4"/>
        <v>7629.9999999999991</v>
      </c>
    </row>
    <row r="41" spans="1:16">
      <c r="A41" s="72" t="s">
        <v>146</v>
      </c>
      <c r="B41" s="60" t="s">
        <v>363</v>
      </c>
      <c r="C41" s="46" t="s">
        <v>373</v>
      </c>
      <c r="D41" s="87" t="s">
        <v>374</v>
      </c>
      <c r="E41" s="88" t="str">
        <f t="shared" si="6"/>
        <v>NP-EC(LC/HC)6U-6 &amp; up</v>
      </c>
      <c r="F41" s="85">
        <f>LEN(E41)</f>
        <v>21</v>
      </c>
      <c r="G41" s="116" t="s">
        <v>265</v>
      </c>
      <c r="H41" s="79"/>
      <c r="I41" s="100" t="s">
        <v>408</v>
      </c>
      <c r="J41" s="163">
        <f t="shared" si="8"/>
        <v>6393.9256572982777</v>
      </c>
      <c r="K41" s="92">
        <f>K75*0.65</f>
        <v>7052.5</v>
      </c>
      <c r="O41" s="157">
        <f t="shared" si="5"/>
        <v>6393.9256572982777</v>
      </c>
      <c r="P41" s="158">
        <f t="shared" si="4"/>
        <v>7052.5</v>
      </c>
    </row>
    <row r="42" spans="1:16">
      <c r="A42" s="72" t="s">
        <v>147</v>
      </c>
      <c r="B42" s="60" t="s">
        <v>363</v>
      </c>
      <c r="C42" s="46" t="s">
        <v>375</v>
      </c>
      <c r="D42" s="77">
        <v>5.5</v>
      </c>
      <c r="E42" s="78" t="str">
        <f t="shared" si="6"/>
        <v>NP-MingledSmall5.5-5.5</v>
      </c>
      <c r="F42" s="75">
        <f t="shared" si="7"/>
        <v>22</v>
      </c>
      <c r="G42" s="116" t="s">
        <v>266</v>
      </c>
      <c r="H42" s="79"/>
      <c r="I42" s="100" t="s">
        <v>406</v>
      </c>
      <c r="J42" s="160">
        <f t="shared" si="8"/>
        <v>7411.6047144152317</v>
      </c>
      <c r="K42" s="73">
        <f>K48*0.75</f>
        <v>8175</v>
      </c>
      <c r="O42" s="157">
        <f t="shared" si="5"/>
        <v>7411.6047144152317</v>
      </c>
      <c r="P42" s="158">
        <f t="shared" si="4"/>
        <v>8175</v>
      </c>
    </row>
    <row r="43" spans="1:16">
      <c r="A43" s="72" t="s">
        <v>148</v>
      </c>
      <c r="B43" s="60" t="s">
        <v>363</v>
      </c>
      <c r="C43" s="46" t="s">
        <v>376</v>
      </c>
      <c r="D43" s="87" t="s">
        <v>374</v>
      </c>
      <c r="E43" s="88" t="str">
        <f t="shared" si="6"/>
        <v>NP-MingledS6&amp;Up-6 &amp; up</v>
      </c>
      <c r="F43" s="85">
        <f t="shared" si="7"/>
        <v>22</v>
      </c>
      <c r="G43" s="116" t="s">
        <v>267</v>
      </c>
      <c r="H43" s="79"/>
      <c r="I43" s="100" t="s">
        <v>408</v>
      </c>
      <c r="J43" s="163">
        <f t="shared" si="8"/>
        <v>6423.3907524932001</v>
      </c>
      <c r="K43" s="92">
        <f>K48*0.65</f>
        <v>7085</v>
      </c>
      <c r="O43" s="157">
        <f t="shared" si="5"/>
        <v>6423.3907524932001</v>
      </c>
      <c r="P43" s="158">
        <f t="shared" si="4"/>
        <v>7085</v>
      </c>
    </row>
    <row r="44" spans="1:16">
      <c r="A44" s="72" t="s">
        <v>149</v>
      </c>
      <c r="B44" s="60" t="s">
        <v>363</v>
      </c>
      <c r="C44" s="74" t="s">
        <v>377</v>
      </c>
      <c r="D44" s="77" t="s">
        <v>320</v>
      </c>
      <c r="E44" s="78" t="str">
        <f t="shared" si="6"/>
        <v>NP-Gepeng-ALL</v>
      </c>
      <c r="F44" s="75">
        <f t="shared" si="7"/>
        <v>13</v>
      </c>
      <c r="G44" s="116" t="s">
        <v>268</v>
      </c>
      <c r="H44" s="79"/>
      <c r="I44" s="100" t="s">
        <v>409</v>
      </c>
      <c r="J44" s="160">
        <f t="shared" si="8"/>
        <v>5929.2837715321848</v>
      </c>
      <c r="K44" s="73">
        <f>K48*0.6</f>
        <v>6540</v>
      </c>
      <c r="O44" s="157">
        <f t="shared" si="5"/>
        <v>5929.2837715321848</v>
      </c>
      <c r="P44" s="158">
        <f t="shared" si="4"/>
        <v>6540</v>
      </c>
    </row>
    <row r="45" spans="1:16">
      <c r="A45" s="72" t="s">
        <v>150</v>
      </c>
      <c r="B45" s="60" t="s">
        <v>363</v>
      </c>
      <c r="C45" s="74" t="s">
        <v>378</v>
      </c>
      <c r="D45" s="87" t="s">
        <v>320</v>
      </c>
      <c r="E45" s="88" t="str">
        <f t="shared" si="6"/>
        <v>NP-Misroll-ALL</v>
      </c>
      <c r="F45" s="85">
        <f t="shared" si="7"/>
        <v>14</v>
      </c>
      <c r="G45" s="116" t="s">
        <v>269</v>
      </c>
      <c r="H45" s="79"/>
      <c r="I45" s="100" t="s">
        <v>410</v>
      </c>
      <c r="J45" s="163">
        <f t="shared" si="8"/>
        <v>3952.8558476881235</v>
      </c>
      <c r="K45" s="92">
        <f>K48*0.4</f>
        <v>4360</v>
      </c>
      <c r="O45" s="157">
        <f t="shared" si="5"/>
        <v>3952.8558476881235</v>
      </c>
      <c r="P45" s="158">
        <f t="shared" si="4"/>
        <v>4360</v>
      </c>
    </row>
    <row r="46" spans="1:16">
      <c r="A46" s="72" t="s">
        <v>151</v>
      </c>
      <c r="B46" s="60" t="s">
        <v>363</v>
      </c>
      <c r="C46" s="46" t="s">
        <v>379</v>
      </c>
      <c r="D46" s="77" t="s">
        <v>320</v>
      </c>
      <c r="E46" s="78" t="str">
        <f t="shared" si="6"/>
        <v>NP-BR/Short Length-ALL</v>
      </c>
      <c r="F46" s="75">
        <f t="shared" si="7"/>
        <v>22</v>
      </c>
      <c r="G46" s="116" t="s">
        <v>270</v>
      </c>
      <c r="H46" s="79"/>
      <c r="I46" s="100" t="s">
        <v>411</v>
      </c>
      <c r="J46" s="160">
        <f t="shared" si="8"/>
        <v>2812.3300090661833</v>
      </c>
      <c r="K46" s="73">
        <f>K19*0.6</f>
        <v>3102</v>
      </c>
      <c r="O46" s="157">
        <f t="shared" si="5"/>
        <v>2812.3300090661833</v>
      </c>
      <c r="P46" s="158">
        <f t="shared" si="4"/>
        <v>3102</v>
      </c>
    </row>
    <row r="47" spans="1:16">
      <c r="A47" s="231" t="s">
        <v>480</v>
      </c>
      <c r="B47" s="232"/>
      <c r="C47" s="129"/>
      <c r="D47" s="233"/>
      <c r="E47" s="234"/>
      <c r="F47" s="235"/>
      <c r="G47" s="116"/>
      <c r="H47" s="79"/>
      <c r="I47" s="170"/>
      <c r="J47" s="164"/>
      <c r="K47" s="73"/>
      <c r="O47" s="157"/>
      <c r="P47" s="158"/>
    </row>
    <row r="48" spans="1:16" s="211" customFormat="1">
      <c r="A48" s="205" t="s">
        <v>50</v>
      </c>
      <c r="B48" s="206" t="s">
        <v>51</v>
      </c>
      <c r="C48" s="207" t="s">
        <v>55</v>
      </c>
      <c r="D48" s="208">
        <v>5.0999999999999996</v>
      </c>
      <c r="E48" s="209" t="str">
        <f t="shared" ref="E48:E96" si="9">CONCATENATE(B48,"-",C48,"-",D48)</f>
        <v>WR-1012B-5.1</v>
      </c>
      <c r="F48" s="206">
        <f>LEN(E48)</f>
        <v>12</v>
      </c>
      <c r="G48" s="210" t="s">
        <v>443</v>
      </c>
      <c r="I48" s="249" t="s">
        <v>487</v>
      </c>
      <c r="J48" s="212">
        <f t="shared" ref="J48:J56" si="10">+K48/1.103</f>
        <v>9882.1396192203083</v>
      </c>
      <c r="K48" s="213">
        <f>+K51+25+25</f>
        <v>10900</v>
      </c>
      <c r="O48" s="226">
        <f t="shared" si="3"/>
        <v>9882.1396192203083</v>
      </c>
      <c r="P48" s="227">
        <f t="shared" si="4"/>
        <v>10900</v>
      </c>
    </row>
    <row r="49" spans="1:16" s="211" customFormat="1">
      <c r="A49" s="214" t="s">
        <v>53</v>
      </c>
      <c r="B49" s="215" t="s">
        <v>51</v>
      </c>
      <c r="C49" s="216" t="s">
        <v>292</v>
      </c>
      <c r="D49" s="217" t="s">
        <v>52</v>
      </c>
      <c r="E49" s="218" t="str">
        <f t="shared" si="9"/>
        <v>WR-1012B All  -All</v>
      </c>
      <c r="F49" s="219">
        <f t="shared" ref="F49:F96" si="11">LEN(E49)</f>
        <v>18</v>
      </c>
      <c r="G49" s="220" t="s">
        <v>179</v>
      </c>
      <c r="I49" s="221" t="str">
        <f>+I51</f>
        <v xml:space="preserve">Base1 </v>
      </c>
      <c r="J49" s="222">
        <f t="shared" si="10"/>
        <v>9836.8087035358112</v>
      </c>
      <c r="K49" s="223">
        <f>+K51</f>
        <v>10850</v>
      </c>
      <c r="O49" s="226">
        <f t="shared" si="3"/>
        <v>9836.8087035358112</v>
      </c>
      <c r="P49" s="227">
        <f t="shared" si="4"/>
        <v>10850</v>
      </c>
    </row>
    <row r="50" spans="1:16" s="211" customFormat="1">
      <c r="A50" s="214" t="s">
        <v>54</v>
      </c>
      <c r="B50" s="219" t="s">
        <v>51</v>
      </c>
      <c r="C50" s="216" t="s">
        <v>55</v>
      </c>
      <c r="D50" s="217">
        <v>5.5</v>
      </c>
      <c r="E50" s="218" t="str">
        <f t="shared" si="9"/>
        <v>WR-1012B-5.5</v>
      </c>
      <c r="F50" s="219">
        <f t="shared" si="11"/>
        <v>12</v>
      </c>
      <c r="G50" s="220" t="s">
        <v>180</v>
      </c>
      <c r="I50" s="221" t="str">
        <f>+I51</f>
        <v xml:space="preserve">Base1 </v>
      </c>
      <c r="J50" s="222">
        <f t="shared" si="10"/>
        <v>9836.8087035358112</v>
      </c>
      <c r="K50" s="223">
        <f>+K51</f>
        <v>10850</v>
      </c>
      <c r="O50" s="226">
        <f t="shared" si="3"/>
        <v>9836.8087035358112</v>
      </c>
      <c r="P50" s="227">
        <f t="shared" si="4"/>
        <v>10850</v>
      </c>
    </row>
    <row r="51" spans="1:16" s="211" customFormat="1">
      <c r="A51" s="214" t="s">
        <v>56</v>
      </c>
      <c r="B51" s="219" t="s">
        <v>51</v>
      </c>
      <c r="C51" s="216" t="s">
        <v>55</v>
      </c>
      <c r="D51" s="217">
        <v>5.4</v>
      </c>
      <c r="E51" s="218" t="str">
        <f t="shared" si="9"/>
        <v>WR-1012B-5.4</v>
      </c>
      <c r="F51" s="219">
        <f t="shared" si="11"/>
        <v>12</v>
      </c>
      <c r="G51" s="220" t="s">
        <v>181</v>
      </c>
      <c r="I51" s="224" t="s">
        <v>441</v>
      </c>
      <c r="J51" s="222">
        <f t="shared" si="10"/>
        <v>9836.8087035358112</v>
      </c>
      <c r="K51" s="223">
        <f>+K25</f>
        <v>10850</v>
      </c>
      <c r="O51" s="226">
        <f t="shared" si="3"/>
        <v>9836.8087035358112</v>
      </c>
      <c r="P51" s="227">
        <f t="shared" si="4"/>
        <v>10850</v>
      </c>
    </row>
    <row r="52" spans="1:16" s="211" customFormat="1">
      <c r="A52" s="214" t="s">
        <v>57</v>
      </c>
      <c r="B52" s="219" t="s">
        <v>51</v>
      </c>
      <c r="C52" s="216" t="s">
        <v>55</v>
      </c>
      <c r="D52" s="217">
        <v>5.8</v>
      </c>
      <c r="E52" s="218" t="str">
        <f t="shared" si="9"/>
        <v>WR-1012B-5.8</v>
      </c>
      <c r="F52" s="219">
        <f t="shared" si="11"/>
        <v>12</v>
      </c>
      <c r="G52" s="210" t="s">
        <v>470</v>
      </c>
      <c r="I52" s="224" t="s">
        <v>441</v>
      </c>
      <c r="J52" s="222">
        <f t="shared" si="10"/>
        <v>9836.8087035358112</v>
      </c>
      <c r="K52" s="223">
        <f>+K51</f>
        <v>10850</v>
      </c>
      <c r="O52" s="226">
        <f t="shared" si="3"/>
        <v>9836.8087035358112</v>
      </c>
      <c r="P52" s="227">
        <f t="shared" si="4"/>
        <v>10850</v>
      </c>
    </row>
    <row r="53" spans="1:16" s="211" customFormat="1">
      <c r="A53" s="214" t="s">
        <v>58</v>
      </c>
      <c r="B53" s="219" t="s">
        <v>51</v>
      </c>
      <c r="C53" s="216" t="s">
        <v>55</v>
      </c>
      <c r="D53" s="225" t="s">
        <v>460</v>
      </c>
      <c r="E53" s="218" t="str">
        <f t="shared" si="9"/>
        <v>WR-1012B-6.0-6.8</v>
      </c>
      <c r="F53" s="219">
        <f t="shared" si="11"/>
        <v>16</v>
      </c>
      <c r="G53" s="210" t="s">
        <v>461</v>
      </c>
      <c r="I53" s="224" t="s">
        <v>293</v>
      </c>
      <c r="J53" s="222">
        <f t="shared" si="10"/>
        <v>9814.1432456935636</v>
      </c>
      <c r="K53" s="223">
        <f>+K51-25</f>
        <v>10825</v>
      </c>
      <c r="O53" s="226">
        <f t="shared" si="3"/>
        <v>9814.1432456935636</v>
      </c>
      <c r="P53" s="227">
        <f t="shared" si="4"/>
        <v>10825</v>
      </c>
    </row>
    <row r="54" spans="1:16" s="211" customFormat="1">
      <c r="A54" s="214" t="s">
        <v>59</v>
      </c>
      <c r="B54" s="219" t="s">
        <v>51</v>
      </c>
      <c r="C54" s="216" t="s">
        <v>55</v>
      </c>
      <c r="D54" s="266" t="s">
        <v>491</v>
      </c>
      <c r="E54" s="218" t="str">
        <f t="shared" si="9"/>
        <v>WR-1012B-7.2 - 15</v>
      </c>
      <c r="F54" s="219">
        <f t="shared" si="11"/>
        <v>17</v>
      </c>
      <c r="G54" s="210" t="s">
        <v>510</v>
      </c>
      <c r="I54" s="224" t="s">
        <v>442</v>
      </c>
      <c r="J54" s="222">
        <f t="shared" si="10"/>
        <v>9791.4777878513141</v>
      </c>
      <c r="K54" s="223">
        <f>+K51-50</f>
        <v>10800</v>
      </c>
      <c r="O54" s="226">
        <f t="shared" si="3"/>
        <v>9791.4777878513141</v>
      </c>
      <c r="P54" s="227">
        <f t="shared" si="4"/>
        <v>10800</v>
      </c>
    </row>
    <row r="55" spans="1:16" s="211" customFormat="1">
      <c r="A55" s="214" t="s">
        <v>60</v>
      </c>
      <c r="B55" s="219" t="s">
        <v>51</v>
      </c>
      <c r="C55" s="216" t="s">
        <v>55</v>
      </c>
      <c r="D55" s="217">
        <v>4.9000000000000004</v>
      </c>
      <c r="E55" s="218" t="str">
        <f t="shared" si="9"/>
        <v>WR-1012B-4.9</v>
      </c>
      <c r="F55" s="219">
        <f t="shared" si="11"/>
        <v>12</v>
      </c>
      <c r="G55" s="220" t="s">
        <v>183</v>
      </c>
      <c r="I55" s="224" t="s">
        <v>458</v>
      </c>
      <c r="J55" s="222">
        <f t="shared" si="10"/>
        <v>9904.8050770625559</v>
      </c>
      <c r="K55" s="223">
        <f>+K51+75-50+25+25</f>
        <v>10925</v>
      </c>
      <c r="O55" s="226">
        <f t="shared" si="3"/>
        <v>9904.8050770625559</v>
      </c>
      <c r="P55" s="227">
        <f t="shared" si="4"/>
        <v>10925</v>
      </c>
    </row>
    <row r="56" spans="1:16" s="211" customFormat="1">
      <c r="A56" s="214" t="s">
        <v>61</v>
      </c>
      <c r="B56" s="219" t="s">
        <v>51</v>
      </c>
      <c r="C56" s="216" t="s">
        <v>55</v>
      </c>
      <c r="D56" s="217">
        <v>4.7</v>
      </c>
      <c r="E56" s="218" t="str">
        <f t="shared" si="9"/>
        <v>WR-1012B-4.7</v>
      </c>
      <c r="F56" s="219">
        <f t="shared" si="11"/>
        <v>12</v>
      </c>
      <c r="G56" s="220" t="s">
        <v>184</v>
      </c>
      <c r="I56" s="224" t="s">
        <v>459</v>
      </c>
      <c r="J56" s="222">
        <f t="shared" si="10"/>
        <v>9972.8014505893025</v>
      </c>
      <c r="K56" s="223">
        <f>+K51+150-50+25+25</f>
        <v>11000</v>
      </c>
      <c r="O56" s="226">
        <f t="shared" si="3"/>
        <v>9972.8014505893025</v>
      </c>
      <c r="P56" s="227">
        <f t="shared" si="4"/>
        <v>11000</v>
      </c>
    </row>
    <row r="57" spans="1:16" s="211" customFormat="1">
      <c r="A57" s="214"/>
      <c r="B57" s="219"/>
      <c r="C57" s="216"/>
      <c r="D57" s="217"/>
      <c r="E57" s="218"/>
      <c r="F57" s="219"/>
      <c r="G57" s="220"/>
      <c r="I57" s="224"/>
      <c r="J57" s="222"/>
      <c r="K57" s="223"/>
      <c r="O57" s="226"/>
      <c r="P57" s="227"/>
    </row>
    <row r="58" spans="1:16" ht="12" customHeight="1">
      <c r="A58" s="72" t="s">
        <v>62</v>
      </c>
      <c r="B58" s="46" t="s">
        <v>51</v>
      </c>
      <c r="C58" s="52">
        <v>1005</v>
      </c>
      <c r="D58" s="48" t="s">
        <v>52</v>
      </c>
      <c r="E58" s="45" t="str">
        <f t="shared" si="9"/>
        <v>WR-1005-All</v>
      </c>
      <c r="F58" s="46">
        <f t="shared" si="11"/>
        <v>11</v>
      </c>
      <c r="G58" s="116" t="s">
        <v>185</v>
      </c>
      <c r="I58" s="171" t="s">
        <v>436</v>
      </c>
      <c r="J58" s="160">
        <f t="shared" ref="J58:J98" si="12">+K58/1.103</f>
        <v>10108.794197642792</v>
      </c>
      <c r="K58" s="73">
        <f>+K62+100</f>
        <v>11150</v>
      </c>
      <c r="O58" s="157">
        <f t="shared" si="3"/>
        <v>10108.794197642792</v>
      </c>
      <c r="P58" s="158">
        <f t="shared" si="4"/>
        <v>11150</v>
      </c>
    </row>
    <row r="59" spans="1:16" s="79" customFormat="1">
      <c r="A59" s="72" t="s">
        <v>63</v>
      </c>
      <c r="B59" s="75" t="s">
        <v>51</v>
      </c>
      <c r="C59" s="76">
        <v>1006</v>
      </c>
      <c r="D59" s="77" t="s">
        <v>296</v>
      </c>
      <c r="E59" s="78" t="str">
        <f t="shared" si="9"/>
        <v>WR-1006-5.5-5.8</v>
      </c>
      <c r="F59" s="75">
        <f t="shared" si="11"/>
        <v>15</v>
      </c>
      <c r="G59" s="116" t="s">
        <v>186</v>
      </c>
      <c r="I59" s="171" t="s">
        <v>433</v>
      </c>
      <c r="J59" s="160">
        <f t="shared" si="12"/>
        <v>9836.8087035358112</v>
      </c>
      <c r="K59" s="169">
        <f>+K51</f>
        <v>10850</v>
      </c>
      <c r="O59" s="157">
        <f t="shared" si="3"/>
        <v>9836.8087035358112</v>
      </c>
      <c r="P59" s="158">
        <f t="shared" si="4"/>
        <v>10850</v>
      </c>
    </row>
    <row r="60" spans="1:16" s="184" customFormat="1">
      <c r="A60" s="178" t="s">
        <v>64</v>
      </c>
      <c r="B60" s="179" t="s">
        <v>51</v>
      </c>
      <c r="C60" s="180">
        <v>1006</v>
      </c>
      <c r="D60" s="181" t="s">
        <v>448</v>
      </c>
      <c r="E60" s="182" t="str">
        <f t="shared" si="9"/>
        <v>WR-1006-6.0 - 13.9</v>
      </c>
      <c r="F60" s="179">
        <f t="shared" si="11"/>
        <v>18</v>
      </c>
      <c r="G60" s="183" t="s">
        <v>427</v>
      </c>
      <c r="I60" s="185" t="s">
        <v>433</v>
      </c>
      <c r="J60" s="186">
        <f t="shared" si="12"/>
        <v>9836.8087035358112</v>
      </c>
      <c r="K60" s="187">
        <f>+K59</f>
        <v>10850</v>
      </c>
      <c r="O60" s="201">
        <f t="shared" si="3"/>
        <v>9836.8087035358112</v>
      </c>
      <c r="P60" s="202">
        <f t="shared" si="4"/>
        <v>10850</v>
      </c>
    </row>
    <row r="61" spans="1:16" s="79" customFormat="1">
      <c r="A61" s="72" t="s">
        <v>65</v>
      </c>
      <c r="B61" s="75" t="s">
        <v>51</v>
      </c>
      <c r="C61" s="76" t="s">
        <v>298</v>
      </c>
      <c r="D61" s="77" t="s">
        <v>299</v>
      </c>
      <c r="E61" s="78" t="str">
        <f t="shared" si="9"/>
        <v>WR-1008 All size-all</v>
      </c>
      <c r="F61" s="75">
        <f t="shared" si="11"/>
        <v>20</v>
      </c>
      <c r="G61" s="116" t="s">
        <v>188</v>
      </c>
      <c r="I61" s="100" t="str">
        <f>+I62</f>
        <v>Base2 +25</v>
      </c>
      <c r="J61" s="160">
        <f t="shared" si="12"/>
        <v>10018.1323662738</v>
      </c>
      <c r="K61" s="73">
        <f>+K62</f>
        <v>11050</v>
      </c>
      <c r="O61" s="157">
        <f t="shared" si="3"/>
        <v>10018.1323662738</v>
      </c>
      <c r="P61" s="158">
        <f t="shared" si="4"/>
        <v>11050</v>
      </c>
    </row>
    <row r="62" spans="1:16" ht="15.75" customHeight="1">
      <c r="A62" s="72" t="s">
        <v>66</v>
      </c>
      <c r="B62" s="46" t="s">
        <v>51</v>
      </c>
      <c r="C62" s="47">
        <v>1008</v>
      </c>
      <c r="D62" s="48" t="s">
        <v>296</v>
      </c>
      <c r="E62" s="45" t="str">
        <f t="shared" si="9"/>
        <v>WR-1008-5.5-5.8</v>
      </c>
      <c r="F62" s="46">
        <f t="shared" si="11"/>
        <v>15</v>
      </c>
      <c r="G62" s="116" t="s">
        <v>189</v>
      </c>
      <c r="I62" s="171" t="s">
        <v>465</v>
      </c>
      <c r="J62" s="160">
        <f t="shared" si="12"/>
        <v>10018.1323662738</v>
      </c>
      <c r="K62" s="174">
        <f>+'Material Pricing Group SBY'!K74</f>
        <v>11050</v>
      </c>
      <c r="O62" s="157">
        <f t="shared" si="3"/>
        <v>10018.1323662738</v>
      </c>
      <c r="P62" s="158">
        <f t="shared" si="4"/>
        <v>11050</v>
      </c>
    </row>
    <row r="63" spans="1:16" s="79" customFormat="1">
      <c r="A63" s="72" t="s">
        <v>67</v>
      </c>
      <c r="B63" s="75" t="s">
        <v>51</v>
      </c>
      <c r="C63" s="76">
        <v>1008</v>
      </c>
      <c r="D63" s="81" t="s">
        <v>448</v>
      </c>
      <c r="E63" s="78" t="str">
        <f t="shared" si="9"/>
        <v>WR-1008-6.0 - 13.9</v>
      </c>
      <c r="F63" s="75">
        <f t="shared" si="11"/>
        <v>18</v>
      </c>
      <c r="G63" s="116" t="s">
        <v>428</v>
      </c>
      <c r="I63" s="171" t="s">
        <v>465</v>
      </c>
      <c r="J63" s="160">
        <f t="shared" si="12"/>
        <v>10018.1323662738</v>
      </c>
      <c r="K63" s="73">
        <f>+K62</f>
        <v>11050</v>
      </c>
      <c r="O63" s="157">
        <f t="shared" si="3"/>
        <v>10018.1323662738</v>
      </c>
      <c r="P63" s="158">
        <f t="shared" si="4"/>
        <v>11050</v>
      </c>
    </row>
    <row r="64" spans="1:16">
      <c r="A64" s="72" t="s">
        <v>68</v>
      </c>
      <c r="B64" s="46" t="s">
        <v>51</v>
      </c>
      <c r="C64" s="49" t="s">
        <v>300</v>
      </c>
      <c r="D64" s="48" t="s">
        <v>52</v>
      </c>
      <c r="E64" s="45" t="str">
        <f t="shared" si="9"/>
        <v>WR-1017/SWRM17-All</v>
      </c>
      <c r="F64" s="46">
        <f t="shared" si="11"/>
        <v>18</v>
      </c>
      <c r="G64" s="116" t="s">
        <v>191</v>
      </c>
      <c r="I64" s="100" t="s">
        <v>301</v>
      </c>
      <c r="J64" s="160">
        <f t="shared" si="12"/>
        <v>10018.1323662738</v>
      </c>
      <c r="K64" s="73">
        <f>K62</f>
        <v>11050</v>
      </c>
      <c r="O64" s="157">
        <f t="shared" si="3"/>
        <v>10018.1323662738</v>
      </c>
      <c r="P64" s="158">
        <f t="shared" si="4"/>
        <v>11050</v>
      </c>
    </row>
    <row r="65" spans="1:16">
      <c r="A65" s="72" t="s">
        <v>69</v>
      </c>
      <c r="B65" s="46" t="s">
        <v>51</v>
      </c>
      <c r="C65" s="49">
        <v>1018</v>
      </c>
      <c r="D65" s="48" t="s">
        <v>52</v>
      </c>
      <c r="E65" s="45" t="str">
        <f t="shared" si="9"/>
        <v>WR-1018-All</v>
      </c>
      <c r="F65" s="46">
        <f t="shared" si="11"/>
        <v>11</v>
      </c>
      <c r="G65" s="116" t="s">
        <v>192</v>
      </c>
      <c r="I65" s="100" t="s">
        <v>303</v>
      </c>
      <c r="J65" s="160">
        <f t="shared" si="12"/>
        <v>9836.8087035358112</v>
      </c>
      <c r="K65" s="73">
        <f>+K67</f>
        <v>10850</v>
      </c>
      <c r="O65" s="157">
        <f t="shared" si="3"/>
        <v>9836.8087035358112</v>
      </c>
      <c r="P65" s="158">
        <f t="shared" si="4"/>
        <v>10850</v>
      </c>
    </row>
    <row r="66" spans="1:16" ht="13.5" customHeight="1">
      <c r="A66" s="72" t="s">
        <v>70</v>
      </c>
      <c r="B66" s="75" t="s">
        <v>51</v>
      </c>
      <c r="C66" s="76" t="s">
        <v>302</v>
      </c>
      <c r="D66" s="77">
        <v>5.0999999999999996</v>
      </c>
      <c r="E66" s="78" t="str">
        <f t="shared" si="9"/>
        <v>WR-1010/12/15-5.1</v>
      </c>
      <c r="F66" s="46">
        <f t="shared" si="11"/>
        <v>17</v>
      </c>
      <c r="G66" s="116" t="s">
        <v>193</v>
      </c>
      <c r="I66" s="171" t="s">
        <v>303</v>
      </c>
      <c r="J66" s="160">
        <f t="shared" si="12"/>
        <v>9836.8087035358112</v>
      </c>
      <c r="K66" s="73">
        <f>+K67</f>
        <v>10850</v>
      </c>
      <c r="O66" s="157">
        <f t="shared" si="3"/>
        <v>9836.8087035358112</v>
      </c>
      <c r="P66" s="158">
        <f t="shared" si="4"/>
        <v>10850</v>
      </c>
    </row>
    <row r="67" spans="1:16" ht="13.5" customHeight="1">
      <c r="A67" s="72" t="s">
        <v>71</v>
      </c>
      <c r="B67" s="75" t="s">
        <v>51</v>
      </c>
      <c r="C67" s="76" t="s">
        <v>302</v>
      </c>
      <c r="D67" s="77">
        <v>5.5</v>
      </c>
      <c r="E67" s="78" t="str">
        <f t="shared" si="9"/>
        <v>WR-1010/12/15-5.5</v>
      </c>
      <c r="F67" s="46">
        <f t="shared" si="11"/>
        <v>17</v>
      </c>
      <c r="G67" s="116" t="s">
        <v>194</v>
      </c>
      <c r="I67" s="100" t="s">
        <v>303</v>
      </c>
      <c r="J67" s="160">
        <f t="shared" si="12"/>
        <v>9836.8087035358112</v>
      </c>
      <c r="K67" s="174">
        <f>+'Material Pricing Group SBY'!K84</f>
        <v>10850</v>
      </c>
      <c r="O67" s="157">
        <f t="shared" si="3"/>
        <v>9836.8087035358112</v>
      </c>
      <c r="P67" s="158">
        <f t="shared" si="4"/>
        <v>10850</v>
      </c>
    </row>
    <row r="68" spans="1:16" ht="13.5" customHeight="1">
      <c r="A68" s="72" t="s">
        <v>72</v>
      </c>
      <c r="B68" s="75" t="s">
        <v>51</v>
      </c>
      <c r="C68" s="76" t="s">
        <v>302</v>
      </c>
      <c r="D68" s="77">
        <v>5.4</v>
      </c>
      <c r="E68" s="78" t="str">
        <f t="shared" si="9"/>
        <v>WR-1010/12/15-5.4</v>
      </c>
      <c r="F68" s="46">
        <f t="shared" si="11"/>
        <v>17</v>
      </c>
      <c r="G68" s="116" t="s">
        <v>195</v>
      </c>
      <c r="I68" s="100" t="str">
        <f>+I67</f>
        <v>Base3</v>
      </c>
      <c r="J68" s="160">
        <f t="shared" si="12"/>
        <v>9836.8087035358112</v>
      </c>
      <c r="K68" s="73">
        <f>+K67</f>
        <v>10850</v>
      </c>
      <c r="O68" s="157">
        <f t="shared" si="3"/>
        <v>9836.8087035358112</v>
      </c>
      <c r="P68" s="158">
        <f t="shared" si="4"/>
        <v>10850</v>
      </c>
    </row>
    <row r="69" spans="1:16" ht="13.5" customHeight="1">
      <c r="A69" s="72" t="s">
        <v>73</v>
      </c>
      <c r="B69" s="75" t="s">
        <v>51</v>
      </c>
      <c r="C69" s="76" t="s">
        <v>302</v>
      </c>
      <c r="D69" s="77">
        <v>5.65</v>
      </c>
      <c r="E69" s="78" t="str">
        <f t="shared" si="9"/>
        <v>WR-1010/12/15-5.65</v>
      </c>
      <c r="F69" s="46">
        <f>LEN(E69)</f>
        <v>18</v>
      </c>
      <c r="G69" s="116" t="s">
        <v>196</v>
      </c>
      <c r="I69" s="100" t="str">
        <f>+I68</f>
        <v>Base3</v>
      </c>
      <c r="J69" s="160">
        <f t="shared" si="12"/>
        <v>9836.8087035358112</v>
      </c>
      <c r="K69" s="73">
        <f>+K68</f>
        <v>10850</v>
      </c>
      <c r="O69" s="157">
        <f t="shared" si="3"/>
        <v>9836.8087035358112</v>
      </c>
      <c r="P69" s="158">
        <f t="shared" si="4"/>
        <v>10850</v>
      </c>
    </row>
    <row r="70" spans="1:16" ht="13.5" customHeight="1">
      <c r="A70" s="72" t="s">
        <v>74</v>
      </c>
      <c r="B70" s="75" t="s">
        <v>51</v>
      </c>
      <c r="C70" s="76" t="s">
        <v>304</v>
      </c>
      <c r="D70" s="77" t="s">
        <v>305</v>
      </c>
      <c r="E70" s="78" t="str">
        <f t="shared" si="9"/>
        <v>WR-1010/2/5-5.8-6.2</v>
      </c>
      <c r="F70" s="46">
        <f t="shared" si="11"/>
        <v>19</v>
      </c>
      <c r="G70" s="116" t="s">
        <v>197</v>
      </c>
      <c r="I70" s="100" t="s">
        <v>438</v>
      </c>
      <c r="J70" s="160">
        <f t="shared" si="12"/>
        <v>9836.8087035358112</v>
      </c>
      <c r="K70" s="73">
        <f>+K67</f>
        <v>10850</v>
      </c>
      <c r="O70" s="157">
        <f t="shared" si="3"/>
        <v>9836.8087035358112</v>
      </c>
      <c r="P70" s="158">
        <f t="shared" si="4"/>
        <v>10850</v>
      </c>
    </row>
    <row r="71" spans="1:16" ht="13.5" customHeight="1">
      <c r="A71" s="72" t="s">
        <v>75</v>
      </c>
      <c r="B71" s="75" t="s">
        <v>51</v>
      </c>
      <c r="C71" s="76" t="s">
        <v>304</v>
      </c>
      <c r="D71" s="77" t="s">
        <v>306</v>
      </c>
      <c r="E71" s="78" t="str">
        <f t="shared" si="9"/>
        <v>WR-1010/2/5-6.4-7.2</v>
      </c>
      <c r="F71" s="46">
        <f t="shared" si="11"/>
        <v>19</v>
      </c>
      <c r="G71" s="116" t="s">
        <v>198</v>
      </c>
      <c r="I71" s="171" t="s">
        <v>438</v>
      </c>
      <c r="J71" s="160">
        <f t="shared" si="12"/>
        <v>9836.8087035358112</v>
      </c>
      <c r="K71" s="73">
        <f>+K67</f>
        <v>10850</v>
      </c>
      <c r="O71" s="157">
        <f t="shared" si="3"/>
        <v>9836.8087035358112</v>
      </c>
      <c r="P71" s="158">
        <f t="shared" si="4"/>
        <v>10850</v>
      </c>
    </row>
    <row r="72" spans="1:16" ht="13.5" customHeight="1">
      <c r="A72" s="72" t="s">
        <v>76</v>
      </c>
      <c r="B72" s="75" t="s">
        <v>51</v>
      </c>
      <c r="C72" s="76" t="s">
        <v>304</v>
      </c>
      <c r="D72" s="77" t="s">
        <v>449</v>
      </c>
      <c r="E72" s="78" t="str">
        <f t="shared" si="9"/>
        <v>WR-1010/2/5-7.4 - 13.9</v>
      </c>
      <c r="F72" s="46">
        <f t="shared" si="11"/>
        <v>22</v>
      </c>
      <c r="G72" s="119" t="s">
        <v>450</v>
      </c>
      <c r="I72" s="171" t="s">
        <v>438</v>
      </c>
      <c r="J72" s="160">
        <f t="shared" si="12"/>
        <v>9836.8087035358112</v>
      </c>
      <c r="K72" s="73">
        <f>+K67</f>
        <v>10850</v>
      </c>
      <c r="O72" s="157">
        <f t="shared" si="3"/>
        <v>9836.8087035358112</v>
      </c>
      <c r="P72" s="158">
        <f t="shared" si="4"/>
        <v>10850</v>
      </c>
    </row>
    <row r="73" spans="1:16" s="79" customFormat="1">
      <c r="A73" s="72" t="s">
        <v>77</v>
      </c>
      <c r="B73" s="75" t="s">
        <v>51</v>
      </c>
      <c r="C73" s="76" t="s">
        <v>308</v>
      </c>
      <c r="D73" s="77" t="s">
        <v>299</v>
      </c>
      <c r="E73" s="78" t="str">
        <f t="shared" si="9"/>
        <v>WR-1012 All-all</v>
      </c>
      <c r="F73" s="46">
        <f t="shared" si="11"/>
        <v>15</v>
      </c>
      <c r="G73" s="116" t="s">
        <v>200</v>
      </c>
      <c r="I73" s="100" t="str">
        <f>+I68</f>
        <v>Base3</v>
      </c>
      <c r="J73" s="160">
        <f t="shared" si="12"/>
        <v>9836.8087035358112</v>
      </c>
      <c r="K73" s="73">
        <f>+K68</f>
        <v>10850</v>
      </c>
      <c r="O73" s="157">
        <f t="shared" si="3"/>
        <v>9836.8087035358112</v>
      </c>
      <c r="P73" s="158">
        <f t="shared" si="4"/>
        <v>10850</v>
      </c>
    </row>
    <row r="74" spans="1:16">
      <c r="A74" s="72" t="s">
        <v>78</v>
      </c>
      <c r="B74" s="46" t="s">
        <v>51</v>
      </c>
      <c r="C74" s="49" t="s">
        <v>309</v>
      </c>
      <c r="D74" s="48" t="s">
        <v>52</v>
      </c>
      <c r="E74" s="45" t="str">
        <f t="shared" si="9"/>
        <v>WR-1022/SWRM22-All</v>
      </c>
      <c r="F74" s="46">
        <f t="shared" si="11"/>
        <v>18</v>
      </c>
      <c r="G74" s="116" t="s">
        <v>201</v>
      </c>
      <c r="I74" s="100" t="str">
        <f>I49</f>
        <v xml:space="preserve">Base1 </v>
      </c>
      <c r="J74" s="160">
        <f t="shared" si="12"/>
        <v>9836.8087035358112</v>
      </c>
      <c r="K74" s="73">
        <f>K51</f>
        <v>10850</v>
      </c>
      <c r="O74" s="157">
        <f t="shared" si="3"/>
        <v>9836.8087035358112</v>
      </c>
      <c r="P74" s="158">
        <f t="shared" si="4"/>
        <v>10850</v>
      </c>
    </row>
    <row r="75" spans="1:16">
      <c r="A75" s="72" t="s">
        <v>79</v>
      </c>
      <c r="B75" s="46" t="s">
        <v>51</v>
      </c>
      <c r="C75" s="50" t="s">
        <v>102</v>
      </c>
      <c r="D75" s="51">
        <v>6</v>
      </c>
      <c r="E75" s="45" t="str">
        <f t="shared" si="9"/>
        <v>WR-1012I-6</v>
      </c>
      <c r="F75" s="46">
        <f t="shared" si="11"/>
        <v>10</v>
      </c>
      <c r="G75" s="116" t="s">
        <v>202</v>
      </c>
      <c r="I75" s="100" t="s">
        <v>310</v>
      </c>
      <c r="J75" s="160">
        <f t="shared" si="12"/>
        <v>9836.8087035358112</v>
      </c>
      <c r="K75" s="174">
        <f>+'Material Pricing Group SBY'!K96</f>
        <v>10850</v>
      </c>
      <c r="O75" s="157">
        <f t="shared" si="3"/>
        <v>9836.8087035358112</v>
      </c>
      <c r="P75" s="158">
        <f t="shared" si="4"/>
        <v>10850</v>
      </c>
    </row>
    <row r="76" spans="1:16">
      <c r="A76" s="72" t="s">
        <v>80</v>
      </c>
      <c r="B76" s="46" t="s">
        <v>51</v>
      </c>
      <c r="C76" s="50" t="s">
        <v>102</v>
      </c>
      <c r="D76" s="51">
        <v>8</v>
      </c>
      <c r="E76" s="45" t="str">
        <f t="shared" si="9"/>
        <v>WR-1012I-8</v>
      </c>
      <c r="F76" s="46">
        <f t="shared" si="11"/>
        <v>10</v>
      </c>
      <c r="G76" s="116" t="s">
        <v>203</v>
      </c>
      <c r="I76" s="100" t="str">
        <f t="shared" ref="I76:I78" si="13">+I75</f>
        <v>Base4</v>
      </c>
      <c r="J76" s="160">
        <f t="shared" si="12"/>
        <v>10562.103354487761</v>
      </c>
      <c r="K76" s="73">
        <f>+'Material Pricing Group SBY'!K103</f>
        <v>11650</v>
      </c>
      <c r="O76" s="157">
        <f t="shared" si="3"/>
        <v>10562.103354487761</v>
      </c>
      <c r="P76" s="158">
        <f t="shared" si="4"/>
        <v>11650</v>
      </c>
    </row>
    <row r="77" spans="1:16">
      <c r="A77" s="72" t="s">
        <v>81</v>
      </c>
      <c r="B77" s="46" t="s">
        <v>51</v>
      </c>
      <c r="C77" s="50" t="s">
        <v>102</v>
      </c>
      <c r="D77" s="51">
        <v>10</v>
      </c>
      <c r="E77" s="45" t="str">
        <f t="shared" si="9"/>
        <v>WR-1012I-10</v>
      </c>
      <c r="F77" s="46">
        <f t="shared" si="11"/>
        <v>11</v>
      </c>
      <c r="G77" s="116" t="s">
        <v>204</v>
      </c>
      <c r="I77" s="100" t="str">
        <f t="shared" si="13"/>
        <v>Base4</v>
      </c>
      <c r="J77" s="160">
        <f t="shared" si="12"/>
        <v>9836.8087035358112</v>
      </c>
      <c r="K77" s="73">
        <f>+K75</f>
        <v>10850</v>
      </c>
      <c r="O77" s="157">
        <f t="shared" si="3"/>
        <v>9836.8087035358112</v>
      </c>
      <c r="P77" s="158">
        <f t="shared" si="4"/>
        <v>10850</v>
      </c>
    </row>
    <row r="78" spans="1:16">
      <c r="A78" s="72" t="s">
        <v>82</v>
      </c>
      <c r="B78" s="46" t="s">
        <v>51</v>
      </c>
      <c r="C78" s="50" t="s">
        <v>102</v>
      </c>
      <c r="D78" s="51">
        <v>12</v>
      </c>
      <c r="E78" s="45" t="str">
        <f t="shared" si="9"/>
        <v>WR-1012I-12</v>
      </c>
      <c r="F78" s="46">
        <f t="shared" si="11"/>
        <v>11</v>
      </c>
      <c r="G78" s="116" t="s">
        <v>205</v>
      </c>
      <c r="I78" s="100" t="str">
        <f t="shared" si="13"/>
        <v>Base4</v>
      </c>
      <c r="J78" s="160">
        <f t="shared" si="12"/>
        <v>9836.8087035358112</v>
      </c>
      <c r="K78" s="73">
        <f>+K75</f>
        <v>10850</v>
      </c>
      <c r="O78" s="157">
        <f t="shared" si="3"/>
        <v>9836.8087035358112</v>
      </c>
      <c r="P78" s="158">
        <f t="shared" si="4"/>
        <v>10850</v>
      </c>
    </row>
    <row r="79" spans="1:16">
      <c r="A79" s="72" t="s">
        <v>83</v>
      </c>
      <c r="B79" s="46" t="s">
        <v>51</v>
      </c>
      <c r="C79" s="53" t="s">
        <v>125</v>
      </c>
      <c r="D79" s="48" t="s">
        <v>52</v>
      </c>
      <c r="E79" s="45" t="str">
        <f t="shared" si="9"/>
        <v>WR-SWRH27-All</v>
      </c>
      <c r="F79" s="46">
        <f t="shared" si="11"/>
        <v>13</v>
      </c>
      <c r="G79" s="116" t="s">
        <v>206</v>
      </c>
      <c r="I79" s="100" t="s">
        <v>311</v>
      </c>
      <c r="J79" s="165">
        <f t="shared" si="12"/>
        <v>8476.8812330009059</v>
      </c>
      <c r="K79" s="82">
        <f>+K81+100</f>
        <v>9350</v>
      </c>
      <c r="O79" s="157">
        <f t="shared" si="3"/>
        <v>8476.8812330009059</v>
      </c>
      <c r="P79" s="158">
        <f t="shared" si="4"/>
        <v>9350</v>
      </c>
    </row>
    <row r="80" spans="1:16">
      <c r="A80" s="72" t="s">
        <v>84</v>
      </c>
      <c r="B80" s="46" t="s">
        <v>51</v>
      </c>
      <c r="C80" s="53" t="s">
        <v>127</v>
      </c>
      <c r="D80" s="48" t="s">
        <v>52</v>
      </c>
      <c r="E80" s="45" t="str">
        <f t="shared" si="9"/>
        <v>WR-SWRH32-All</v>
      </c>
      <c r="F80" s="46">
        <f t="shared" si="11"/>
        <v>13</v>
      </c>
      <c r="G80" s="116" t="s">
        <v>207</v>
      </c>
      <c r="I80" s="100" t="str">
        <f>+$I$79</f>
        <v>Base5+100</v>
      </c>
      <c r="J80" s="165">
        <f t="shared" si="12"/>
        <v>8476.8812330009059</v>
      </c>
      <c r="K80" s="82">
        <f>+K81+100</f>
        <v>9350</v>
      </c>
      <c r="O80" s="157">
        <f t="shared" si="3"/>
        <v>8476.8812330009059</v>
      </c>
      <c r="P80" s="158">
        <f t="shared" si="4"/>
        <v>9350</v>
      </c>
    </row>
    <row r="81" spans="1:16">
      <c r="A81" s="72" t="s">
        <v>85</v>
      </c>
      <c r="B81" s="46" t="s">
        <v>51</v>
      </c>
      <c r="C81" s="53" t="s">
        <v>312</v>
      </c>
      <c r="D81" s="48" t="s">
        <v>52</v>
      </c>
      <c r="E81" s="45" t="str">
        <f t="shared" si="9"/>
        <v>WR-SWRH37-72B-All</v>
      </c>
      <c r="F81" s="46">
        <f t="shared" si="11"/>
        <v>17</v>
      </c>
      <c r="G81" s="116" t="s">
        <v>208</v>
      </c>
      <c r="I81" s="100" t="s">
        <v>313</v>
      </c>
      <c r="J81" s="165">
        <f t="shared" si="12"/>
        <v>8386.2194016319136</v>
      </c>
      <c r="K81" s="251">
        <f>9050-100-100-50-50-50-200-50+800</f>
        <v>9250</v>
      </c>
      <c r="O81" s="157">
        <f t="shared" si="3"/>
        <v>8386.2194016319136</v>
      </c>
      <c r="P81" s="158">
        <f t="shared" si="4"/>
        <v>9250</v>
      </c>
    </row>
    <row r="82" spans="1:16">
      <c r="A82" s="72" t="s">
        <v>86</v>
      </c>
      <c r="B82" s="46" t="s">
        <v>51</v>
      </c>
      <c r="C82" s="53" t="s">
        <v>144</v>
      </c>
      <c r="D82" s="48" t="s">
        <v>52</v>
      </c>
      <c r="E82" s="45" t="str">
        <f t="shared" si="9"/>
        <v>WR-32 HiSi-All</v>
      </c>
      <c r="F82" s="46">
        <f t="shared" si="11"/>
        <v>14</v>
      </c>
      <c r="G82" s="116" t="s">
        <v>209</v>
      </c>
      <c r="I82" s="100" t="s">
        <v>311</v>
      </c>
      <c r="J82" s="165">
        <f t="shared" si="12"/>
        <v>8476.8812330009059</v>
      </c>
      <c r="K82" s="82">
        <f>+$K$81+100</f>
        <v>9350</v>
      </c>
      <c r="O82" s="157">
        <f t="shared" si="3"/>
        <v>8476.8812330009059</v>
      </c>
      <c r="P82" s="158">
        <f t="shared" si="4"/>
        <v>9350</v>
      </c>
    </row>
    <row r="83" spans="1:16">
      <c r="A83" s="72" t="s">
        <v>87</v>
      </c>
      <c r="B83" s="46" t="s">
        <v>51</v>
      </c>
      <c r="C83" s="53" t="s">
        <v>314</v>
      </c>
      <c r="D83" s="48" t="s">
        <v>315</v>
      </c>
      <c r="E83" s="45" t="str">
        <f t="shared" si="9"/>
        <v>WR-SWRH77A-82B-5-7.9</v>
      </c>
      <c r="F83" s="46">
        <f t="shared" si="11"/>
        <v>20</v>
      </c>
      <c r="G83" s="116" t="s">
        <v>210</v>
      </c>
      <c r="I83" s="171" t="s">
        <v>311</v>
      </c>
      <c r="J83" s="160">
        <f t="shared" si="12"/>
        <v>8476.8812330009059</v>
      </c>
      <c r="K83" s="73">
        <f>+K81+100</f>
        <v>9350</v>
      </c>
      <c r="O83" s="157">
        <f t="shared" si="3"/>
        <v>8476.8812330009059</v>
      </c>
      <c r="P83" s="158">
        <f t="shared" si="4"/>
        <v>9350</v>
      </c>
    </row>
    <row r="84" spans="1:16">
      <c r="A84" s="72" t="s">
        <v>88</v>
      </c>
      <c r="B84" s="46" t="s">
        <v>51</v>
      </c>
      <c r="C84" s="53" t="s">
        <v>314</v>
      </c>
      <c r="D84" s="83" t="s">
        <v>316</v>
      </c>
      <c r="E84" s="45" t="str">
        <f t="shared" si="9"/>
        <v>WR-SWRH77A-82B-8-12</v>
      </c>
      <c r="F84" s="46">
        <f t="shared" si="11"/>
        <v>19</v>
      </c>
      <c r="G84" s="116" t="s">
        <v>211</v>
      </c>
      <c r="I84" s="171" t="s">
        <v>437</v>
      </c>
      <c r="J84" s="160">
        <f t="shared" si="12"/>
        <v>8522.212148685403</v>
      </c>
      <c r="K84" s="73">
        <f>+K81+150</f>
        <v>9400</v>
      </c>
      <c r="O84" s="157">
        <f t="shared" si="3"/>
        <v>8522.212148685403</v>
      </c>
      <c r="P84" s="158">
        <f t="shared" si="4"/>
        <v>9400</v>
      </c>
    </row>
    <row r="85" spans="1:16">
      <c r="A85" s="72" t="s">
        <v>89</v>
      </c>
      <c r="B85" s="46" t="s">
        <v>51</v>
      </c>
      <c r="C85" s="50" t="s">
        <v>317</v>
      </c>
      <c r="D85" s="48" t="s">
        <v>318</v>
      </c>
      <c r="E85" s="45" t="str">
        <f>CONCATENATE(B85,"-",C85,"-",D85)</f>
        <v>WR-SWRH77-82-12.5-16</v>
      </c>
      <c r="F85" s="46">
        <f t="shared" si="11"/>
        <v>20</v>
      </c>
      <c r="G85" s="116" t="s">
        <v>212</v>
      </c>
      <c r="I85" s="171" t="s">
        <v>437</v>
      </c>
      <c r="J85" s="160">
        <f t="shared" si="12"/>
        <v>8522.212148685403</v>
      </c>
      <c r="K85" s="73">
        <f>+K84</f>
        <v>9400</v>
      </c>
      <c r="O85" s="157">
        <f t="shared" si="3"/>
        <v>8522.212148685403</v>
      </c>
      <c r="P85" s="158">
        <f t="shared" si="4"/>
        <v>9400</v>
      </c>
    </row>
    <row r="86" spans="1:16">
      <c r="A86" s="72" t="s">
        <v>90</v>
      </c>
      <c r="B86" s="46" t="s">
        <v>51</v>
      </c>
      <c r="C86" s="49" t="s">
        <v>319</v>
      </c>
      <c r="D86" s="48" t="s">
        <v>320</v>
      </c>
      <c r="E86" s="45" t="str">
        <f t="shared" si="9"/>
        <v>WR-SWRY-11-ALL</v>
      </c>
      <c r="F86" s="46">
        <f t="shared" si="11"/>
        <v>14</v>
      </c>
      <c r="G86" s="116" t="s">
        <v>213</v>
      </c>
      <c r="I86" s="100" t="s">
        <v>321</v>
      </c>
      <c r="J86" s="160">
        <f t="shared" si="12"/>
        <v>10562.103354487761</v>
      </c>
      <c r="K86" s="174">
        <f>+'Material Pricing Group SBY'!K109</f>
        <v>11650</v>
      </c>
      <c r="O86" s="157">
        <f t="shared" si="3"/>
        <v>10562.103354487761</v>
      </c>
      <c r="P86" s="158">
        <f t="shared" si="4"/>
        <v>11650</v>
      </c>
    </row>
    <row r="87" spans="1:16">
      <c r="A87" s="72" t="s">
        <v>91</v>
      </c>
      <c r="B87" s="46" t="s">
        <v>51</v>
      </c>
      <c r="C87" s="47" t="s">
        <v>322</v>
      </c>
      <c r="D87" s="48" t="s">
        <v>320</v>
      </c>
      <c r="E87" s="45" t="str">
        <f t="shared" si="9"/>
        <v>WR-SWRY-17-ALL</v>
      </c>
      <c r="F87" s="46">
        <f t="shared" si="11"/>
        <v>14</v>
      </c>
      <c r="G87" s="116" t="s">
        <v>214</v>
      </c>
      <c r="I87" s="100" t="s">
        <v>321</v>
      </c>
      <c r="J87" s="160">
        <f t="shared" si="12"/>
        <v>10562.103354487761</v>
      </c>
      <c r="K87" s="73">
        <f>+K86</f>
        <v>11650</v>
      </c>
      <c r="O87" s="157">
        <f t="shared" ref="O87:O102" si="14">+J87-M87</f>
        <v>10562.103354487761</v>
      </c>
      <c r="P87" s="158">
        <f t="shared" ref="P87:P102" si="15">+K87-N87</f>
        <v>11650</v>
      </c>
    </row>
    <row r="88" spans="1:16">
      <c r="A88" s="72" t="s">
        <v>92</v>
      </c>
      <c r="B88" s="46" t="s">
        <v>51</v>
      </c>
      <c r="C88" s="49" t="s">
        <v>323</v>
      </c>
      <c r="D88" s="48" t="s">
        <v>320</v>
      </c>
      <c r="E88" s="45" t="str">
        <f t="shared" si="9"/>
        <v>WR-XE400P-ALL</v>
      </c>
      <c r="F88" s="46">
        <f t="shared" si="11"/>
        <v>13</v>
      </c>
      <c r="G88" s="116" t="s">
        <v>215</v>
      </c>
      <c r="I88" s="100" t="str">
        <f>+I86</f>
        <v>Base6</v>
      </c>
      <c r="J88" s="160">
        <f t="shared" si="12"/>
        <v>10562.103354487761</v>
      </c>
      <c r="K88" s="73">
        <f>+K86</f>
        <v>11650</v>
      </c>
      <c r="O88" s="157">
        <f t="shared" si="14"/>
        <v>10562.103354487761</v>
      </c>
      <c r="P88" s="158">
        <f t="shared" si="15"/>
        <v>11650</v>
      </c>
    </row>
    <row r="89" spans="1:16">
      <c r="A89" s="72" t="s">
        <v>93</v>
      </c>
      <c r="B89" s="46" t="s">
        <v>51</v>
      </c>
      <c r="C89" s="49" t="s">
        <v>324</v>
      </c>
      <c r="D89" s="48" t="s">
        <v>320</v>
      </c>
      <c r="E89" s="45" t="str">
        <f t="shared" si="9"/>
        <v>WR-XE4000-ALL</v>
      </c>
      <c r="F89" s="46">
        <f t="shared" si="11"/>
        <v>13</v>
      </c>
      <c r="G89" s="116" t="s">
        <v>216</v>
      </c>
      <c r="I89" s="100" t="str">
        <f>+I86</f>
        <v>Base6</v>
      </c>
      <c r="J89" s="160">
        <f t="shared" si="12"/>
        <v>10562.103354487761</v>
      </c>
      <c r="K89" s="73">
        <f>+K86</f>
        <v>11650</v>
      </c>
      <c r="O89" s="157">
        <f t="shared" si="14"/>
        <v>10562.103354487761</v>
      </c>
      <c r="P89" s="158">
        <f t="shared" si="15"/>
        <v>11650</v>
      </c>
    </row>
    <row r="90" spans="1:16">
      <c r="A90" s="72" t="s">
        <v>94</v>
      </c>
      <c r="B90" s="46" t="s">
        <v>51</v>
      </c>
      <c r="C90" s="49" t="s">
        <v>325</v>
      </c>
      <c r="D90" s="48" t="s">
        <v>320</v>
      </c>
      <c r="E90" s="45" t="str">
        <f t="shared" si="9"/>
        <v>WR-XE4100-ALL</v>
      </c>
      <c r="F90" s="46">
        <f t="shared" si="11"/>
        <v>13</v>
      </c>
      <c r="G90" s="116" t="s">
        <v>217</v>
      </c>
      <c r="I90" s="100" t="str">
        <f>+I86</f>
        <v>Base6</v>
      </c>
      <c r="J90" s="160">
        <f t="shared" si="12"/>
        <v>10562.103354487761</v>
      </c>
      <c r="K90" s="73">
        <f>+K86</f>
        <v>11650</v>
      </c>
      <c r="O90" s="157">
        <f t="shared" si="14"/>
        <v>10562.103354487761</v>
      </c>
      <c r="P90" s="158">
        <f t="shared" si="15"/>
        <v>11650</v>
      </c>
    </row>
    <row r="91" spans="1:16">
      <c r="A91" s="72" t="s">
        <v>95</v>
      </c>
      <c r="B91" s="46" t="s">
        <v>51</v>
      </c>
      <c r="C91" s="47">
        <v>1210</v>
      </c>
      <c r="D91" s="48" t="s">
        <v>320</v>
      </c>
      <c r="E91" s="45" t="str">
        <f t="shared" si="9"/>
        <v>WR-1210-ALL</v>
      </c>
      <c r="F91" s="46">
        <f t="shared" si="11"/>
        <v>11</v>
      </c>
      <c r="G91" s="116" t="s">
        <v>218</v>
      </c>
      <c r="I91" s="100" t="s">
        <v>326</v>
      </c>
      <c r="J91" s="160">
        <f t="shared" si="12"/>
        <v>10834.088848594742</v>
      </c>
      <c r="K91" s="73">
        <f>+K86+300</f>
        <v>11950</v>
      </c>
      <c r="O91" s="157">
        <f t="shared" si="14"/>
        <v>10834.088848594742</v>
      </c>
      <c r="P91" s="158">
        <f t="shared" si="15"/>
        <v>11950</v>
      </c>
    </row>
    <row r="92" spans="1:16">
      <c r="A92" s="72" t="s">
        <v>96</v>
      </c>
      <c r="B92" s="46" t="s">
        <v>51</v>
      </c>
      <c r="C92" s="47">
        <v>1222</v>
      </c>
      <c r="D92" s="48" t="s">
        <v>320</v>
      </c>
      <c r="E92" s="45" t="str">
        <f t="shared" si="9"/>
        <v>WR-1222-ALL</v>
      </c>
      <c r="F92" s="46">
        <f t="shared" si="11"/>
        <v>11</v>
      </c>
      <c r="G92" s="116" t="s">
        <v>219</v>
      </c>
      <c r="I92" s="100" t="str">
        <f>+I91</f>
        <v>Base6+300</v>
      </c>
      <c r="J92" s="160">
        <f t="shared" si="12"/>
        <v>10834.088848594742</v>
      </c>
      <c r="K92" s="73">
        <f>+K91</f>
        <v>11950</v>
      </c>
      <c r="O92" s="157">
        <f t="shared" si="14"/>
        <v>10834.088848594742</v>
      </c>
      <c r="P92" s="158">
        <f t="shared" si="15"/>
        <v>11950</v>
      </c>
    </row>
    <row r="93" spans="1:16">
      <c r="A93" s="72" t="s">
        <v>97</v>
      </c>
      <c r="B93" s="46" t="s">
        <v>51</v>
      </c>
      <c r="C93" s="49" t="s">
        <v>327</v>
      </c>
      <c r="D93" s="48" t="s">
        <v>320</v>
      </c>
      <c r="E93" s="45" t="str">
        <f t="shared" si="9"/>
        <v>WR-ER70S4-ALL</v>
      </c>
      <c r="F93" s="46">
        <f t="shared" si="11"/>
        <v>13</v>
      </c>
      <c r="G93" s="116" t="s">
        <v>220</v>
      </c>
      <c r="I93" s="100" t="s">
        <v>328</v>
      </c>
      <c r="J93" s="160">
        <f t="shared" si="12"/>
        <v>11287.398005439711</v>
      </c>
      <c r="K93" s="73">
        <f>+K86+800</f>
        <v>12450</v>
      </c>
      <c r="O93" s="157">
        <f t="shared" si="14"/>
        <v>11287.398005439711</v>
      </c>
      <c r="P93" s="158">
        <f t="shared" si="15"/>
        <v>12450</v>
      </c>
    </row>
    <row r="94" spans="1:16">
      <c r="A94" s="72" t="s">
        <v>98</v>
      </c>
      <c r="B94" s="46" t="s">
        <v>51</v>
      </c>
      <c r="C94" s="47" t="s">
        <v>329</v>
      </c>
      <c r="D94" s="48" t="s">
        <v>320</v>
      </c>
      <c r="E94" s="45" t="str">
        <f t="shared" si="9"/>
        <v>WR-ER70S6-ALL</v>
      </c>
      <c r="F94" s="46">
        <f t="shared" si="11"/>
        <v>13</v>
      </c>
      <c r="G94" s="116" t="s">
        <v>221</v>
      </c>
      <c r="I94" s="100" t="str">
        <f>+I93</f>
        <v>Base6+800</v>
      </c>
      <c r="J94" s="160">
        <f t="shared" si="12"/>
        <v>11287.398005439711</v>
      </c>
      <c r="K94" s="73">
        <f>+K93</f>
        <v>12450</v>
      </c>
      <c r="O94" s="157">
        <f t="shared" si="14"/>
        <v>11287.398005439711</v>
      </c>
      <c r="P94" s="158">
        <f t="shared" si="15"/>
        <v>12450</v>
      </c>
    </row>
    <row r="95" spans="1:16">
      <c r="A95" s="72" t="s">
        <v>99</v>
      </c>
      <c r="B95" s="46" t="s">
        <v>51</v>
      </c>
      <c r="C95" s="49" t="s">
        <v>330</v>
      </c>
      <c r="D95" s="48" t="s">
        <v>320</v>
      </c>
      <c r="E95" s="45" t="str">
        <f t="shared" si="9"/>
        <v>WR-EM12-ALL</v>
      </c>
      <c r="F95" s="46">
        <f t="shared" si="11"/>
        <v>11</v>
      </c>
      <c r="G95" s="116" t="s">
        <v>222</v>
      </c>
      <c r="I95" s="100" t="str">
        <f>+I93</f>
        <v>Base6+800</v>
      </c>
      <c r="J95" s="160">
        <f t="shared" si="12"/>
        <v>11287.398005439711</v>
      </c>
      <c r="K95" s="73">
        <f>+K93</f>
        <v>12450</v>
      </c>
      <c r="O95" s="157">
        <f t="shared" si="14"/>
        <v>11287.398005439711</v>
      </c>
      <c r="P95" s="158">
        <f t="shared" si="15"/>
        <v>12450</v>
      </c>
    </row>
    <row r="96" spans="1:16">
      <c r="A96" s="72" t="s">
        <v>100</v>
      </c>
      <c r="B96" s="46" t="s">
        <v>51</v>
      </c>
      <c r="C96" s="49" t="s">
        <v>331</v>
      </c>
      <c r="D96" s="48" t="s">
        <v>320</v>
      </c>
      <c r="E96" s="45" t="str">
        <f t="shared" si="9"/>
        <v>WR-EM12K-ALL</v>
      </c>
      <c r="F96" s="46">
        <f t="shared" si="11"/>
        <v>12</v>
      </c>
      <c r="G96" s="116" t="s">
        <v>223</v>
      </c>
      <c r="I96" s="100" t="str">
        <f>+I93</f>
        <v>Base6+800</v>
      </c>
      <c r="J96" s="160">
        <f t="shared" si="12"/>
        <v>11287.398005439711</v>
      </c>
      <c r="K96" s="73">
        <f>+K93</f>
        <v>12450</v>
      </c>
      <c r="O96" s="157">
        <f t="shared" si="14"/>
        <v>11287.398005439711</v>
      </c>
      <c r="P96" s="158">
        <f t="shared" si="15"/>
        <v>12450</v>
      </c>
    </row>
    <row r="97" spans="1:16">
      <c r="A97" s="72" t="s">
        <v>101</v>
      </c>
      <c r="B97" s="46" t="s">
        <v>51</v>
      </c>
      <c r="C97" s="50" t="s">
        <v>332</v>
      </c>
      <c r="D97" s="48" t="s">
        <v>320</v>
      </c>
      <c r="E97" s="45" t="str">
        <f>CONCATENATE(B97,"-",C97,"-",D97)</f>
        <v>WR-EH12K-ALL</v>
      </c>
      <c r="F97" s="46">
        <f>LEN(E97)</f>
        <v>12</v>
      </c>
      <c r="G97" s="116" t="s">
        <v>224</v>
      </c>
      <c r="I97" s="100" t="s">
        <v>393</v>
      </c>
      <c r="J97" s="160">
        <f t="shared" si="12"/>
        <v>11378.059836808703</v>
      </c>
      <c r="K97" s="73">
        <f>K86+900</f>
        <v>12550</v>
      </c>
      <c r="O97" s="157">
        <f t="shared" si="14"/>
        <v>11378.059836808703</v>
      </c>
      <c r="P97" s="158">
        <f t="shared" si="15"/>
        <v>12550</v>
      </c>
    </row>
    <row r="98" spans="1:16">
      <c r="A98" s="72" t="s">
        <v>103</v>
      </c>
      <c r="B98" s="46" t="s">
        <v>51</v>
      </c>
      <c r="C98" s="50" t="s">
        <v>333</v>
      </c>
      <c r="D98" s="48" t="s">
        <v>320</v>
      </c>
      <c r="E98" s="45" t="str">
        <f>CONCATENATE(B98,"-",C98,"-",D98)</f>
        <v>WR-EH14-ALL</v>
      </c>
      <c r="F98" s="46">
        <f>LEN(E98)</f>
        <v>11</v>
      </c>
      <c r="G98" s="116" t="s">
        <v>225</v>
      </c>
      <c r="I98" s="100" t="s">
        <v>393</v>
      </c>
      <c r="J98" s="160">
        <f t="shared" si="12"/>
        <v>11378.059836808703</v>
      </c>
      <c r="K98" s="73">
        <f>+K86+900</f>
        <v>12550</v>
      </c>
      <c r="O98" s="157">
        <f t="shared" si="14"/>
        <v>11378.059836808703</v>
      </c>
      <c r="P98" s="158">
        <f t="shared" si="15"/>
        <v>12550</v>
      </c>
    </row>
    <row r="99" spans="1:16" s="244" customFormat="1">
      <c r="A99" s="239" t="s">
        <v>482</v>
      </c>
      <c r="B99" s="240" t="s">
        <v>51</v>
      </c>
      <c r="C99" s="247" t="s">
        <v>483</v>
      </c>
      <c r="D99" s="241" t="s">
        <v>320</v>
      </c>
      <c r="E99" s="242" t="str">
        <f t="shared" ref="E99:E100" si="16">CONCATENATE(B99,"-",C99,"-",D99)</f>
        <v>WR-CHQ 8A-ALL</v>
      </c>
      <c r="F99" s="240">
        <f t="shared" ref="F99:F100" si="17">LEN(E99)</f>
        <v>13</v>
      </c>
      <c r="G99" s="243" t="s">
        <v>484</v>
      </c>
      <c r="I99" s="245" t="s">
        <v>481</v>
      </c>
      <c r="J99" s="246">
        <f>+K99/1.103</f>
        <v>8023.5720761559387</v>
      </c>
      <c r="K99" s="174">
        <f>9250-400</f>
        <v>8850</v>
      </c>
    </row>
    <row r="100" spans="1:16" s="244" customFormat="1">
      <c r="A100" s="248">
        <v>53</v>
      </c>
      <c r="B100" s="240" t="s">
        <v>51</v>
      </c>
      <c r="C100" s="250" t="s">
        <v>489</v>
      </c>
      <c r="D100" s="241" t="s">
        <v>320</v>
      </c>
      <c r="E100" s="242" t="str">
        <f t="shared" si="16"/>
        <v>WR-CHQ 18A-ALL</v>
      </c>
      <c r="F100" s="240">
        <f t="shared" si="17"/>
        <v>14</v>
      </c>
      <c r="G100" s="243" t="s">
        <v>485</v>
      </c>
      <c r="I100" s="245" t="s">
        <v>481</v>
      </c>
      <c r="J100" s="246">
        <f>+K100/1.103</f>
        <v>8023.5720761559387</v>
      </c>
      <c r="K100" s="174">
        <f>+K99</f>
        <v>8850</v>
      </c>
    </row>
    <row r="101" spans="1:16" s="79" customFormat="1">
      <c r="A101" s="72" t="s">
        <v>136</v>
      </c>
      <c r="B101" s="75" t="s">
        <v>51</v>
      </c>
      <c r="C101" s="80" t="s">
        <v>361</v>
      </c>
      <c r="D101" s="77" t="s">
        <v>320</v>
      </c>
      <c r="E101" s="78" t="str">
        <f>CONCATENATE(B101,"-",C101,"-",D101)</f>
        <v>WR-Stock Lot IQ-ALL</v>
      </c>
      <c r="F101" s="75">
        <f>LEN(E101)</f>
        <v>19</v>
      </c>
      <c r="G101" s="116" t="s">
        <v>256</v>
      </c>
      <c r="I101" s="100" t="s">
        <v>402</v>
      </c>
      <c r="J101" s="160">
        <f t="shared" ref="J101:J114" si="18">+K101/1.103</f>
        <v>9088.8485947416139</v>
      </c>
      <c r="K101" s="101">
        <f>+K62-1025</f>
        <v>10025</v>
      </c>
      <c r="O101" s="157">
        <f t="shared" si="14"/>
        <v>9088.8485947416139</v>
      </c>
      <c r="P101" s="158">
        <f t="shared" si="15"/>
        <v>10025</v>
      </c>
    </row>
    <row r="102" spans="1:16" s="79" customFormat="1">
      <c r="A102" s="72" t="s">
        <v>137</v>
      </c>
      <c r="B102" s="85" t="s">
        <v>51</v>
      </c>
      <c r="C102" s="86" t="s">
        <v>362</v>
      </c>
      <c r="D102" s="87" t="s">
        <v>320</v>
      </c>
      <c r="E102" s="88" t="str">
        <f>CONCATENATE(B102,"-",C102,"-",D102)</f>
        <v>WR-Stock Lot SP-ALL</v>
      </c>
      <c r="F102" s="85">
        <f>LEN(E102)</f>
        <v>19</v>
      </c>
      <c r="G102" s="116" t="s">
        <v>257</v>
      </c>
      <c r="I102" s="100" t="s">
        <v>403</v>
      </c>
      <c r="J102" s="163">
        <f t="shared" si="18"/>
        <v>9088.8485947416139</v>
      </c>
      <c r="K102" s="101">
        <f>+K63-1025</f>
        <v>10025</v>
      </c>
      <c r="O102" s="157">
        <f t="shared" si="14"/>
        <v>9088.8485947416139</v>
      </c>
      <c r="P102" s="158">
        <f t="shared" si="15"/>
        <v>10025</v>
      </c>
    </row>
    <row r="103" spans="1:16" s="147" customFormat="1">
      <c r="A103" s="153" t="s">
        <v>422</v>
      </c>
      <c r="B103" s="143" t="s">
        <v>51</v>
      </c>
      <c r="C103" s="144" t="s">
        <v>55</v>
      </c>
      <c r="D103" s="156">
        <v>4.2</v>
      </c>
      <c r="E103" s="145" t="s">
        <v>421</v>
      </c>
      <c r="F103" s="143"/>
      <c r="G103" s="155" t="s">
        <v>421</v>
      </c>
      <c r="I103" s="171" t="s">
        <v>439</v>
      </c>
      <c r="J103" s="160">
        <f t="shared" si="18"/>
        <v>10199.456029011786</v>
      </c>
      <c r="K103" s="101">
        <f>+K51+400-50+25+25</f>
        <v>11250</v>
      </c>
      <c r="O103" s="157">
        <f t="shared" ref="O103:P108" si="19">+J103-M103</f>
        <v>10199.456029011786</v>
      </c>
      <c r="P103" s="158">
        <f t="shared" si="19"/>
        <v>11250</v>
      </c>
    </row>
    <row r="104" spans="1:16" s="147" customFormat="1">
      <c r="A104" s="153" t="s">
        <v>423</v>
      </c>
      <c r="B104" s="143" t="s">
        <v>51</v>
      </c>
      <c r="C104" s="144" t="s">
        <v>55</v>
      </c>
      <c r="D104" s="154">
        <v>4.5</v>
      </c>
      <c r="E104" s="145" t="s">
        <v>424</v>
      </c>
      <c r="F104" s="143"/>
      <c r="G104" s="155" t="s">
        <v>424</v>
      </c>
      <c r="I104" s="171" t="s">
        <v>440</v>
      </c>
      <c r="J104" s="160">
        <f t="shared" si="18"/>
        <v>10108.794197642792</v>
      </c>
      <c r="K104" s="169">
        <f>+K51+300-50+25+25</f>
        <v>11150</v>
      </c>
      <c r="O104" s="157">
        <f t="shared" si="19"/>
        <v>10108.794197642792</v>
      </c>
      <c r="P104" s="158">
        <f t="shared" si="19"/>
        <v>11150</v>
      </c>
    </row>
    <row r="105" spans="1:16" s="147" customFormat="1">
      <c r="A105" s="153" t="s">
        <v>425</v>
      </c>
      <c r="B105" s="143" t="s">
        <v>51</v>
      </c>
      <c r="C105" s="144" t="s">
        <v>55</v>
      </c>
      <c r="D105" s="154">
        <v>5.65</v>
      </c>
      <c r="E105" s="145" t="s">
        <v>426</v>
      </c>
      <c r="F105" s="143"/>
      <c r="G105" s="155" t="s">
        <v>426</v>
      </c>
      <c r="I105" s="171" t="s">
        <v>293</v>
      </c>
      <c r="J105" s="160">
        <f t="shared" si="18"/>
        <v>9814.1432456935636</v>
      </c>
      <c r="K105" s="169">
        <f>+K51-25</f>
        <v>10825</v>
      </c>
      <c r="O105" s="157">
        <f t="shared" si="19"/>
        <v>9814.1432456935636</v>
      </c>
      <c r="P105" s="158">
        <f t="shared" si="19"/>
        <v>10825</v>
      </c>
    </row>
    <row r="106" spans="1:16" s="152" customFormat="1">
      <c r="A106" s="153" t="s">
        <v>429</v>
      </c>
      <c r="B106" s="148" t="s">
        <v>51</v>
      </c>
      <c r="C106" s="149">
        <v>1006</v>
      </c>
      <c r="D106" s="150" t="s">
        <v>446</v>
      </c>
      <c r="E106" s="151" t="s">
        <v>502</v>
      </c>
      <c r="F106" s="148"/>
      <c r="G106" s="146" t="s">
        <v>502</v>
      </c>
      <c r="I106" s="171" t="s">
        <v>433</v>
      </c>
      <c r="J106" s="160">
        <f t="shared" si="18"/>
        <v>9882.1396192203083</v>
      </c>
      <c r="K106" s="252">
        <f>+K59+50</f>
        <v>10900</v>
      </c>
      <c r="O106" s="157">
        <f t="shared" si="19"/>
        <v>9882.1396192203083</v>
      </c>
      <c r="P106" s="158">
        <f t="shared" si="19"/>
        <v>10900</v>
      </c>
    </row>
    <row r="107" spans="1:16" s="152" customFormat="1">
      <c r="A107" s="153" t="s">
        <v>430</v>
      </c>
      <c r="B107" s="148" t="s">
        <v>51</v>
      </c>
      <c r="C107" s="149">
        <v>1008</v>
      </c>
      <c r="D107" s="150">
        <v>14.17</v>
      </c>
      <c r="E107" s="151" t="s">
        <v>503</v>
      </c>
      <c r="F107" s="148"/>
      <c r="G107" s="146" t="s">
        <v>503</v>
      </c>
      <c r="I107" s="171" t="s">
        <v>434</v>
      </c>
      <c r="J107" s="160">
        <f t="shared" si="18"/>
        <v>10063.463281958295</v>
      </c>
      <c r="K107" s="101">
        <f>+K62+50</f>
        <v>11100</v>
      </c>
      <c r="O107" s="157">
        <f t="shared" si="19"/>
        <v>10063.463281958295</v>
      </c>
      <c r="P107" s="158">
        <f t="shared" si="19"/>
        <v>11100</v>
      </c>
    </row>
    <row r="108" spans="1:16" s="152" customFormat="1">
      <c r="A108" s="199" t="s">
        <v>431</v>
      </c>
      <c r="B108" s="189" t="s">
        <v>51</v>
      </c>
      <c r="C108" s="190">
        <v>1012</v>
      </c>
      <c r="D108" s="191" t="s">
        <v>446</v>
      </c>
      <c r="E108" s="192" t="s">
        <v>504</v>
      </c>
      <c r="F108" s="193"/>
      <c r="G108" s="146" t="s">
        <v>504</v>
      </c>
      <c r="I108" s="194" t="s">
        <v>432</v>
      </c>
      <c r="J108" s="163">
        <f t="shared" si="18"/>
        <v>9882.1396192203083</v>
      </c>
      <c r="K108" s="195">
        <f>+K67+50</f>
        <v>10900</v>
      </c>
      <c r="O108" s="157">
        <f t="shared" si="19"/>
        <v>9882.1396192203083</v>
      </c>
      <c r="P108" s="158">
        <f t="shared" si="19"/>
        <v>10900</v>
      </c>
    </row>
    <row r="109" spans="1:16">
      <c r="A109" s="72" t="s">
        <v>444</v>
      </c>
      <c r="B109" s="60" t="s">
        <v>51</v>
      </c>
      <c r="C109" s="50">
        <v>1006</v>
      </c>
      <c r="D109" s="77" t="s">
        <v>296</v>
      </c>
      <c r="E109" s="78"/>
      <c r="F109" s="75"/>
      <c r="G109" s="204" t="s">
        <v>447</v>
      </c>
      <c r="H109" s="75"/>
      <c r="I109" s="171" t="s">
        <v>488</v>
      </c>
      <c r="J109" s="160">
        <f t="shared" si="18"/>
        <v>9836.8087035358112</v>
      </c>
      <c r="K109" s="252">
        <f>+K59</f>
        <v>10850</v>
      </c>
    </row>
    <row r="110" spans="1:16">
      <c r="A110" s="72" t="s">
        <v>445</v>
      </c>
      <c r="B110" s="60" t="s">
        <v>51</v>
      </c>
      <c r="C110" s="50">
        <v>1006</v>
      </c>
      <c r="D110" s="77" t="s">
        <v>297</v>
      </c>
      <c r="E110" s="78"/>
      <c r="F110" s="75"/>
      <c r="G110" s="200" t="s">
        <v>451</v>
      </c>
      <c r="H110" s="75"/>
      <c r="I110" s="171" t="s">
        <v>457</v>
      </c>
      <c r="J110" s="160">
        <f t="shared" si="18"/>
        <v>9836.8087035358112</v>
      </c>
      <c r="K110" s="252">
        <f>+K59</f>
        <v>10850</v>
      </c>
    </row>
    <row r="111" spans="1:16">
      <c r="A111" s="203" t="s">
        <v>453</v>
      </c>
      <c r="B111" s="60" t="s">
        <v>51</v>
      </c>
      <c r="C111" s="50" t="s">
        <v>454</v>
      </c>
      <c r="D111" s="77" t="s">
        <v>455</v>
      </c>
      <c r="E111" s="78"/>
      <c r="F111" s="75"/>
      <c r="G111" s="204" t="s">
        <v>456</v>
      </c>
      <c r="H111" s="75"/>
      <c r="I111" s="100" t="s">
        <v>452</v>
      </c>
      <c r="J111" s="160">
        <f t="shared" si="18"/>
        <v>9836.8087035358112</v>
      </c>
      <c r="K111" s="252">
        <f>+K110</f>
        <v>10850</v>
      </c>
    </row>
    <row r="112" spans="1:16" s="211" customFormat="1">
      <c r="A112" s="270" t="s">
        <v>464</v>
      </c>
      <c r="B112" s="271" t="s">
        <v>51</v>
      </c>
      <c r="C112" s="272" t="s">
        <v>55</v>
      </c>
      <c r="D112" s="273">
        <v>7</v>
      </c>
      <c r="E112" s="274" t="str">
        <f t="shared" ref="E112:E114" si="20">CONCATENATE(B112,"-",C112,"-",D112)</f>
        <v>WR-1012B-7</v>
      </c>
      <c r="F112" s="271">
        <f t="shared" ref="F112" si="21">LEN(E112)</f>
        <v>10</v>
      </c>
      <c r="G112" s="210" t="s">
        <v>462</v>
      </c>
      <c r="I112" s="277" t="s">
        <v>463</v>
      </c>
      <c r="J112" s="275">
        <f t="shared" si="18"/>
        <v>9768.8123300090665</v>
      </c>
      <c r="K112" s="276">
        <f>+K51-75</f>
        <v>10775</v>
      </c>
      <c r="O112" s="226">
        <f t="shared" ref="O112" si="22">+J112-M112</f>
        <v>9768.8123300090665</v>
      </c>
      <c r="P112" s="227">
        <f t="shared" ref="P112" si="23">+K112-N112</f>
        <v>10775</v>
      </c>
    </row>
    <row r="113" spans="1:16" s="256" customFormat="1">
      <c r="A113" s="282" t="s">
        <v>497</v>
      </c>
      <c r="B113" s="254" t="s">
        <v>51</v>
      </c>
      <c r="C113" s="280" t="s">
        <v>55</v>
      </c>
      <c r="D113" s="257" t="s">
        <v>492</v>
      </c>
      <c r="E113" s="99" t="str">
        <f t="shared" si="20"/>
        <v>WR-1012B-16-22</v>
      </c>
      <c r="F113" s="254"/>
      <c r="G113" s="253" t="s">
        <v>493</v>
      </c>
      <c r="H113" s="254"/>
      <c r="I113" s="100" t="s">
        <v>494</v>
      </c>
      <c r="J113" s="160">
        <f t="shared" si="18"/>
        <v>9859.4741613780607</v>
      </c>
      <c r="K113" s="169">
        <f>+K51+25</f>
        <v>10875</v>
      </c>
      <c r="O113" s="268"/>
      <c r="P113" s="269"/>
    </row>
    <row r="114" spans="1:16" s="256" customFormat="1">
      <c r="A114" s="253" t="s">
        <v>498</v>
      </c>
      <c r="B114" s="254" t="s">
        <v>51</v>
      </c>
      <c r="C114" s="281" t="s">
        <v>495</v>
      </c>
      <c r="D114" s="263" t="s">
        <v>320</v>
      </c>
      <c r="E114" s="99" t="str">
        <f t="shared" si="20"/>
        <v>WR-CHQ 22A-ALL</v>
      </c>
      <c r="F114" s="254"/>
      <c r="G114" s="253" t="s">
        <v>509</v>
      </c>
      <c r="H114" s="254"/>
      <c r="I114" s="100" t="s">
        <v>496</v>
      </c>
      <c r="J114" s="160">
        <f t="shared" si="18"/>
        <v>8159.5648232094291</v>
      </c>
      <c r="K114" s="169">
        <f>+K99+150</f>
        <v>9000</v>
      </c>
      <c r="O114" s="268"/>
      <c r="P114" s="269"/>
    </row>
    <row r="115" spans="1:16" s="152" customFormat="1">
      <c r="A115" s="153"/>
      <c r="B115" s="148" t="s">
        <v>51</v>
      </c>
      <c r="C115" s="149">
        <v>1006</v>
      </c>
      <c r="D115" s="150" t="s">
        <v>446</v>
      </c>
      <c r="E115" s="151" t="s">
        <v>499</v>
      </c>
      <c r="F115" s="148"/>
      <c r="G115" s="146" t="s">
        <v>499</v>
      </c>
      <c r="I115" s="171" t="s">
        <v>433</v>
      </c>
      <c r="J115" s="160">
        <f t="shared" ref="J115:J117" si="24">+K115/1.103</f>
        <v>9927.4705349048054</v>
      </c>
      <c r="K115" s="252">
        <f>+K106+50</f>
        <v>10950</v>
      </c>
      <c r="O115" s="157">
        <f t="shared" ref="O115:O117" si="25">+J115-M115</f>
        <v>9927.4705349048054</v>
      </c>
      <c r="P115" s="158">
        <f t="shared" ref="P115:P117" si="26">+K115-N115</f>
        <v>10950</v>
      </c>
    </row>
    <row r="116" spans="1:16" s="152" customFormat="1">
      <c r="A116" s="153"/>
      <c r="B116" s="148" t="s">
        <v>51</v>
      </c>
      <c r="C116" s="149">
        <v>1008</v>
      </c>
      <c r="D116" s="150">
        <v>14.17</v>
      </c>
      <c r="E116" s="151" t="s">
        <v>500</v>
      </c>
      <c r="F116" s="148"/>
      <c r="G116" s="146" t="s">
        <v>500</v>
      </c>
      <c r="I116" s="171" t="s">
        <v>434</v>
      </c>
      <c r="J116" s="160">
        <f t="shared" si="24"/>
        <v>10108.794197642792</v>
      </c>
      <c r="K116" s="101">
        <f>+K107+50</f>
        <v>11150</v>
      </c>
      <c r="O116" s="157">
        <f t="shared" si="25"/>
        <v>10108.794197642792</v>
      </c>
      <c r="P116" s="158">
        <f t="shared" si="26"/>
        <v>11150</v>
      </c>
    </row>
    <row r="117" spans="1:16" s="152" customFormat="1">
      <c r="A117" s="199"/>
      <c r="B117" s="189" t="s">
        <v>51</v>
      </c>
      <c r="C117" s="190">
        <v>1012</v>
      </c>
      <c r="D117" s="191" t="s">
        <v>446</v>
      </c>
      <c r="E117" s="192" t="s">
        <v>501</v>
      </c>
      <c r="F117" s="193"/>
      <c r="G117" s="146" t="s">
        <v>501</v>
      </c>
      <c r="I117" s="194" t="s">
        <v>432</v>
      </c>
      <c r="J117" s="163">
        <f t="shared" si="24"/>
        <v>9927.4705349048054</v>
      </c>
      <c r="K117" s="195">
        <f>+K108+50</f>
        <v>10950</v>
      </c>
      <c r="O117" s="157">
        <f t="shared" si="25"/>
        <v>9927.4705349048054</v>
      </c>
      <c r="P117" s="158">
        <f t="shared" si="26"/>
        <v>10950</v>
      </c>
    </row>
    <row r="118" spans="1:16">
      <c r="A118" s="102"/>
      <c r="B118" s="7"/>
      <c r="C118" s="103"/>
      <c r="D118" s="104"/>
      <c r="E118" s="105"/>
      <c r="F118" s="106"/>
      <c r="G118" s="116"/>
      <c r="H118" s="79"/>
      <c r="I118" s="172"/>
      <c r="J118" s="166"/>
      <c r="K118" s="107"/>
    </row>
    <row r="119" spans="1:16">
      <c r="A119" s="102"/>
      <c r="B119" s="7"/>
      <c r="C119" s="103"/>
      <c r="D119" s="104"/>
      <c r="E119" s="105"/>
      <c r="F119" s="106"/>
      <c r="G119" s="116"/>
      <c r="H119" s="79"/>
      <c r="I119" s="172"/>
      <c r="J119" s="166"/>
      <c r="K119" s="107"/>
    </row>
    <row r="120" spans="1:16">
      <c r="I120" s="171" t="s">
        <v>417</v>
      </c>
      <c r="J120" s="160">
        <f>+J1</f>
        <v>14070</v>
      </c>
      <c r="K120" s="168">
        <f>+J1</f>
        <v>14070</v>
      </c>
    </row>
    <row r="121" spans="1:16">
      <c r="A121" s="110" t="s">
        <v>416</v>
      </c>
      <c r="B121" s="110"/>
      <c r="C121" s="110"/>
      <c r="I121" s="173"/>
      <c r="J121" s="167"/>
    </row>
    <row r="122" spans="1:16">
      <c r="A122" s="72" t="s">
        <v>104</v>
      </c>
      <c r="B122" s="46" t="s">
        <v>334</v>
      </c>
      <c r="C122" s="50" t="s">
        <v>335</v>
      </c>
      <c r="D122" s="51">
        <v>6</v>
      </c>
      <c r="E122" s="45" t="str">
        <f t="shared" ref="E122:E130" si="27">CONCATENATE(B122,"-",C122,"-",D122)</f>
        <v>DC-SD 390-6</v>
      </c>
      <c r="F122" s="46">
        <f t="shared" ref="F122:F130" si="28">LEN(E122)</f>
        <v>11</v>
      </c>
      <c r="G122" s="116" t="s">
        <v>226</v>
      </c>
      <c r="I122" s="100" t="s">
        <v>392</v>
      </c>
      <c r="J122" s="160">
        <f>+K122/1.103</f>
        <v>9814.1432456935636</v>
      </c>
      <c r="K122" s="73">
        <f>K25-(25*K120/K120)</f>
        <v>10825</v>
      </c>
      <c r="O122" s="157">
        <f t="shared" ref="O122:O130" si="29">+J122-M122</f>
        <v>9814.1432456935636</v>
      </c>
      <c r="P122" s="158">
        <f t="shared" ref="P122:P130" si="30">+K122-N122</f>
        <v>10825</v>
      </c>
    </row>
    <row r="123" spans="1:16">
      <c r="A123" s="72" t="s">
        <v>105</v>
      </c>
      <c r="B123" s="46" t="s">
        <v>334</v>
      </c>
      <c r="C123" s="50" t="s">
        <v>335</v>
      </c>
      <c r="D123" s="51">
        <v>8</v>
      </c>
      <c r="E123" s="45" t="str">
        <f t="shared" si="27"/>
        <v>DC-SD 390-8</v>
      </c>
      <c r="F123" s="46">
        <f t="shared" si="28"/>
        <v>11</v>
      </c>
      <c r="G123" s="116" t="s">
        <v>227</v>
      </c>
      <c r="I123" s="100" t="str">
        <f>+I122</f>
        <v>Base8-$25</v>
      </c>
      <c r="J123" s="160">
        <f t="shared" ref="J123:J133" si="31">+K123/1.103</f>
        <v>9814.1432456935636</v>
      </c>
      <c r="K123" s="73">
        <f>+K122</f>
        <v>10825</v>
      </c>
      <c r="O123" s="157">
        <f t="shared" si="29"/>
        <v>9814.1432456935636</v>
      </c>
      <c r="P123" s="158">
        <f t="shared" si="30"/>
        <v>10825</v>
      </c>
    </row>
    <row r="124" spans="1:16">
      <c r="A124" s="72" t="s">
        <v>106</v>
      </c>
      <c r="B124" s="46" t="s">
        <v>334</v>
      </c>
      <c r="C124" s="50" t="s">
        <v>335</v>
      </c>
      <c r="D124" s="51">
        <v>10</v>
      </c>
      <c r="E124" s="45" t="str">
        <f t="shared" si="27"/>
        <v>DC-SD 390-10</v>
      </c>
      <c r="F124" s="46">
        <f t="shared" si="28"/>
        <v>12</v>
      </c>
      <c r="G124" s="116" t="s">
        <v>228</v>
      </c>
      <c r="I124" s="100" t="str">
        <f>+I122</f>
        <v>Base8-$25</v>
      </c>
      <c r="J124" s="160">
        <f t="shared" si="31"/>
        <v>9814.1432456935636</v>
      </c>
      <c r="K124" s="73">
        <f>+K122</f>
        <v>10825</v>
      </c>
      <c r="O124" s="157">
        <f t="shared" si="29"/>
        <v>9814.1432456935636</v>
      </c>
      <c r="P124" s="158">
        <f t="shared" si="30"/>
        <v>10825</v>
      </c>
    </row>
    <row r="125" spans="1:16">
      <c r="A125" s="72" t="s">
        <v>107</v>
      </c>
      <c r="B125" s="46" t="s">
        <v>334</v>
      </c>
      <c r="C125" s="50" t="s">
        <v>335</v>
      </c>
      <c r="D125" s="51">
        <v>12</v>
      </c>
      <c r="E125" s="45" t="str">
        <f t="shared" si="27"/>
        <v>DC-SD 390-12</v>
      </c>
      <c r="F125" s="46">
        <f t="shared" si="28"/>
        <v>12</v>
      </c>
      <c r="G125" s="116" t="s">
        <v>229</v>
      </c>
      <c r="I125" s="100" t="str">
        <f>+I122</f>
        <v>Base8-$25</v>
      </c>
      <c r="J125" s="160">
        <f t="shared" si="31"/>
        <v>9814.1432456935636</v>
      </c>
      <c r="K125" s="73">
        <f>+K122</f>
        <v>10825</v>
      </c>
      <c r="O125" s="157">
        <f t="shared" si="29"/>
        <v>9814.1432456935636</v>
      </c>
      <c r="P125" s="158">
        <f t="shared" si="30"/>
        <v>10825</v>
      </c>
    </row>
    <row r="126" spans="1:16">
      <c r="A126" s="72" t="s">
        <v>108</v>
      </c>
      <c r="B126" s="46" t="s">
        <v>334</v>
      </c>
      <c r="C126" s="53" t="s">
        <v>337</v>
      </c>
      <c r="D126" s="48" t="s">
        <v>320</v>
      </c>
      <c r="E126" s="45" t="str">
        <f t="shared" si="27"/>
        <v>DC-500N/MPA-ALL</v>
      </c>
      <c r="F126" s="46">
        <f t="shared" si="28"/>
        <v>15</v>
      </c>
      <c r="G126" s="116" t="s">
        <v>230</v>
      </c>
      <c r="I126" s="100" t="s">
        <v>412</v>
      </c>
      <c r="J126" s="160">
        <f t="shared" si="31"/>
        <v>5347.4614687216681</v>
      </c>
      <c r="K126" s="101">
        <f>K20-(25*K120/1000)</f>
        <v>5898.25</v>
      </c>
      <c r="O126" s="157">
        <f t="shared" si="29"/>
        <v>5347.4614687216681</v>
      </c>
      <c r="P126" s="158">
        <f t="shared" si="30"/>
        <v>5898.25</v>
      </c>
    </row>
    <row r="127" spans="1:16">
      <c r="A127" s="72" t="s">
        <v>109</v>
      </c>
      <c r="B127" s="46" t="s">
        <v>334</v>
      </c>
      <c r="C127" s="50" t="s">
        <v>338</v>
      </c>
      <c r="D127" s="48" t="s">
        <v>320</v>
      </c>
      <c r="E127" s="45" t="str">
        <f t="shared" si="27"/>
        <v>DC-300E-ALL</v>
      </c>
      <c r="F127" s="46">
        <f t="shared" si="28"/>
        <v>11</v>
      </c>
      <c r="G127" s="116" t="s">
        <v>231</v>
      </c>
      <c r="I127" s="100" t="s">
        <v>413</v>
      </c>
      <c r="J127" s="160">
        <f t="shared" si="31"/>
        <v>4368.3136899365372</v>
      </c>
      <c r="K127" s="101">
        <f>K21-(25*K120/1000)</f>
        <v>4818.25</v>
      </c>
      <c r="O127" s="157">
        <f t="shared" si="29"/>
        <v>4368.3136899365372</v>
      </c>
      <c r="P127" s="158">
        <f t="shared" si="30"/>
        <v>4818.25</v>
      </c>
    </row>
    <row r="128" spans="1:16">
      <c r="A128" s="72" t="s">
        <v>110</v>
      </c>
      <c r="B128" s="46" t="s">
        <v>334</v>
      </c>
      <c r="C128" s="50" t="s">
        <v>339</v>
      </c>
      <c r="D128" s="48" t="s">
        <v>320</v>
      </c>
      <c r="E128" s="45" t="str">
        <f t="shared" si="27"/>
        <v>DC-SD 490-ALL</v>
      </c>
      <c r="F128" s="46">
        <f t="shared" si="28"/>
        <v>13</v>
      </c>
      <c r="G128" s="116" t="s">
        <v>232</v>
      </c>
      <c r="I128" s="100" t="s">
        <v>414</v>
      </c>
      <c r="J128" s="160">
        <f t="shared" si="31"/>
        <v>4413.6446056210334</v>
      </c>
      <c r="K128" s="101">
        <f>K22-(25*K120/1000)</f>
        <v>4868.25</v>
      </c>
      <c r="O128" s="157">
        <f t="shared" si="29"/>
        <v>4413.6446056210334</v>
      </c>
      <c r="P128" s="158">
        <f t="shared" si="30"/>
        <v>4868.25</v>
      </c>
    </row>
    <row r="129" spans="1:16">
      <c r="A129" s="72" t="s">
        <v>111</v>
      </c>
      <c r="B129" s="46" t="s">
        <v>334</v>
      </c>
      <c r="C129" s="50" t="s">
        <v>340</v>
      </c>
      <c r="D129" s="48" t="s">
        <v>320</v>
      </c>
      <c r="E129" s="45" t="str">
        <f t="shared" si="27"/>
        <v>DC-Grade 40-ALL</v>
      </c>
      <c r="F129" s="46">
        <f t="shared" si="28"/>
        <v>15</v>
      </c>
      <c r="G129" s="116" t="s">
        <v>233</v>
      </c>
      <c r="I129" s="100" t="s">
        <v>415</v>
      </c>
      <c r="J129" s="160">
        <f t="shared" si="31"/>
        <v>4458.9755213055305</v>
      </c>
      <c r="K129" s="73">
        <f>K23-(25*K120/1000)</f>
        <v>4918.25</v>
      </c>
      <c r="O129" s="157">
        <f t="shared" si="29"/>
        <v>4458.9755213055305</v>
      </c>
      <c r="P129" s="158">
        <f t="shared" si="30"/>
        <v>4918.25</v>
      </c>
    </row>
    <row r="130" spans="1:16">
      <c r="A130" s="72" t="s">
        <v>112</v>
      </c>
      <c r="B130" s="46" t="s">
        <v>334</v>
      </c>
      <c r="C130" s="50" t="s">
        <v>341</v>
      </c>
      <c r="D130" s="48" t="s">
        <v>320</v>
      </c>
      <c r="E130" s="45" t="str">
        <f t="shared" si="27"/>
        <v>DC-Grade 60-ALL</v>
      </c>
      <c r="F130" s="46">
        <f t="shared" si="28"/>
        <v>15</v>
      </c>
      <c r="G130" s="116" t="s">
        <v>234</v>
      </c>
      <c r="I130" s="100" t="s">
        <v>414</v>
      </c>
      <c r="J130" s="160">
        <f t="shared" si="31"/>
        <v>4368.3136899365372</v>
      </c>
      <c r="K130" s="73">
        <f>K24-(25*K120/1000)</f>
        <v>4818.25</v>
      </c>
      <c r="O130" s="157">
        <f t="shared" si="29"/>
        <v>4368.3136899365372</v>
      </c>
      <c r="P130" s="158">
        <f t="shared" si="30"/>
        <v>4818.25</v>
      </c>
    </row>
    <row r="131" spans="1:16" ht="12" customHeight="1">
      <c r="A131" s="72" t="s">
        <v>62</v>
      </c>
      <c r="B131" s="46" t="s">
        <v>51</v>
      </c>
      <c r="C131" s="52">
        <v>1005</v>
      </c>
      <c r="D131" s="48" t="s">
        <v>52</v>
      </c>
      <c r="E131" s="45" t="str">
        <f t="shared" ref="E131:E147" si="32">CONCATENATE(B131,"-",C131,"-",D131)</f>
        <v>WR-1005-All</v>
      </c>
      <c r="F131" s="46">
        <f t="shared" ref="F131:F147" si="33">LEN(E131)</f>
        <v>11</v>
      </c>
      <c r="G131" s="116" t="s">
        <v>185</v>
      </c>
      <c r="I131" s="100" t="s">
        <v>380</v>
      </c>
      <c r="J131" s="160">
        <f t="shared" si="31"/>
        <v>9789.8912058023579</v>
      </c>
      <c r="K131" s="73">
        <f>+(K58)-(25*K120/1000)</f>
        <v>10798.25</v>
      </c>
      <c r="O131" s="157">
        <f t="shared" ref="O131:P159" si="34">+J131-M131</f>
        <v>9789.8912058023579</v>
      </c>
      <c r="P131" s="158">
        <f t="shared" ref="P131:P158" si="35">+K131-N131</f>
        <v>10798.25</v>
      </c>
    </row>
    <row r="132" spans="1:16">
      <c r="A132" s="72" t="s">
        <v>63</v>
      </c>
      <c r="B132" s="75" t="s">
        <v>51</v>
      </c>
      <c r="C132" s="76">
        <v>1006</v>
      </c>
      <c r="D132" s="77" t="s">
        <v>296</v>
      </c>
      <c r="E132" s="78" t="str">
        <f t="shared" si="32"/>
        <v>WR-1006-5.5-5.8</v>
      </c>
      <c r="F132" s="75">
        <f t="shared" si="33"/>
        <v>15</v>
      </c>
      <c r="G132" s="116" t="s">
        <v>186</v>
      </c>
      <c r="I132" s="100" t="s">
        <v>381</v>
      </c>
      <c r="J132" s="160">
        <f t="shared" si="31"/>
        <v>9517.9057116953772</v>
      </c>
      <c r="K132" s="73">
        <f>+(K59)-(25*K120/1000)</f>
        <v>10498.25</v>
      </c>
      <c r="O132" s="157">
        <f t="shared" si="34"/>
        <v>9517.9057116953772</v>
      </c>
      <c r="P132" s="158">
        <f t="shared" si="35"/>
        <v>10498.25</v>
      </c>
    </row>
    <row r="133" spans="1:16">
      <c r="A133" s="72" t="s">
        <v>64</v>
      </c>
      <c r="B133" s="75" t="s">
        <v>51</v>
      </c>
      <c r="C133" s="76">
        <v>1006</v>
      </c>
      <c r="D133" s="81" t="s">
        <v>297</v>
      </c>
      <c r="E133" s="78" t="str">
        <f t="shared" si="32"/>
        <v>WR-1006-6.0 - 17</v>
      </c>
      <c r="F133" s="75">
        <f t="shared" si="33"/>
        <v>16</v>
      </c>
      <c r="G133" s="116" t="s">
        <v>187</v>
      </c>
      <c r="I133" s="100" t="s">
        <v>382</v>
      </c>
      <c r="J133" s="160">
        <f t="shared" si="31"/>
        <v>9517.9057116953772</v>
      </c>
      <c r="K133" s="73">
        <f>+(K60)-(25*K120/1000)</f>
        <v>10498.25</v>
      </c>
      <c r="O133" s="157">
        <f t="shared" si="34"/>
        <v>9517.9057116953772</v>
      </c>
      <c r="P133" s="158">
        <f t="shared" si="35"/>
        <v>10498.25</v>
      </c>
    </row>
    <row r="134" spans="1:16">
      <c r="A134" s="72" t="s">
        <v>65</v>
      </c>
      <c r="B134" s="75" t="s">
        <v>51</v>
      </c>
      <c r="C134" s="76" t="s">
        <v>298</v>
      </c>
      <c r="D134" s="77" t="s">
        <v>299</v>
      </c>
      <c r="E134" s="78" t="str">
        <f t="shared" si="32"/>
        <v>WR-1008 All size-all</v>
      </c>
      <c r="F134" s="75">
        <f t="shared" si="33"/>
        <v>20</v>
      </c>
      <c r="G134" s="116" t="s">
        <v>188</v>
      </c>
      <c r="I134" s="100" t="str">
        <f>+I135</f>
        <v>Base2-$25</v>
      </c>
      <c r="J134" s="160">
        <f t="shared" ref="J134:J147" si="36">+K134/1.103</f>
        <v>9699.2293744333638</v>
      </c>
      <c r="K134" s="73">
        <f>+(K61)-(25*K120/1000)</f>
        <v>10698.25</v>
      </c>
      <c r="O134" s="157">
        <f t="shared" si="34"/>
        <v>9699.2293744333638</v>
      </c>
      <c r="P134" s="158">
        <f t="shared" si="35"/>
        <v>10698.25</v>
      </c>
    </row>
    <row r="135" spans="1:16">
      <c r="A135" s="72" t="s">
        <v>66</v>
      </c>
      <c r="B135" s="46" t="s">
        <v>51</v>
      </c>
      <c r="C135" s="47">
        <v>1008</v>
      </c>
      <c r="D135" s="48" t="s">
        <v>296</v>
      </c>
      <c r="E135" s="45" t="str">
        <f t="shared" si="32"/>
        <v>WR-1008-5.5-5.8</v>
      </c>
      <c r="F135" s="46">
        <f t="shared" si="33"/>
        <v>15</v>
      </c>
      <c r="G135" s="116" t="s">
        <v>189</v>
      </c>
      <c r="I135" s="100" t="s">
        <v>383</v>
      </c>
      <c r="J135" s="160">
        <f t="shared" si="36"/>
        <v>9699.2293744333638</v>
      </c>
      <c r="K135" s="73">
        <f>+(K62)-(25*K120/1000)</f>
        <v>10698.25</v>
      </c>
      <c r="O135" s="157">
        <f t="shared" si="34"/>
        <v>9699.2293744333638</v>
      </c>
      <c r="P135" s="158">
        <f t="shared" si="35"/>
        <v>10698.25</v>
      </c>
    </row>
    <row r="136" spans="1:16">
      <c r="A136" s="72" t="s">
        <v>67</v>
      </c>
      <c r="B136" s="75" t="s">
        <v>51</v>
      </c>
      <c r="C136" s="76">
        <v>1008</v>
      </c>
      <c r="D136" s="81" t="s">
        <v>297</v>
      </c>
      <c r="E136" s="78" t="str">
        <f t="shared" si="32"/>
        <v>WR-1008-6.0 - 17</v>
      </c>
      <c r="F136" s="75">
        <f t="shared" si="33"/>
        <v>16</v>
      </c>
      <c r="G136" s="116" t="s">
        <v>190</v>
      </c>
      <c r="I136" s="100" t="s">
        <v>384</v>
      </c>
      <c r="J136" s="160">
        <f t="shared" si="36"/>
        <v>9699.2293744333638</v>
      </c>
      <c r="K136" s="73">
        <f>+(K63)-(25*K120/1000)</f>
        <v>10698.25</v>
      </c>
      <c r="O136" s="157">
        <f t="shared" si="34"/>
        <v>9699.2293744333638</v>
      </c>
      <c r="P136" s="158">
        <f t="shared" si="35"/>
        <v>10698.25</v>
      </c>
    </row>
    <row r="137" spans="1:16">
      <c r="A137" s="72" t="s">
        <v>68</v>
      </c>
      <c r="B137" s="46" t="s">
        <v>51</v>
      </c>
      <c r="C137" s="49" t="s">
        <v>300</v>
      </c>
      <c r="D137" s="48" t="s">
        <v>52</v>
      </c>
      <c r="E137" s="45" t="str">
        <f t="shared" si="32"/>
        <v>WR-1017/SWRM17-All</v>
      </c>
      <c r="F137" s="46">
        <f t="shared" si="33"/>
        <v>18</v>
      </c>
      <c r="G137" s="116" t="s">
        <v>191</v>
      </c>
      <c r="I137" s="100" t="s">
        <v>385</v>
      </c>
      <c r="J137" s="160">
        <f t="shared" si="36"/>
        <v>9699.2293744333638</v>
      </c>
      <c r="K137" s="73">
        <f>+(K64)-(25*K120/1000)</f>
        <v>10698.25</v>
      </c>
      <c r="O137" s="157">
        <f t="shared" si="34"/>
        <v>9699.2293744333638</v>
      </c>
      <c r="P137" s="158">
        <f t="shared" si="35"/>
        <v>10698.25</v>
      </c>
    </row>
    <row r="138" spans="1:16">
      <c r="A138" s="72" t="s">
        <v>69</v>
      </c>
      <c r="B138" s="46" t="s">
        <v>51</v>
      </c>
      <c r="C138" s="49">
        <v>1018</v>
      </c>
      <c r="D138" s="48" t="s">
        <v>52</v>
      </c>
      <c r="E138" s="45" t="str">
        <f t="shared" si="32"/>
        <v>WR-1018-All</v>
      </c>
      <c r="F138" s="46">
        <f t="shared" si="33"/>
        <v>11</v>
      </c>
      <c r="G138" s="116" t="s">
        <v>192</v>
      </c>
      <c r="I138" s="100" t="str">
        <f>+I137</f>
        <v>Base2+25-$25</v>
      </c>
      <c r="J138" s="160">
        <f t="shared" si="36"/>
        <v>9517.9057116953772</v>
      </c>
      <c r="K138" s="73">
        <f>+(K65)-(25*K120/1000)</f>
        <v>10498.25</v>
      </c>
      <c r="O138" s="157">
        <f t="shared" si="34"/>
        <v>9517.9057116953772</v>
      </c>
      <c r="P138" s="158">
        <f t="shared" si="35"/>
        <v>10498.25</v>
      </c>
    </row>
    <row r="139" spans="1:16">
      <c r="A139" s="72" t="s">
        <v>70</v>
      </c>
      <c r="B139" s="75" t="s">
        <v>51</v>
      </c>
      <c r="C139" s="76" t="s">
        <v>302</v>
      </c>
      <c r="D139" s="77">
        <v>5.0999999999999996</v>
      </c>
      <c r="E139" s="78" t="str">
        <f t="shared" si="32"/>
        <v>WR-1010/12/15-5.1</v>
      </c>
      <c r="F139" s="46">
        <f t="shared" si="33"/>
        <v>17</v>
      </c>
      <c r="G139" s="116" t="s">
        <v>193</v>
      </c>
      <c r="I139" s="100" t="s">
        <v>386</v>
      </c>
      <c r="J139" s="160">
        <f t="shared" si="36"/>
        <v>9517.9057116953772</v>
      </c>
      <c r="K139" s="73">
        <f>+K66-(25*K120/1000)</f>
        <v>10498.25</v>
      </c>
      <c r="O139" s="157">
        <f t="shared" si="34"/>
        <v>9517.9057116953772</v>
      </c>
      <c r="P139" s="158">
        <f t="shared" si="35"/>
        <v>10498.25</v>
      </c>
    </row>
    <row r="140" spans="1:16">
      <c r="A140" s="72" t="s">
        <v>71</v>
      </c>
      <c r="B140" s="75" t="s">
        <v>51</v>
      </c>
      <c r="C140" s="76" t="s">
        <v>302</v>
      </c>
      <c r="D140" s="77">
        <v>5.5</v>
      </c>
      <c r="E140" s="78" t="str">
        <f t="shared" si="32"/>
        <v>WR-1010/12/15-5.5</v>
      </c>
      <c r="F140" s="46">
        <f>LEN(E140)</f>
        <v>17</v>
      </c>
      <c r="G140" s="116" t="s">
        <v>194</v>
      </c>
      <c r="I140" s="100" t="s">
        <v>387</v>
      </c>
      <c r="J140" s="160">
        <f t="shared" si="36"/>
        <v>9517.9057116953772</v>
      </c>
      <c r="K140" s="73">
        <f>+K67-(25*K120/1000)</f>
        <v>10498.25</v>
      </c>
      <c r="O140" s="157">
        <f t="shared" si="34"/>
        <v>9517.9057116953772</v>
      </c>
      <c r="P140" s="158">
        <f t="shared" si="35"/>
        <v>10498.25</v>
      </c>
    </row>
    <row r="141" spans="1:16">
      <c r="A141" s="72" t="s">
        <v>72</v>
      </c>
      <c r="B141" s="75" t="s">
        <v>51</v>
      </c>
      <c r="C141" s="76" t="s">
        <v>302</v>
      </c>
      <c r="D141" s="77">
        <v>5.4</v>
      </c>
      <c r="E141" s="78" t="str">
        <f t="shared" si="32"/>
        <v>WR-1010/12/15-5.4</v>
      </c>
      <c r="F141" s="46">
        <f t="shared" si="33"/>
        <v>17</v>
      </c>
      <c r="G141" s="116" t="s">
        <v>195</v>
      </c>
      <c r="I141" s="100" t="str">
        <f>+I140</f>
        <v>Base3-$25</v>
      </c>
      <c r="J141" s="160">
        <f t="shared" si="36"/>
        <v>9517.9057116953772</v>
      </c>
      <c r="K141" s="73">
        <f>+K68-(25*K120/1000)</f>
        <v>10498.25</v>
      </c>
      <c r="O141" s="157">
        <f t="shared" si="34"/>
        <v>9517.9057116953772</v>
      </c>
      <c r="P141" s="158">
        <f t="shared" si="35"/>
        <v>10498.25</v>
      </c>
    </row>
    <row r="142" spans="1:16">
      <c r="A142" s="72" t="s">
        <v>73</v>
      </c>
      <c r="B142" s="75" t="s">
        <v>51</v>
      </c>
      <c r="C142" s="76" t="s">
        <v>302</v>
      </c>
      <c r="D142" s="77">
        <v>5.65</v>
      </c>
      <c r="E142" s="78" t="str">
        <f t="shared" si="32"/>
        <v>WR-1010/12/15-5.65</v>
      </c>
      <c r="F142" s="46">
        <f t="shared" si="33"/>
        <v>18</v>
      </c>
      <c r="G142" s="116" t="s">
        <v>196</v>
      </c>
      <c r="I142" s="100" t="str">
        <f>+I141</f>
        <v>Base3-$25</v>
      </c>
      <c r="J142" s="160">
        <f t="shared" si="36"/>
        <v>9517.9057116953772</v>
      </c>
      <c r="K142" s="73">
        <f>+K69-(25*K120/1000)</f>
        <v>10498.25</v>
      </c>
      <c r="O142" s="157">
        <f t="shared" si="34"/>
        <v>9517.9057116953772</v>
      </c>
      <c r="P142" s="158">
        <f t="shared" si="35"/>
        <v>10498.25</v>
      </c>
    </row>
    <row r="143" spans="1:16">
      <c r="A143" s="72" t="s">
        <v>74</v>
      </c>
      <c r="B143" s="75" t="s">
        <v>51</v>
      </c>
      <c r="C143" s="76" t="s">
        <v>304</v>
      </c>
      <c r="D143" s="77" t="s">
        <v>305</v>
      </c>
      <c r="E143" s="78" t="str">
        <f t="shared" si="32"/>
        <v>WR-1010/2/5-5.8-6.2</v>
      </c>
      <c r="F143" s="46">
        <f t="shared" si="33"/>
        <v>19</v>
      </c>
      <c r="G143" s="116" t="s">
        <v>197</v>
      </c>
      <c r="I143" s="100" t="s">
        <v>388</v>
      </c>
      <c r="J143" s="160">
        <f t="shared" si="36"/>
        <v>9517.9057116953772</v>
      </c>
      <c r="K143" s="73">
        <f>+K70-(25*K120/1000)</f>
        <v>10498.25</v>
      </c>
      <c r="O143" s="157">
        <f t="shared" si="34"/>
        <v>9517.9057116953772</v>
      </c>
      <c r="P143" s="158">
        <f t="shared" si="35"/>
        <v>10498.25</v>
      </c>
    </row>
    <row r="144" spans="1:16">
      <c r="A144" s="72" t="s">
        <v>75</v>
      </c>
      <c r="B144" s="75" t="s">
        <v>51</v>
      </c>
      <c r="C144" s="76" t="s">
        <v>304</v>
      </c>
      <c r="D144" s="77" t="s">
        <v>306</v>
      </c>
      <c r="E144" s="78" t="str">
        <f t="shared" si="32"/>
        <v>WR-1010/2/5-6.4-7.2</v>
      </c>
      <c r="F144" s="46">
        <f t="shared" si="33"/>
        <v>19</v>
      </c>
      <c r="G144" s="116" t="s">
        <v>198</v>
      </c>
      <c r="I144" s="100" t="s">
        <v>389</v>
      </c>
      <c r="J144" s="160">
        <f t="shared" si="36"/>
        <v>9517.9057116953772</v>
      </c>
      <c r="K144" s="73">
        <f>+K71-(25*K120/1000)</f>
        <v>10498.25</v>
      </c>
      <c r="O144" s="157">
        <f t="shared" si="34"/>
        <v>9517.9057116953772</v>
      </c>
      <c r="P144" s="158">
        <f t="shared" si="35"/>
        <v>10498.25</v>
      </c>
    </row>
    <row r="145" spans="1:16">
      <c r="A145" s="72" t="s">
        <v>76</v>
      </c>
      <c r="B145" s="75" t="s">
        <v>51</v>
      </c>
      <c r="C145" s="76" t="s">
        <v>304</v>
      </c>
      <c r="D145" s="77" t="s">
        <v>307</v>
      </c>
      <c r="E145" s="78" t="str">
        <f t="shared" si="32"/>
        <v>WR-1010/2/5-7.4 - 17</v>
      </c>
      <c r="F145" s="46">
        <f t="shared" si="33"/>
        <v>20</v>
      </c>
      <c r="G145" s="116" t="s">
        <v>199</v>
      </c>
      <c r="I145" s="100" t="s">
        <v>390</v>
      </c>
      <c r="J145" s="160">
        <f t="shared" si="36"/>
        <v>9517.9057116953772</v>
      </c>
      <c r="K145" s="73">
        <f>+K72-(25*K120/1000)</f>
        <v>10498.25</v>
      </c>
      <c r="O145" s="157">
        <f t="shared" si="34"/>
        <v>9517.9057116953772</v>
      </c>
      <c r="P145" s="158">
        <f t="shared" si="35"/>
        <v>10498.25</v>
      </c>
    </row>
    <row r="146" spans="1:16">
      <c r="A146" s="72" t="s">
        <v>77</v>
      </c>
      <c r="B146" s="75" t="s">
        <v>51</v>
      </c>
      <c r="C146" s="76" t="s">
        <v>308</v>
      </c>
      <c r="D146" s="77" t="s">
        <v>299</v>
      </c>
      <c r="E146" s="78" t="str">
        <f t="shared" si="32"/>
        <v>WR-1012 All-all</v>
      </c>
      <c r="F146" s="46">
        <f t="shared" si="33"/>
        <v>15</v>
      </c>
      <c r="G146" s="116" t="s">
        <v>200</v>
      </c>
      <c r="I146" s="100" t="str">
        <f>+I141</f>
        <v>Base3-$25</v>
      </c>
      <c r="J146" s="160">
        <f t="shared" si="36"/>
        <v>9517.9057116953772</v>
      </c>
      <c r="K146" s="73">
        <f>+K73-(25*K120/1000)</f>
        <v>10498.25</v>
      </c>
      <c r="O146" s="157">
        <f t="shared" si="34"/>
        <v>9517.9057116953772</v>
      </c>
      <c r="P146" s="158">
        <f t="shared" si="35"/>
        <v>10498.25</v>
      </c>
    </row>
    <row r="147" spans="1:16">
      <c r="A147" s="72" t="s">
        <v>90</v>
      </c>
      <c r="B147" s="46" t="s">
        <v>51</v>
      </c>
      <c r="C147" s="49" t="s">
        <v>319</v>
      </c>
      <c r="D147" s="48" t="s">
        <v>320</v>
      </c>
      <c r="E147" s="45" t="str">
        <f t="shared" si="32"/>
        <v>WR-SWRY-11-ALL</v>
      </c>
      <c r="F147" s="46">
        <f t="shared" si="33"/>
        <v>14</v>
      </c>
      <c r="G147" s="116" t="s">
        <v>213</v>
      </c>
      <c r="I147" s="100" t="s">
        <v>391</v>
      </c>
      <c r="J147" s="160">
        <f t="shared" si="36"/>
        <v>10243.200362647325</v>
      </c>
      <c r="K147" s="73">
        <f>+K86-25/1000*K120</f>
        <v>11298.25</v>
      </c>
      <c r="O147" s="157">
        <f t="shared" si="34"/>
        <v>10243.200362647325</v>
      </c>
      <c r="P147" s="158">
        <f t="shared" si="35"/>
        <v>11298.25</v>
      </c>
    </row>
    <row r="148" spans="1:16">
      <c r="A148" s="72"/>
      <c r="B148" s="46"/>
      <c r="C148" s="47"/>
      <c r="D148" s="48"/>
      <c r="E148" s="45"/>
      <c r="F148" s="46"/>
      <c r="G148" s="116"/>
      <c r="I148" s="100"/>
      <c r="J148" s="160"/>
      <c r="K148" s="73"/>
      <c r="O148" s="157"/>
      <c r="P148" s="158"/>
    </row>
    <row r="149" spans="1:16">
      <c r="A149" s="231" t="s">
        <v>466</v>
      </c>
      <c r="B149" s="129"/>
      <c r="C149" s="130"/>
      <c r="D149" s="229"/>
      <c r="E149" s="131"/>
      <c r="F149" s="129"/>
      <c r="G149" s="116"/>
      <c r="I149" s="170"/>
      <c r="J149" s="164"/>
      <c r="K149" s="73"/>
      <c r="O149" s="157"/>
      <c r="P149" s="158"/>
    </row>
    <row r="150" spans="1:16" s="211" customFormat="1">
      <c r="A150" s="237" t="s">
        <v>467</v>
      </c>
      <c r="B150" s="206" t="s">
        <v>51</v>
      </c>
      <c r="C150" s="228" t="s">
        <v>55</v>
      </c>
      <c r="D150" s="208">
        <v>5.0999999999999996</v>
      </c>
      <c r="E150" s="209" t="str">
        <f t="shared" ref="E150:E158" si="37">CONCATENATE(B150,"-",C150,"-",D150)</f>
        <v>WR-1012B-5.1</v>
      </c>
      <c r="F150" s="206">
        <f>LEN(E150)</f>
        <v>12</v>
      </c>
      <c r="G150" s="210" t="s">
        <v>443</v>
      </c>
      <c r="I150" s="224" t="s">
        <v>487</v>
      </c>
      <c r="J150" s="222">
        <f>+K150/1.103</f>
        <v>9882.1396192203083</v>
      </c>
      <c r="K150" s="213">
        <f>+K152+25+25</f>
        <v>10900</v>
      </c>
      <c r="O150" s="226">
        <f t="shared" si="34"/>
        <v>9882.1396192203083</v>
      </c>
      <c r="P150" s="227">
        <f t="shared" si="35"/>
        <v>10900</v>
      </c>
    </row>
    <row r="151" spans="1:16" s="211" customFormat="1">
      <c r="A151" s="238" t="s">
        <v>468</v>
      </c>
      <c r="B151" s="219" t="s">
        <v>51</v>
      </c>
      <c r="C151" s="216" t="s">
        <v>55</v>
      </c>
      <c r="D151" s="217">
        <v>5.5</v>
      </c>
      <c r="E151" s="218" t="str">
        <f t="shared" si="37"/>
        <v>WR-1012B-5.5</v>
      </c>
      <c r="F151" s="219">
        <f t="shared" ref="F151:F158" si="38">LEN(E151)</f>
        <v>12</v>
      </c>
      <c r="G151" s="220" t="s">
        <v>180</v>
      </c>
      <c r="I151" s="224" t="s">
        <v>291</v>
      </c>
      <c r="J151" s="222">
        <f t="shared" ref="J151:J158" si="39">+K151/1.103</f>
        <v>9836.8087035358112</v>
      </c>
      <c r="K151" s="223">
        <f>+K152</f>
        <v>10850</v>
      </c>
      <c r="O151" s="226">
        <f t="shared" si="34"/>
        <v>9836.8087035358112</v>
      </c>
      <c r="P151" s="227">
        <f t="shared" si="35"/>
        <v>10850</v>
      </c>
    </row>
    <row r="152" spans="1:16" s="211" customFormat="1">
      <c r="A152" s="238" t="s">
        <v>469</v>
      </c>
      <c r="B152" s="219" t="s">
        <v>51</v>
      </c>
      <c r="C152" s="216" t="s">
        <v>55</v>
      </c>
      <c r="D152" s="217">
        <v>5.4</v>
      </c>
      <c r="E152" s="218" t="str">
        <f t="shared" si="37"/>
        <v>WR-1012B-5.4</v>
      </c>
      <c r="F152" s="219">
        <f t="shared" si="38"/>
        <v>12</v>
      </c>
      <c r="G152" s="220" t="s">
        <v>181</v>
      </c>
      <c r="I152" s="224" t="s">
        <v>291</v>
      </c>
      <c r="J152" s="222">
        <f t="shared" si="39"/>
        <v>9836.8087035358112</v>
      </c>
      <c r="K152" s="174">
        <f>+K25</f>
        <v>10850</v>
      </c>
      <c r="O152" s="226">
        <f t="shared" si="34"/>
        <v>9836.8087035358112</v>
      </c>
      <c r="P152" s="227">
        <f t="shared" si="35"/>
        <v>10850</v>
      </c>
    </row>
    <row r="153" spans="1:16" s="211" customFormat="1">
      <c r="A153" s="238" t="s">
        <v>471</v>
      </c>
      <c r="B153" s="219" t="s">
        <v>51</v>
      </c>
      <c r="C153" s="216" t="s">
        <v>55</v>
      </c>
      <c r="D153" s="217" t="s">
        <v>294</v>
      </c>
      <c r="E153" s="218" t="str">
        <f t="shared" si="37"/>
        <v>WR-1012B-5.65-5.8</v>
      </c>
      <c r="F153" s="219">
        <f t="shared" si="38"/>
        <v>17</v>
      </c>
      <c r="G153" s="210" t="s">
        <v>470</v>
      </c>
      <c r="I153" s="224" t="s">
        <v>441</v>
      </c>
      <c r="J153" s="222">
        <f t="shared" si="39"/>
        <v>9836.8087035358112</v>
      </c>
      <c r="K153" s="223">
        <f>+K152</f>
        <v>10850</v>
      </c>
      <c r="O153" s="226">
        <f t="shared" si="34"/>
        <v>9836.8087035358112</v>
      </c>
      <c r="P153" s="227">
        <f t="shared" si="35"/>
        <v>10850</v>
      </c>
    </row>
    <row r="154" spans="1:16" s="211" customFormat="1">
      <c r="A154" s="238" t="s">
        <v>472</v>
      </c>
      <c r="B154" s="219" t="s">
        <v>51</v>
      </c>
      <c r="C154" s="216" t="s">
        <v>55</v>
      </c>
      <c r="D154" s="225" t="s">
        <v>460</v>
      </c>
      <c r="E154" s="218" t="str">
        <f t="shared" si="37"/>
        <v>WR-1012B-6.0-6.8</v>
      </c>
      <c r="F154" s="219">
        <f t="shared" si="38"/>
        <v>16</v>
      </c>
      <c r="G154" s="210" t="s">
        <v>461</v>
      </c>
      <c r="I154" s="224" t="s">
        <v>293</v>
      </c>
      <c r="J154" s="222">
        <f t="shared" si="39"/>
        <v>9814.1432456935636</v>
      </c>
      <c r="K154" s="223">
        <f>+K152-25</f>
        <v>10825</v>
      </c>
      <c r="O154" s="226">
        <f t="shared" si="34"/>
        <v>9814.1432456935636</v>
      </c>
      <c r="P154" s="227">
        <f t="shared" si="35"/>
        <v>10825</v>
      </c>
    </row>
    <row r="155" spans="1:16" s="211" customFormat="1">
      <c r="A155" s="238" t="s">
        <v>473</v>
      </c>
      <c r="B155" s="219" t="s">
        <v>51</v>
      </c>
      <c r="C155" s="216" t="s">
        <v>55</v>
      </c>
      <c r="D155" s="217" t="s">
        <v>295</v>
      </c>
      <c r="E155" s="218" t="str">
        <f t="shared" si="37"/>
        <v>WR-1012B-7.2 - 17</v>
      </c>
      <c r="F155" s="219">
        <f t="shared" si="38"/>
        <v>17</v>
      </c>
      <c r="G155" s="220" t="s">
        <v>182</v>
      </c>
      <c r="I155" s="224" t="s">
        <v>442</v>
      </c>
      <c r="J155" s="222">
        <f t="shared" si="39"/>
        <v>9791.4777878513141</v>
      </c>
      <c r="K155" s="223">
        <f>+K152-50</f>
        <v>10800</v>
      </c>
      <c r="O155" s="226">
        <f t="shared" si="34"/>
        <v>9791.4777878513141</v>
      </c>
      <c r="P155" s="227">
        <f t="shared" si="35"/>
        <v>10800</v>
      </c>
    </row>
    <row r="156" spans="1:16" s="211" customFormat="1">
      <c r="A156" s="238" t="s">
        <v>474</v>
      </c>
      <c r="B156" s="219" t="s">
        <v>51</v>
      </c>
      <c r="C156" s="216" t="s">
        <v>55</v>
      </c>
      <c r="D156" s="217">
        <v>4.9000000000000004</v>
      </c>
      <c r="E156" s="218" t="str">
        <f t="shared" si="37"/>
        <v>WR-1012B-4.9</v>
      </c>
      <c r="F156" s="219">
        <f t="shared" si="38"/>
        <v>12</v>
      </c>
      <c r="G156" s="220" t="s">
        <v>183</v>
      </c>
      <c r="I156" s="224" t="s">
        <v>458</v>
      </c>
      <c r="J156" s="222">
        <f t="shared" si="39"/>
        <v>9904.8050770625559</v>
      </c>
      <c r="K156" s="223">
        <f>+K152+75-50+25+25</f>
        <v>10925</v>
      </c>
      <c r="O156" s="226">
        <f t="shared" si="34"/>
        <v>9904.8050770625559</v>
      </c>
      <c r="P156" s="227">
        <f t="shared" si="35"/>
        <v>10925</v>
      </c>
    </row>
    <row r="157" spans="1:16" s="211" customFormat="1">
      <c r="A157" s="238" t="s">
        <v>475</v>
      </c>
      <c r="B157" s="219" t="s">
        <v>51</v>
      </c>
      <c r="C157" s="216" t="s">
        <v>55</v>
      </c>
      <c r="D157" s="217">
        <v>4.7</v>
      </c>
      <c r="E157" s="218" t="str">
        <f t="shared" si="37"/>
        <v>WR-1012B-4.7</v>
      </c>
      <c r="F157" s="219">
        <f t="shared" si="38"/>
        <v>12</v>
      </c>
      <c r="G157" s="220" t="s">
        <v>184</v>
      </c>
      <c r="I157" s="224" t="s">
        <v>459</v>
      </c>
      <c r="J157" s="222">
        <f t="shared" si="39"/>
        <v>9972.8014505893025</v>
      </c>
      <c r="K157" s="223">
        <f>+K152+150-50+25+25</f>
        <v>11000</v>
      </c>
      <c r="O157" s="226">
        <f t="shared" si="34"/>
        <v>9972.8014505893025</v>
      </c>
      <c r="P157" s="227">
        <f t="shared" si="35"/>
        <v>11000</v>
      </c>
    </row>
    <row r="158" spans="1:16" s="211" customFormat="1">
      <c r="A158" s="236" t="s">
        <v>476</v>
      </c>
      <c r="B158" s="206" t="s">
        <v>51</v>
      </c>
      <c r="C158" s="207" t="s">
        <v>55</v>
      </c>
      <c r="D158" s="208">
        <v>7</v>
      </c>
      <c r="E158" s="209" t="str">
        <f t="shared" si="37"/>
        <v>WR-1012B-7</v>
      </c>
      <c r="F158" s="206">
        <f t="shared" si="38"/>
        <v>10</v>
      </c>
      <c r="G158" s="210" t="s">
        <v>462</v>
      </c>
      <c r="I158" s="249" t="s">
        <v>442</v>
      </c>
      <c r="J158" s="212">
        <f t="shared" si="39"/>
        <v>9791.4777878513141</v>
      </c>
      <c r="K158" s="213">
        <f>+K152-50</f>
        <v>10800</v>
      </c>
      <c r="O158" s="226">
        <f t="shared" si="34"/>
        <v>9791.4777878513141</v>
      </c>
      <c r="P158" s="227">
        <f t="shared" si="35"/>
        <v>10800</v>
      </c>
    </row>
    <row r="159" spans="1:16" s="147" customFormat="1">
      <c r="A159" s="153" t="s">
        <v>478</v>
      </c>
      <c r="B159" s="143" t="s">
        <v>51</v>
      </c>
      <c r="C159" s="144" t="s">
        <v>55</v>
      </c>
      <c r="D159" s="156">
        <v>4.2</v>
      </c>
      <c r="E159" s="145" t="s">
        <v>421</v>
      </c>
      <c r="F159" s="143"/>
      <c r="G159" s="155" t="s">
        <v>421</v>
      </c>
      <c r="I159" s="171" t="s">
        <v>439</v>
      </c>
      <c r="J159" s="160">
        <f t="shared" ref="J159:J160" si="40">+K159/1.103</f>
        <v>10199.456029011786</v>
      </c>
      <c r="K159" s="101">
        <f>+K152+400-50+25+25</f>
        <v>11250</v>
      </c>
      <c r="O159" s="157">
        <f t="shared" si="34"/>
        <v>10199.456029011786</v>
      </c>
      <c r="P159" s="158">
        <f t="shared" si="34"/>
        <v>11250</v>
      </c>
    </row>
    <row r="160" spans="1:16" s="147" customFormat="1">
      <c r="A160" s="153" t="s">
        <v>479</v>
      </c>
      <c r="B160" s="143" t="s">
        <v>51</v>
      </c>
      <c r="C160" s="144" t="s">
        <v>55</v>
      </c>
      <c r="D160" s="154">
        <v>4.5</v>
      </c>
      <c r="E160" s="145" t="s">
        <v>424</v>
      </c>
      <c r="F160" s="143"/>
      <c r="G160" s="155" t="s">
        <v>424</v>
      </c>
      <c r="I160" s="171" t="s">
        <v>440</v>
      </c>
      <c r="J160" s="160">
        <f t="shared" si="40"/>
        <v>10108.794197642792</v>
      </c>
      <c r="K160" s="101">
        <f>+K152+300-50+25+25</f>
        <v>11150</v>
      </c>
      <c r="O160" s="157">
        <f t="shared" ref="O160:P160" si="41">+J160-M160</f>
        <v>10108.794197642792</v>
      </c>
      <c r="P160" s="158">
        <f t="shared" si="41"/>
        <v>11150</v>
      </c>
    </row>
  </sheetData>
  <conditionalFormatting sqref="F4:F158">
    <cfRule type="cellIs" dxfId="35" priority="39" stopIfTrue="1" operator="lessThanOrEqual">
      <formula>20</formula>
    </cfRule>
    <cfRule type="cellIs" dxfId="34" priority="40" stopIfTrue="1" operator="greaterThan">
      <formula>20</formula>
    </cfRule>
  </conditionalFormatting>
  <conditionalFormatting sqref="F158">
    <cfRule type="cellIs" dxfId="33" priority="19" stopIfTrue="1" operator="lessThanOrEqual">
      <formula>20</formula>
    </cfRule>
    <cfRule type="cellIs" dxfId="32" priority="20" stopIfTrue="1" operator="greaterThan">
      <formula>20</formula>
    </cfRule>
  </conditionalFormatting>
  <conditionalFormatting sqref="F158">
    <cfRule type="cellIs" dxfId="31" priority="17" stopIfTrue="1" operator="lessThanOrEqual">
      <formula>20</formula>
    </cfRule>
    <cfRule type="cellIs" dxfId="30" priority="18" stopIfTrue="1" operator="greaterThan">
      <formula>20</formula>
    </cfRule>
  </conditionalFormatting>
  <conditionalFormatting sqref="F159:F160">
    <cfRule type="cellIs" dxfId="29" priority="15" stopIfTrue="1" operator="lessThanOrEqual">
      <formula>20</formula>
    </cfRule>
    <cfRule type="cellIs" dxfId="28" priority="16" stopIfTrue="1" operator="greaterThan">
      <formula>20</formula>
    </cfRule>
  </conditionalFormatting>
  <conditionalFormatting sqref="F159:F160">
    <cfRule type="cellIs" dxfId="27" priority="13" stopIfTrue="1" operator="lessThanOrEqual">
      <formula>20</formula>
    </cfRule>
    <cfRule type="cellIs" dxfId="26" priority="14" stopIfTrue="1" operator="greaterThan">
      <formula>20</formula>
    </cfRule>
  </conditionalFormatting>
  <conditionalFormatting sqref="F159:F160">
    <cfRule type="cellIs" dxfId="25" priority="11" stopIfTrue="1" operator="lessThanOrEqual">
      <formula>20</formula>
    </cfRule>
    <cfRule type="cellIs" dxfId="24" priority="12" stopIfTrue="1" operator="greaterThan">
      <formula>20</formula>
    </cfRule>
  </conditionalFormatting>
  <conditionalFormatting sqref="F99:F100">
    <cfRule type="cellIs" dxfId="23" priority="9" stopIfTrue="1" operator="lessThanOrEqual">
      <formula>20</formula>
    </cfRule>
    <cfRule type="cellIs" dxfId="22" priority="10" stopIfTrue="1" operator="greaterThan">
      <formula>20</formula>
    </cfRule>
  </conditionalFormatting>
  <conditionalFormatting sqref="F99:F100">
    <cfRule type="cellIs" dxfId="21" priority="7" stopIfTrue="1" operator="lessThanOrEqual">
      <formula>20</formula>
    </cfRule>
    <cfRule type="cellIs" dxfId="20" priority="8" stopIfTrue="1" operator="greaterThan">
      <formula>20</formula>
    </cfRule>
  </conditionalFormatting>
  <conditionalFormatting sqref="F100">
    <cfRule type="cellIs" dxfId="19" priority="5" stopIfTrue="1" operator="lessThanOrEqual">
      <formula>20</formula>
    </cfRule>
    <cfRule type="cellIs" dxfId="18" priority="6" stopIfTrue="1" operator="greaterThan">
      <formula>20</formula>
    </cfRule>
  </conditionalFormatting>
  <conditionalFormatting sqref="F100">
    <cfRule type="cellIs" dxfId="17" priority="3" stopIfTrue="1" operator="lessThanOrEqual">
      <formula>20</formula>
    </cfRule>
    <cfRule type="cellIs" dxfId="16" priority="4" stopIfTrue="1" operator="greaterThan">
      <formula>20</formula>
    </cfRule>
  </conditionalFormatting>
  <conditionalFormatting sqref="F100">
    <cfRule type="cellIs" dxfId="15" priority="1" stopIfTrue="1" operator="lessThanOrEqual">
      <formula>20</formula>
    </cfRule>
    <cfRule type="cellIs" dxfId="14" priority="2" stopIfTrue="1" operator="greaterThan">
      <formula>20</formula>
    </cfRule>
  </conditionalFormatting>
  <pageMargins left="0.5" right="0.25" top="0.5" bottom="0.25" header="0.5" footer="0.5"/>
  <pageSetup scale="70" fitToWidth="2" fitToHeight="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P160"/>
  <sheetViews>
    <sheetView view="pageBreakPreview" topLeftCell="A101" zoomScaleSheetLayoutView="100" workbookViewId="0">
      <pane xSplit="1" topLeftCell="B1" activePane="topRight" state="frozen"/>
      <selection activeCell="J78" sqref="J78"/>
      <selection pane="topRight" activeCell="J78" sqref="J78"/>
    </sheetView>
  </sheetViews>
  <sheetFormatPr defaultColWidth="9.140625" defaultRowHeight="12.75"/>
  <cols>
    <col min="1" max="1" width="10.42578125" style="54" customWidth="1"/>
    <col min="2" max="2" width="7.7109375" style="54" customWidth="1"/>
    <col min="3" max="3" width="15.7109375" style="54" customWidth="1"/>
    <col min="4" max="4" width="9.85546875" style="54" customWidth="1"/>
    <col min="5" max="5" width="24.7109375" style="54" customWidth="1"/>
    <col min="6" max="6" width="7.85546875" style="54" customWidth="1"/>
    <col min="7" max="7" width="22.7109375" style="117" bestFit="1" customWidth="1"/>
    <col min="8" max="8" width="3.5703125" style="54" customWidth="1"/>
    <col min="9" max="9" width="16" style="90" customWidth="1"/>
    <col min="10" max="10" width="12" style="118" customWidth="1"/>
    <col min="11" max="11" width="12" style="91" customWidth="1"/>
    <col min="12" max="16384" width="9.140625" style="54"/>
  </cols>
  <sheetData>
    <row r="1" spans="1:16" ht="20.25" customHeight="1">
      <c r="J1" s="118">
        <f>+'Material Pricing Group SBY'!J1</f>
        <v>14070</v>
      </c>
    </row>
    <row r="2" spans="1:16" s="71" customFormat="1" ht="39.75" customHeight="1">
      <c r="A2" s="120" t="s">
        <v>45</v>
      </c>
      <c r="B2" s="121" t="s">
        <v>46</v>
      </c>
      <c r="C2" s="122" t="s">
        <v>47</v>
      </c>
      <c r="D2" s="123" t="s">
        <v>48</v>
      </c>
      <c r="E2" s="124" t="s">
        <v>49</v>
      </c>
      <c r="F2" s="125" t="s">
        <v>19</v>
      </c>
      <c r="G2" s="115" t="s">
        <v>289</v>
      </c>
      <c r="I2" s="126" t="s">
        <v>290</v>
      </c>
      <c r="J2" s="127" t="s">
        <v>419</v>
      </c>
      <c r="K2" s="128" t="s">
        <v>419</v>
      </c>
    </row>
    <row r="3" spans="1:16" s="71" customFormat="1" ht="18" customHeight="1">
      <c r="A3" s="132"/>
      <c r="B3" s="133"/>
      <c r="C3" s="134"/>
      <c r="D3" s="135"/>
      <c r="E3" s="136"/>
      <c r="F3" s="137"/>
      <c r="G3" s="138"/>
      <c r="H3" s="139"/>
      <c r="I3" s="140"/>
      <c r="J3" s="141">
        <f>+J1</f>
        <v>14070</v>
      </c>
      <c r="K3" s="142">
        <f>+J1</f>
        <v>14070</v>
      </c>
    </row>
    <row r="4" spans="1:16">
      <c r="A4" s="72" t="s">
        <v>113</v>
      </c>
      <c r="B4" s="46" t="s">
        <v>342</v>
      </c>
      <c r="C4" s="50" t="s">
        <v>343</v>
      </c>
      <c r="D4" s="48" t="s">
        <v>320</v>
      </c>
      <c r="E4" s="45" t="str">
        <f t="shared" ref="E4:E33" si="0">CONCATENATE(B4,"-",C4,"-",D4)</f>
        <v>Billet-SS400-ALL</v>
      </c>
      <c r="F4" s="46">
        <f t="shared" ref="F4:F33" si="1">LEN(E4)</f>
        <v>16</v>
      </c>
      <c r="G4" s="116" t="s">
        <v>235</v>
      </c>
      <c r="I4" s="100" t="s">
        <v>344</v>
      </c>
      <c r="J4" s="160">
        <f>+K4/1.103</f>
        <v>4687.2166817769721</v>
      </c>
      <c r="K4" s="159">
        <v>5170</v>
      </c>
      <c r="O4" s="157">
        <f>+J4-M4</f>
        <v>4687.2166817769721</v>
      </c>
      <c r="P4" s="158">
        <f>+K4-N4</f>
        <v>5170</v>
      </c>
    </row>
    <row r="5" spans="1:16">
      <c r="A5" s="72" t="s">
        <v>114</v>
      </c>
      <c r="B5" s="46" t="s">
        <v>342</v>
      </c>
      <c r="C5" s="53" t="s">
        <v>345</v>
      </c>
      <c r="D5" s="48" t="s">
        <v>320</v>
      </c>
      <c r="E5" s="45" t="str">
        <f t="shared" si="0"/>
        <v>Billet-U24P/D-ALL</v>
      </c>
      <c r="F5" s="46">
        <f t="shared" si="1"/>
        <v>17</v>
      </c>
      <c r="G5" s="116" t="s">
        <v>236</v>
      </c>
      <c r="I5" s="100" t="str">
        <f>+I4</f>
        <v>Base9</v>
      </c>
      <c r="J5" s="160">
        <f>+K5/1.103</f>
        <v>4687.2166817769721</v>
      </c>
      <c r="K5" s="159">
        <f>+K4</f>
        <v>5170</v>
      </c>
      <c r="O5" s="157">
        <f t="shared" ref="O5:O86" si="2">+J5-M5</f>
        <v>4687.2166817769721</v>
      </c>
      <c r="P5" s="158">
        <f t="shared" ref="P5:P86" si="3">+K5-N5</f>
        <v>5170</v>
      </c>
    </row>
    <row r="6" spans="1:16">
      <c r="A6" s="72" t="s">
        <v>115</v>
      </c>
      <c r="B6" s="46" t="s">
        <v>342</v>
      </c>
      <c r="C6" s="50" t="s">
        <v>346</v>
      </c>
      <c r="D6" s="48" t="s">
        <v>320</v>
      </c>
      <c r="E6" s="45" t="str">
        <f t="shared" si="0"/>
        <v>Billet-BJKU-ALL</v>
      </c>
      <c r="F6" s="46">
        <f t="shared" si="1"/>
        <v>15</v>
      </c>
      <c r="G6" s="116" t="s">
        <v>237</v>
      </c>
      <c r="I6" s="100" t="str">
        <f>+I4</f>
        <v>Base9</v>
      </c>
      <c r="J6" s="160">
        <f>+K6/1.103</f>
        <v>4687.2166817769721</v>
      </c>
      <c r="K6" s="73">
        <f>+K5</f>
        <v>5170</v>
      </c>
      <c r="O6" s="157">
        <f t="shared" si="2"/>
        <v>4687.2166817769721</v>
      </c>
      <c r="P6" s="158">
        <f t="shared" si="3"/>
        <v>5170</v>
      </c>
    </row>
    <row r="7" spans="1:16">
      <c r="A7" s="72" t="s">
        <v>116</v>
      </c>
      <c r="B7" s="46" t="s">
        <v>342</v>
      </c>
      <c r="C7" s="53" t="s">
        <v>347</v>
      </c>
      <c r="D7" s="48" t="s">
        <v>320</v>
      </c>
      <c r="E7" s="99" t="str">
        <f t="shared" si="0"/>
        <v>Billet-U40D/P-ALL</v>
      </c>
      <c r="F7" s="46">
        <f t="shared" si="1"/>
        <v>17</v>
      </c>
      <c r="G7" s="116" t="s">
        <v>238</v>
      </c>
      <c r="I7" s="100" t="s">
        <v>348</v>
      </c>
      <c r="J7" s="160">
        <f t="shared" ref="J7:J12" si="4">+K7/1.103</f>
        <v>4687.2166817769721</v>
      </c>
      <c r="K7" s="159">
        <v>5170</v>
      </c>
      <c r="O7" s="157">
        <f t="shared" si="2"/>
        <v>4687.2166817769721</v>
      </c>
      <c r="P7" s="158">
        <f t="shared" si="3"/>
        <v>5170</v>
      </c>
    </row>
    <row r="8" spans="1:16">
      <c r="A8" s="72" t="s">
        <v>117</v>
      </c>
      <c r="B8" s="46" t="s">
        <v>342</v>
      </c>
      <c r="C8" s="50" t="s">
        <v>349</v>
      </c>
      <c r="D8" s="48" t="s">
        <v>320</v>
      </c>
      <c r="E8" s="99" t="str">
        <f t="shared" si="0"/>
        <v>Billet-GRADE 40-ALL</v>
      </c>
      <c r="F8" s="46">
        <f t="shared" si="1"/>
        <v>19</v>
      </c>
      <c r="G8" s="116" t="s">
        <v>239</v>
      </c>
      <c r="I8" s="100" t="str">
        <f>+I7</f>
        <v>Base10</v>
      </c>
      <c r="J8" s="160">
        <f t="shared" si="4"/>
        <v>4687.2166817769721</v>
      </c>
      <c r="K8" s="73">
        <f>K7</f>
        <v>5170</v>
      </c>
      <c r="O8" s="157">
        <f t="shared" si="2"/>
        <v>4687.2166817769721</v>
      </c>
      <c r="P8" s="158">
        <f t="shared" si="3"/>
        <v>5170</v>
      </c>
    </row>
    <row r="9" spans="1:16">
      <c r="A9" s="72" t="s">
        <v>118</v>
      </c>
      <c r="B9" s="46" t="s">
        <v>342</v>
      </c>
      <c r="C9" s="50" t="s">
        <v>350</v>
      </c>
      <c r="D9" s="48" t="s">
        <v>320</v>
      </c>
      <c r="E9" s="98" t="str">
        <f t="shared" si="0"/>
        <v>Billet-GRADE 60-ALL</v>
      </c>
      <c r="F9" s="46">
        <f t="shared" si="1"/>
        <v>19</v>
      </c>
      <c r="G9" s="116" t="s">
        <v>240</v>
      </c>
      <c r="I9" s="100" t="s">
        <v>353</v>
      </c>
      <c r="J9" s="160">
        <f t="shared" si="4"/>
        <v>4687.2166817769721</v>
      </c>
      <c r="K9" s="159">
        <f>+K7</f>
        <v>5170</v>
      </c>
      <c r="O9" s="157">
        <f t="shared" si="2"/>
        <v>4687.2166817769721</v>
      </c>
      <c r="P9" s="158">
        <f t="shared" si="3"/>
        <v>5170</v>
      </c>
    </row>
    <row r="10" spans="1:16">
      <c r="A10" s="72" t="s">
        <v>119</v>
      </c>
      <c r="B10" s="46" t="s">
        <v>342</v>
      </c>
      <c r="C10" s="50" t="s">
        <v>351</v>
      </c>
      <c r="D10" s="48" t="s">
        <v>320</v>
      </c>
      <c r="E10" s="99" t="str">
        <f t="shared" si="0"/>
        <v>Billet-SD390-ALL</v>
      </c>
      <c r="F10" s="46">
        <f t="shared" si="1"/>
        <v>16</v>
      </c>
      <c r="G10" s="116" t="s">
        <v>241</v>
      </c>
      <c r="I10" s="100" t="str">
        <f>I8</f>
        <v>Base10</v>
      </c>
      <c r="J10" s="160">
        <f t="shared" si="4"/>
        <v>4687.2166817769721</v>
      </c>
      <c r="K10" s="73">
        <f>K9</f>
        <v>5170</v>
      </c>
      <c r="O10" s="157">
        <f t="shared" si="2"/>
        <v>4687.2166817769721</v>
      </c>
      <c r="P10" s="158">
        <f t="shared" si="3"/>
        <v>5170</v>
      </c>
    </row>
    <row r="11" spans="1:16">
      <c r="A11" s="72" t="s">
        <v>120</v>
      </c>
      <c r="B11" s="46" t="s">
        <v>342</v>
      </c>
      <c r="C11" s="50" t="s">
        <v>352</v>
      </c>
      <c r="D11" s="48" t="s">
        <v>320</v>
      </c>
      <c r="E11" s="98" t="str">
        <f t="shared" si="0"/>
        <v>Billet-SS540-ALL</v>
      </c>
      <c r="F11" s="46">
        <f t="shared" si="1"/>
        <v>16</v>
      </c>
      <c r="G11" s="116" t="s">
        <v>242</v>
      </c>
      <c r="I11" s="100" t="str">
        <f>I9</f>
        <v>Base11</v>
      </c>
      <c r="J11" s="160">
        <f>+K11/1.103</f>
        <v>4777.8785131459654</v>
      </c>
      <c r="K11" s="159">
        <f>+K7+100</f>
        <v>5270</v>
      </c>
      <c r="O11" s="157">
        <f t="shared" si="2"/>
        <v>4777.8785131459654</v>
      </c>
      <c r="P11" s="158">
        <f t="shared" si="3"/>
        <v>5270</v>
      </c>
    </row>
    <row r="12" spans="1:16">
      <c r="A12" s="72" t="s">
        <v>121</v>
      </c>
      <c r="B12" s="46" t="s">
        <v>342</v>
      </c>
      <c r="C12" s="50" t="s">
        <v>354</v>
      </c>
      <c r="D12" s="48" t="s">
        <v>320</v>
      </c>
      <c r="E12" s="45" t="str">
        <f t="shared" si="0"/>
        <v>Billet-SD490-ALL</v>
      </c>
      <c r="F12" s="46">
        <f t="shared" si="1"/>
        <v>16</v>
      </c>
      <c r="G12" s="116" t="s">
        <v>243</v>
      </c>
      <c r="I12" s="100" t="str">
        <f>I9</f>
        <v>Base11</v>
      </c>
      <c r="J12" s="160">
        <f t="shared" si="4"/>
        <v>4687.2166817769721</v>
      </c>
      <c r="K12" s="73">
        <f>K9</f>
        <v>5170</v>
      </c>
      <c r="O12" s="157">
        <f t="shared" si="2"/>
        <v>4687.2166817769721</v>
      </c>
      <c r="P12" s="158">
        <f t="shared" si="3"/>
        <v>5170</v>
      </c>
    </row>
    <row r="13" spans="1:16">
      <c r="A13" s="72" t="s">
        <v>122</v>
      </c>
      <c r="B13" s="46" t="s">
        <v>342</v>
      </c>
      <c r="C13" s="50">
        <v>1008</v>
      </c>
      <c r="D13" s="48" t="s">
        <v>320</v>
      </c>
      <c r="E13" s="45" t="str">
        <f t="shared" si="0"/>
        <v>Billet-1008-ALL</v>
      </c>
      <c r="F13" s="46">
        <f t="shared" si="1"/>
        <v>15</v>
      </c>
      <c r="G13" s="116" t="s">
        <v>244</v>
      </c>
      <c r="I13" s="100" t="str">
        <f>I7</f>
        <v>Base10</v>
      </c>
      <c r="J13" s="160">
        <f t="shared" ref="J13:J33" si="5">+K13/1.103</f>
        <v>4687.2166817769721</v>
      </c>
      <c r="K13" s="101">
        <f>K10</f>
        <v>5170</v>
      </c>
      <c r="O13" s="157">
        <f t="shared" si="2"/>
        <v>4687.2166817769721</v>
      </c>
      <c r="P13" s="158">
        <f t="shared" si="3"/>
        <v>5170</v>
      </c>
    </row>
    <row r="14" spans="1:16">
      <c r="A14" s="72" t="s">
        <v>123</v>
      </c>
      <c r="B14" s="46" t="s">
        <v>342</v>
      </c>
      <c r="C14" s="50" t="s">
        <v>356</v>
      </c>
      <c r="D14" s="48" t="s">
        <v>320</v>
      </c>
      <c r="E14" s="45" t="str">
        <f t="shared" si="0"/>
        <v>Billet-Q195-ALL</v>
      </c>
      <c r="F14" s="46">
        <f t="shared" si="1"/>
        <v>15</v>
      </c>
      <c r="G14" s="116" t="s">
        <v>245</v>
      </c>
      <c r="I14" s="100" t="str">
        <f>+I13</f>
        <v>Base10</v>
      </c>
      <c r="J14" s="160">
        <f t="shared" si="5"/>
        <v>4687.2166817769721</v>
      </c>
      <c r="K14" s="73">
        <f>K7</f>
        <v>5170</v>
      </c>
      <c r="O14" s="157">
        <f t="shared" si="2"/>
        <v>4687.2166817769721</v>
      </c>
      <c r="P14" s="158">
        <f t="shared" si="3"/>
        <v>5170</v>
      </c>
    </row>
    <row r="15" spans="1:16">
      <c r="A15" s="72" t="s">
        <v>124</v>
      </c>
      <c r="B15" s="46" t="s">
        <v>342</v>
      </c>
      <c r="C15" s="84">
        <v>1006</v>
      </c>
      <c r="D15" s="48" t="s">
        <v>320</v>
      </c>
      <c r="E15" s="45" t="str">
        <f t="shared" si="0"/>
        <v>Billet-1006-ALL</v>
      </c>
      <c r="F15" s="46">
        <f t="shared" si="1"/>
        <v>15</v>
      </c>
      <c r="G15" s="116" t="s">
        <v>246</v>
      </c>
      <c r="I15" s="100" t="s">
        <v>398</v>
      </c>
      <c r="J15" s="160">
        <f t="shared" si="5"/>
        <v>4868.5403445149595</v>
      </c>
      <c r="K15" s="73">
        <f>K7+200</f>
        <v>5370</v>
      </c>
      <c r="O15" s="157">
        <f t="shared" si="2"/>
        <v>4868.5403445149595</v>
      </c>
      <c r="P15" s="158">
        <f t="shared" si="3"/>
        <v>5370</v>
      </c>
    </row>
    <row r="16" spans="1:16">
      <c r="A16" s="72" t="s">
        <v>126</v>
      </c>
      <c r="B16" s="46" t="s">
        <v>342</v>
      </c>
      <c r="C16" s="50">
        <v>1010</v>
      </c>
      <c r="D16" s="48" t="s">
        <v>320</v>
      </c>
      <c r="E16" s="45" t="str">
        <f t="shared" si="0"/>
        <v>Billet-1010-ALL</v>
      </c>
      <c r="F16" s="46">
        <f t="shared" si="1"/>
        <v>15</v>
      </c>
      <c r="G16" s="116" t="s">
        <v>247</v>
      </c>
      <c r="I16" s="100" t="str">
        <f>I7</f>
        <v>Base10</v>
      </c>
      <c r="J16" s="160">
        <f t="shared" si="5"/>
        <v>4687.2166817769721</v>
      </c>
      <c r="K16" s="101">
        <f>K7</f>
        <v>5170</v>
      </c>
      <c r="O16" s="157">
        <f t="shared" si="2"/>
        <v>4687.2166817769721</v>
      </c>
      <c r="P16" s="158">
        <f t="shared" si="3"/>
        <v>5170</v>
      </c>
    </row>
    <row r="17" spans="1:16">
      <c r="A17" s="72" t="s">
        <v>128</v>
      </c>
      <c r="B17" s="46" t="s">
        <v>342</v>
      </c>
      <c r="C17" s="50">
        <v>1012</v>
      </c>
      <c r="D17" s="48" t="s">
        <v>320</v>
      </c>
      <c r="E17" s="45" t="str">
        <f t="shared" si="0"/>
        <v>Billet-1012-ALL</v>
      </c>
      <c r="F17" s="46">
        <f t="shared" si="1"/>
        <v>15</v>
      </c>
      <c r="G17" s="116" t="s">
        <v>248</v>
      </c>
      <c r="I17" s="100" t="str">
        <f>+I16</f>
        <v>Base10</v>
      </c>
      <c r="J17" s="160">
        <f t="shared" si="5"/>
        <v>4687.2166817769721</v>
      </c>
      <c r="K17" s="73">
        <f>+K7</f>
        <v>5170</v>
      </c>
      <c r="O17" s="157">
        <f t="shared" si="2"/>
        <v>4687.2166817769721</v>
      </c>
      <c r="P17" s="158">
        <f t="shared" si="3"/>
        <v>5170</v>
      </c>
    </row>
    <row r="18" spans="1:16">
      <c r="A18" s="72" t="s">
        <v>129</v>
      </c>
      <c r="B18" s="46" t="s">
        <v>342</v>
      </c>
      <c r="C18" s="50">
        <v>1015</v>
      </c>
      <c r="D18" s="48" t="s">
        <v>320</v>
      </c>
      <c r="E18" s="45" t="str">
        <f t="shared" si="0"/>
        <v>Billet-1015-ALL</v>
      </c>
      <c r="F18" s="46">
        <f t="shared" si="1"/>
        <v>15</v>
      </c>
      <c r="G18" s="116" t="s">
        <v>249</v>
      </c>
      <c r="I18" s="100" t="str">
        <f>+I16</f>
        <v>Base10</v>
      </c>
      <c r="J18" s="160">
        <f t="shared" si="5"/>
        <v>4687.2166817769721</v>
      </c>
      <c r="K18" s="73">
        <f>+K7</f>
        <v>5170</v>
      </c>
      <c r="O18" s="157">
        <f t="shared" si="2"/>
        <v>4687.2166817769721</v>
      </c>
      <c r="P18" s="158">
        <f t="shared" si="3"/>
        <v>5170</v>
      </c>
    </row>
    <row r="19" spans="1:16">
      <c r="A19" s="72" t="s">
        <v>130</v>
      </c>
      <c r="B19" s="46" t="s">
        <v>342</v>
      </c>
      <c r="C19" s="53" t="s">
        <v>55</v>
      </c>
      <c r="D19" s="48" t="s">
        <v>320</v>
      </c>
      <c r="E19" s="45" t="str">
        <f t="shared" si="0"/>
        <v>Billet-1012B-ALL</v>
      </c>
      <c r="F19" s="46">
        <f t="shared" si="1"/>
        <v>16</v>
      </c>
      <c r="G19" s="116" t="s">
        <v>250</v>
      </c>
      <c r="I19" s="100" t="s">
        <v>355</v>
      </c>
      <c r="J19" s="160">
        <f t="shared" si="5"/>
        <v>4687.2166817769721</v>
      </c>
      <c r="K19" s="101">
        <f>+K5</f>
        <v>5170</v>
      </c>
      <c r="O19" s="157">
        <f t="shared" si="2"/>
        <v>4687.2166817769721</v>
      </c>
      <c r="P19" s="158">
        <f t="shared" si="3"/>
        <v>5170</v>
      </c>
    </row>
    <row r="20" spans="1:16">
      <c r="A20" s="72" t="s">
        <v>131</v>
      </c>
      <c r="B20" s="46" t="s">
        <v>342</v>
      </c>
      <c r="C20" s="53" t="s">
        <v>357</v>
      </c>
      <c r="D20" s="48" t="s">
        <v>320</v>
      </c>
      <c r="E20" s="45" t="str">
        <f t="shared" si="0"/>
        <v>Billet-500N/Mpa-ALL</v>
      </c>
      <c r="F20" s="46">
        <f t="shared" si="1"/>
        <v>19</v>
      </c>
      <c r="G20" s="116" t="s">
        <v>251</v>
      </c>
      <c r="I20" s="100" t="s">
        <v>399</v>
      </c>
      <c r="J20" s="160">
        <f t="shared" si="5"/>
        <v>5666.3644605621039</v>
      </c>
      <c r="K20" s="101">
        <f>+K7+1080</f>
        <v>6250</v>
      </c>
      <c r="O20" s="157">
        <f t="shared" si="2"/>
        <v>5666.3644605621039</v>
      </c>
      <c r="P20" s="158">
        <f t="shared" si="3"/>
        <v>6250</v>
      </c>
    </row>
    <row r="21" spans="1:16">
      <c r="A21" s="72" t="s">
        <v>132</v>
      </c>
      <c r="B21" s="46" t="s">
        <v>342</v>
      </c>
      <c r="C21" s="53" t="s">
        <v>358</v>
      </c>
      <c r="D21" s="48" t="s">
        <v>320</v>
      </c>
      <c r="E21" s="45" t="str">
        <f t="shared" si="0"/>
        <v>Billet-SD295A-ALL</v>
      </c>
      <c r="F21" s="46">
        <f t="shared" si="1"/>
        <v>17</v>
      </c>
      <c r="G21" s="116" t="s">
        <v>252</v>
      </c>
      <c r="I21" s="100" t="str">
        <f>I7</f>
        <v>Base10</v>
      </c>
      <c r="J21" s="160">
        <f t="shared" si="5"/>
        <v>4687.2166817769721</v>
      </c>
      <c r="K21" s="101">
        <f>K7</f>
        <v>5170</v>
      </c>
      <c r="O21" s="157">
        <f t="shared" si="2"/>
        <v>4687.2166817769721</v>
      </c>
      <c r="P21" s="158">
        <f t="shared" si="3"/>
        <v>5170</v>
      </c>
    </row>
    <row r="22" spans="1:16">
      <c r="A22" s="72" t="s">
        <v>133</v>
      </c>
      <c r="B22" s="46" t="s">
        <v>342</v>
      </c>
      <c r="C22" s="53" t="s">
        <v>359</v>
      </c>
      <c r="D22" s="48" t="s">
        <v>320</v>
      </c>
      <c r="E22" s="45" t="str">
        <f t="shared" si="0"/>
        <v>Billet-SD295B-ALL</v>
      </c>
      <c r="F22" s="46">
        <f t="shared" si="1"/>
        <v>17</v>
      </c>
      <c r="G22" s="116" t="s">
        <v>253</v>
      </c>
      <c r="I22" s="100" t="s">
        <v>400</v>
      </c>
      <c r="J22" s="160">
        <f t="shared" si="5"/>
        <v>4732.5475974614692</v>
      </c>
      <c r="K22" s="73">
        <f>K10+50</f>
        <v>5220</v>
      </c>
      <c r="O22" s="157">
        <f t="shared" si="2"/>
        <v>4732.5475974614692</v>
      </c>
      <c r="P22" s="158">
        <f t="shared" si="3"/>
        <v>5220</v>
      </c>
    </row>
    <row r="23" spans="1:16">
      <c r="A23" s="72" t="s">
        <v>134</v>
      </c>
      <c r="B23" s="46" t="s">
        <v>342</v>
      </c>
      <c r="C23" s="53" t="s">
        <v>360</v>
      </c>
      <c r="D23" s="48" t="s">
        <v>320</v>
      </c>
      <c r="E23" s="45" t="str">
        <f t="shared" si="0"/>
        <v>Billet-SD345-ALL</v>
      </c>
      <c r="F23" s="46">
        <f t="shared" si="1"/>
        <v>16</v>
      </c>
      <c r="G23" s="116" t="s">
        <v>254</v>
      </c>
      <c r="I23" s="100" t="s">
        <v>401</v>
      </c>
      <c r="J23" s="160">
        <f t="shared" si="5"/>
        <v>4777.8785131459654</v>
      </c>
      <c r="K23" s="73">
        <f>K10+100</f>
        <v>5270</v>
      </c>
      <c r="O23" s="157">
        <f t="shared" si="2"/>
        <v>4777.8785131459654</v>
      </c>
      <c r="P23" s="158">
        <f t="shared" si="3"/>
        <v>5270</v>
      </c>
    </row>
    <row r="24" spans="1:16">
      <c r="A24" s="72" t="s">
        <v>135</v>
      </c>
      <c r="B24" s="46" t="s">
        <v>342</v>
      </c>
      <c r="C24" s="50" t="s">
        <v>338</v>
      </c>
      <c r="D24" s="48" t="s">
        <v>320</v>
      </c>
      <c r="E24" s="99" t="str">
        <f t="shared" si="0"/>
        <v>Billet-300E-ALL</v>
      </c>
      <c r="F24" s="46">
        <f t="shared" si="1"/>
        <v>15</v>
      </c>
      <c r="G24" s="116" t="s">
        <v>255</v>
      </c>
      <c r="I24" s="100" t="str">
        <f>I7</f>
        <v>Base10</v>
      </c>
      <c r="J24" s="160">
        <f t="shared" si="5"/>
        <v>4687.2166817769721</v>
      </c>
      <c r="K24" s="73">
        <f>K10</f>
        <v>5170</v>
      </c>
      <c r="O24" s="157">
        <f t="shared" si="2"/>
        <v>4687.2166817769721</v>
      </c>
      <c r="P24" s="158">
        <f t="shared" si="3"/>
        <v>5170</v>
      </c>
    </row>
    <row r="25" spans="1:16">
      <c r="A25" s="72" t="s">
        <v>104</v>
      </c>
      <c r="B25" s="46" t="s">
        <v>334</v>
      </c>
      <c r="C25" s="50" t="s">
        <v>335</v>
      </c>
      <c r="D25" s="51">
        <v>6</v>
      </c>
      <c r="E25" s="45" t="str">
        <f t="shared" si="0"/>
        <v>DC-SD 390-6</v>
      </c>
      <c r="F25" s="46">
        <f t="shared" si="1"/>
        <v>11</v>
      </c>
      <c r="G25" s="116" t="s">
        <v>226</v>
      </c>
      <c r="I25" s="100" t="s">
        <v>336</v>
      </c>
      <c r="J25" s="160">
        <f>+K25/1.103</f>
        <v>9836.8087035358112</v>
      </c>
      <c r="K25" s="174">
        <f>+'Material Pricing Group SBY'!K25</f>
        <v>10850</v>
      </c>
      <c r="O25" s="157">
        <f t="shared" ref="O25:O46" si="6">+J25-M25</f>
        <v>9836.8087035358112</v>
      </c>
      <c r="P25" s="158">
        <f t="shared" si="3"/>
        <v>10850</v>
      </c>
    </row>
    <row r="26" spans="1:16">
      <c r="A26" s="72" t="s">
        <v>105</v>
      </c>
      <c r="B26" s="46" t="s">
        <v>334</v>
      </c>
      <c r="C26" s="50" t="s">
        <v>335</v>
      </c>
      <c r="D26" s="51">
        <v>8</v>
      </c>
      <c r="E26" s="45" t="str">
        <f t="shared" si="0"/>
        <v>DC-SD 390-8</v>
      </c>
      <c r="F26" s="46">
        <f t="shared" si="1"/>
        <v>11</v>
      </c>
      <c r="G26" s="116" t="s">
        <v>227</v>
      </c>
      <c r="I26" s="100" t="str">
        <f>+I25</f>
        <v>Base8</v>
      </c>
      <c r="J26" s="160">
        <f t="shared" si="5"/>
        <v>9836.8087035358112</v>
      </c>
      <c r="K26" s="73">
        <f>+K25</f>
        <v>10850</v>
      </c>
      <c r="O26" s="157">
        <f t="shared" si="6"/>
        <v>9836.8087035358112</v>
      </c>
      <c r="P26" s="158">
        <f t="shared" si="3"/>
        <v>10850</v>
      </c>
    </row>
    <row r="27" spans="1:16">
      <c r="A27" s="72" t="s">
        <v>106</v>
      </c>
      <c r="B27" s="46" t="s">
        <v>334</v>
      </c>
      <c r="C27" s="50" t="s">
        <v>335</v>
      </c>
      <c r="D27" s="51">
        <v>10</v>
      </c>
      <c r="E27" s="45" t="str">
        <f t="shared" si="0"/>
        <v>DC-SD 390-10</v>
      </c>
      <c r="F27" s="46">
        <f t="shared" si="1"/>
        <v>12</v>
      </c>
      <c r="G27" s="116" t="s">
        <v>228</v>
      </c>
      <c r="I27" s="100" t="str">
        <f>+I25</f>
        <v>Base8</v>
      </c>
      <c r="J27" s="160">
        <f>+K27/1.103</f>
        <v>9836.8087035358112</v>
      </c>
      <c r="K27" s="73">
        <f>+K25</f>
        <v>10850</v>
      </c>
      <c r="O27" s="157">
        <f t="shared" si="6"/>
        <v>9836.8087035358112</v>
      </c>
      <c r="P27" s="158">
        <f t="shared" si="3"/>
        <v>10850</v>
      </c>
    </row>
    <row r="28" spans="1:16">
      <c r="A28" s="72" t="s">
        <v>107</v>
      </c>
      <c r="B28" s="46" t="s">
        <v>334</v>
      </c>
      <c r="C28" s="50" t="s">
        <v>335</v>
      </c>
      <c r="D28" s="51">
        <v>12</v>
      </c>
      <c r="E28" s="45" t="str">
        <f t="shared" si="0"/>
        <v>DC-SD 390-12</v>
      </c>
      <c r="F28" s="46">
        <f t="shared" si="1"/>
        <v>12</v>
      </c>
      <c r="G28" s="116" t="s">
        <v>229</v>
      </c>
      <c r="I28" s="100" t="str">
        <f>+I25</f>
        <v>Base8</v>
      </c>
      <c r="J28" s="160">
        <f t="shared" si="5"/>
        <v>9836.8087035358112</v>
      </c>
      <c r="K28" s="73">
        <f>+K25</f>
        <v>10850</v>
      </c>
      <c r="O28" s="157">
        <f t="shared" si="6"/>
        <v>9836.8087035358112</v>
      </c>
      <c r="P28" s="158">
        <f t="shared" si="3"/>
        <v>10850</v>
      </c>
    </row>
    <row r="29" spans="1:16">
      <c r="A29" s="72" t="s">
        <v>108</v>
      </c>
      <c r="B29" s="46" t="s">
        <v>334</v>
      </c>
      <c r="C29" s="53" t="s">
        <v>337</v>
      </c>
      <c r="D29" s="48" t="s">
        <v>320</v>
      </c>
      <c r="E29" s="45" t="str">
        <f t="shared" si="0"/>
        <v>DC-500N/MPA-ALL</v>
      </c>
      <c r="F29" s="46">
        <f t="shared" si="1"/>
        <v>15</v>
      </c>
      <c r="G29" s="116" t="s">
        <v>230</v>
      </c>
      <c r="I29" s="100" t="s">
        <v>396</v>
      </c>
      <c r="J29" s="160">
        <f t="shared" si="5"/>
        <v>10997.28014505893</v>
      </c>
      <c r="K29" s="73">
        <f>+K62+1080</f>
        <v>12130</v>
      </c>
      <c r="O29" s="157">
        <f t="shared" si="6"/>
        <v>10997.28014505893</v>
      </c>
      <c r="P29" s="158">
        <f t="shared" si="3"/>
        <v>12130</v>
      </c>
    </row>
    <row r="30" spans="1:16">
      <c r="A30" s="72" t="s">
        <v>109</v>
      </c>
      <c r="B30" s="46" t="s">
        <v>334</v>
      </c>
      <c r="C30" s="50" t="s">
        <v>338</v>
      </c>
      <c r="D30" s="48" t="s">
        <v>320</v>
      </c>
      <c r="E30" s="45" t="str">
        <f t="shared" si="0"/>
        <v>DC-300E-ALL</v>
      </c>
      <c r="F30" s="46">
        <f t="shared" si="1"/>
        <v>11</v>
      </c>
      <c r="G30" s="116" t="s">
        <v>231</v>
      </c>
      <c r="I30" s="100" t="s">
        <v>394</v>
      </c>
      <c r="J30" s="160">
        <f t="shared" si="5"/>
        <v>10154.125113327289</v>
      </c>
      <c r="K30" s="73">
        <f>+K62+150</f>
        <v>11200</v>
      </c>
      <c r="O30" s="157">
        <f t="shared" si="6"/>
        <v>10154.125113327289</v>
      </c>
      <c r="P30" s="158">
        <f t="shared" si="3"/>
        <v>11200</v>
      </c>
    </row>
    <row r="31" spans="1:16">
      <c r="A31" s="72" t="s">
        <v>110</v>
      </c>
      <c r="B31" s="46" t="s">
        <v>334</v>
      </c>
      <c r="C31" s="50" t="s">
        <v>339</v>
      </c>
      <c r="D31" s="48" t="s">
        <v>320</v>
      </c>
      <c r="E31" s="45" t="str">
        <f t="shared" si="0"/>
        <v>DC-SD 490-ALL</v>
      </c>
      <c r="F31" s="46">
        <f t="shared" si="1"/>
        <v>13</v>
      </c>
      <c r="G31" s="116" t="s">
        <v>232</v>
      </c>
      <c r="I31" s="100" t="s">
        <v>395</v>
      </c>
      <c r="J31" s="160">
        <f t="shared" si="5"/>
        <v>10163.191296464189</v>
      </c>
      <c r="K31" s="73">
        <f>K25+360</f>
        <v>11210</v>
      </c>
      <c r="O31" s="157">
        <f t="shared" si="6"/>
        <v>10163.191296464189</v>
      </c>
      <c r="P31" s="158">
        <f t="shared" si="3"/>
        <v>11210</v>
      </c>
    </row>
    <row r="32" spans="1:16">
      <c r="A32" s="72" t="s">
        <v>111</v>
      </c>
      <c r="B32" s="46" t="s">
        <v>334</v>
      </c>
      <c r="C32" s="50" t="s">
        <v>340</v>
      </c>
      <c r="D32" s="48" t="s">
        <v>320</v>
      </c>
      <c r="E32" s="45" t="str">
        <f t="shared" si="0"/>
        <v>DC-Grade 40-ALL</v>
      </c>
      <c r="F32" s="46">
        <f t="shared" si="1"/>
        <v>15</v>
      </c>
      <c r="G32" s="116" t="s">
        <v>233</v>
      </c>
      <c r="I32" s="100" t="s">
        <v>397</v>
      </c>
      <c r="J32" s="160">
        <f t="shared" si="5"/>
        <v>9950.135992747053</v>
      </c>
      <c r="K32" s="73">
        <f>+K25+125</f>
        <v>10975</v>
      </c>
      <c r="O32" s="157">
        <f t="shared" si="6"/>
        <v>9950.135992747053</v>
      </c>
      <c r="P32" s="158">
        <f t="shared" si="3"/>
        <v>10975</v>
      </c>
    </row>
    <row r="33" spans="1:16">
      <c r="A33" s="72" t="s">
        <v>112</v>
      </c>
      <c r="B33" s="46" t="s">
        <v>334</v>
      </c>
      <c r="C33" s="50" t="s">
        <v>341</v>
      </c>
      <c r="D33" s="48" t="s">
        <v>320</v>
      </c>
      <c r="E33" s="45" t="str">
        <f t="shared" si="0"/>
        <v>DC-Grade 60-ALL</v>
      </c>
      <c r="F33" s="46">
        <f t="shared" si="1"/>
        <v>15</v>
      </c>
      <c r="G33" s="116" t="s">
        <v>234</v>
      </c>
      <c r="I33" s="100" t="s">
        <v>395</v>
      </c>
      <c r="J33" s="160">
        <f t="shared" si="5"/>
        <v>10163.191296464189</v>
      </c>
      <c r="K33" s="73">
        <f>+K25+360</f>
        <v>11210</v>
      </c>
      <c r="O33" s="157">
        <f t="shared" si="6"/>
        <v>10163.191296464189</v>
      </c>
      <c r="P33" s="158">
        <f t="shared" si="3"/>
        <v>11210</v>
      </c>
    </row>
    <row r="34" spans="1:16">
      <c r="A34" s="72" t="s">
        <v>138</v>
      </c>
      <c r="B34" s="60" t="s">
        <v>363</v>
      </c>
      <c r="C34" s="74" t="s">
        <v>364</v>
      </c>
      <c r="D34" s="77">
        <v>5.5</v>
      </c>
      <c r="E34" s="78" t="str">
        <f t="shared" ref="E34:E46" si="7">CONCATENATE(B34,"-",C34,"-",D34)</f>
        <v>NP-LCRJ 5.5-5.5</v>
      </c>
      <c r="F34" s="75">
        <f t="shared" ref="F34:F46" si="8">LEN(E34)</f>
        <v>15</v>
      </c>
      <c r="G34" s="116" t="s">
        <v>258</v>
      </c>
      <c r="H34" s="79"/>
      <c r="I34" s="100" t="s">
        <v>404</v>
      </c>
      <c r="J34" s="160">
        <f t="shared" ref="J34:J46" si="9">+K34/1.103</f>
        <v>8361.2873980054392</v>
      </c>
      <c r="K34" s="73">
        <f>K51*0.85</f>
        <v>9222.5</v>
      </c>
      <c r="O34" s="157">
        <f t="shared" si="6"/>
        <v>8361.2873980054392</v>
      </c>
      <c r="P34" s="158">
        <f t="shared" si="3"/>
        <v>9222.5</v>
      </c>
    </row>
    <row r="35" spans="1:16">
      <c r="A35" s="72" t="s">
        <v>139</v>
      </c>
      <c r="B35" s="60" t="s">
        <v>363</v>
      </c>
      <c r="C35" s="74" t="s">
        <v>365</v>
      </c>
      <c r="D35" s="87" t="s">
        <v>366</v>
      </c>
      <c r="E35" s="88" t="str">
        <f t="shared" si="7"/>
        <v>NP-LCRJ 6-8-6.0-8</v>
      </c>
      <c r="F35" s="85">
        <f t="shared" si="8"/>
        <v>17</v>
      </c>
      <c r="G35" s="116" t="s">
        <v>259</v>
      </c>
      <c r="H35" s="79"/>
      <c r="I35" s="100" t="s">
        <v>405</v>
      </c>
      <c r="J35" s="163">
        <f t="shared" si="9"/>
        <v>7905.711695376247</v>
      </c>
      <c r="K35" s="92">
        <f>K48*0.8</f>
        <v>8720</v>
      </c>
      <c r="O35" s="157">
        <f t="shared" si="6"/>
        <v>7905.711695376247</v>
      </c>
      <c r="P35" s="158">
        <f t="shared" si="3"/>
        <v>8720</v>
      </c>
    </row>
    <row r="36" spans="1:16">
      <c r="A36" s="72" t="s">
        <v>140</v>
      </c>
      <c r="B36" s="60" t="s">
        <v>363</v>
      </c>
      <c r="C36" s="74" t="s">
        <v>367</v>
      </c>
      <c r="D36" s="77" t="s">
        <v>368</v>
      </c>
      <c r="E36" s="78" t="str">
        <f t="shared" si="7"/>
        <v>NP-LCRJ 8 up-8 Up</v>
      </c>
      <c r="F36" s="75">
        <f t="shared" si="8"/>
        <v>17</v>
      </c>
      <c r="G36" s="116" t="s">
        <v>260</v>
      </c>
      <c r="H36" s="79"/>
      <c r="I36" s="100" t="s">
        <v>406</v>
      </c>
      <c r="J36" s="160">
        <f t="shared" si="9"/>
        <v>7411.6047144152317</v>
      </c>
      <c r="K36" s="73">
        <f>K48*0.75</f>
        <v>8175</v>
      </c>
      <c r="O36" s="157">
        <f t="shared" si="6"/>
        <v>7411.6047144152317</v>
      </c>
      <c r="P36" s="158">
        <f t="shared" si="3"/>
        <v>8175</v>
      </c>
    </row>
    <row r="37" spans="1:16">
      <c r="A37" s="72" t="s">
        <v>141</v>
      </c>
      <c r="B37" s="60" t="s">
        <v>363</v>
      </c>
      <c r="C37" s="74" t="s">
        <v>369</v>
      </c>
      <c r="D37" s="77">
        <v>5.5</v>
      </c>
      <c r="E37" s="88" t="str">
        <f t="shared" si="7"/>
        <v>NP-HCRJ 5.5-5.5</v>
      </c>
      <c r="F37" s="85">
        <f t="shared" si="8"/>
        <v>15</v>
      </c>
      <c r="G37" s="116" t="s">
        <v>261</v>
      </c>
      <c r="H37" s="79"/>
      <c r="I37" s="100" t="s">
        <v>406</v>
      </c>
      <c r="J37" s="163">
        <f t="shared" si="9"/>
        <v>7411.6047144152317</v>
      </c>
      <c r="K37" s="92">
        <f>+K48*0.75</f>
        <v>8175</v>
      </c>
      <c r="O37" s="157">
        <f t="shared" si="6"/>
        <v>7411.6047144152317</v>
      </c>
      <c r="P37" s="158">
        <f t="shared" si="3"/>
        <v>8175</v>
      </c>
    </row>
    <row r="38" spans="1:16">
      <c r="A38" s="72" t="s">
        <v>142</v>
      </c>
      <c r="B38" s="60" t="s">
        <v>363</v>
      </c>
      <c r="C38" s="74" t="s">
        <v>370</v>
      </c>
      <c r="D38" s="87" t="s">
        <v>366</v>
      </c>
      <c r="E38" s="78" t="str">
        <f t="shared" si="7"/>
        <v>NP-HCRJ 6-8-6.0-8</v>
      </c>
      <c r="F38" s="75">
        <f t="shared" si="8"/>
        <v>17</v>
      </c>
      <c r="G38" s="116" t="s">
        <v>262</v>
      </c>
      <c r="H38" s="79"/>
      <c r="I38" s="100" t="s">
        <v>407</v>
      </c>
      <c r="J38" s="160">
        <f t="shared" si="9"/>
        <v>6917.4977334542154</v>
      </c>
      <c r="K38" s="73">
        <f>+K48*0.7</f>
        <v>7629.9999999999991</v>
      </c>
      <c r="O38" s="157">
        <f t="shared" si="6"/>
        <v>6917.4977334542154</v>
      </c>
      <c r="P38" s="158">
        <f t="shared" si="3"/>
        <v>7629.9999999999991</v>
      </c>
    </row>
    <row r="39" spans="1:16">
      <c r="A39" s="72" t="s">
        <v>143</v>
      </c>
      <c r="B39" s="60" t="s">
        <v>363</v>
      </c>
      <c r="C39" s="74" t="s">
        <v>371</v>
      </c>
      <c r="D39" s="77" t="s">
        <v>368</v>
      </c>
      <c r="E39" s="88" t="str">
        <f t="shared" si="7"/>
        <v>NP-HCRJ 8 up-8 Up</v>
      </c>
      <c r="F39" s="85">
        <f t="shared" si="8"/>
        <v>17</v>
      </c>
      <c r="G39" s="116" t="s">
        <v>263</v>
      </c>
      <c r="H39" s="79"/>
      <c r="I39" s="100" t="s">
        <v>408</v>
      </c>
      <c r="J39" s="163">
        <f t="shared" si="9"/>
        <v>6423.3907524932001</v>
      </c>
      <c r="K39" s="92">
        <f>+K48*0.65</f>
        <v>7085</v>
      </c>
      <c r="O39" s="157">
        <f t="shared" si="6"/>
        <v>6423.3907524932001</v>
      </c>
      <c r="P39" s="158">
        <f t="shared" si="3"/>
        <v>7085</v>
      </c>
    </row>
    <row r="40" spans="1:16">
      <c r="A40" s="72" t="s">
        <v>145</v>
      </c>
      <c r="B40" s="60" t="s">
        <v>363</v>
      </c>
      <c r="C40" s="46" t="s">
        <v>372</v>
      </c>
      <c r="D40" s="77">
        <v>5.5</v>
      </c>
      <c r="E40" s="78" t="str">
        <f t="shared" si="7"/>
        <v>NP-EC(LC /HC)5.5-5.5</v>
      </c>
      <c r="F40" s="75">
        <f t="shared" si="8"/>
        <v>20</v>
      </c>
      <c r="G40" s="116" t="s">
        <v>264</v>
      </c>
      <c r="H40" s="79"/>
      <c r="I40" s="100" t="s">
        <v>407</v>
      </c>
      <c r="J40" s="160">
        <f t="shared" si="9"/>
        <v>6917.4977334542154</v>
      </c>
      <c r="K40" s="73">
        <f>K48*0.7</f>
        <v>7629.9999999999991</v>
      </c>
      <c r="O40" s="157">
        <f t="shared" si="6"/>
        <v>6917.4977334542154</v>
      </c>
      <c r="P40" s="158">
        <f t="shared" si="3"/>
        <v>7629.9999999999991</v>
      </c>
    </row>
    <row r="41" spans="1:16">
      <c r="A41" s="72" t="s">
        <v>146</v>
      </c>
      <c r="B41" s="60" t="s">
        <v>363</v>
      </c>
      <c r="C41" s="46" t="s">
        <v>373</v>
      </c>
      <c r="D41" s="87" t="s">
        <v>374</v>
      </c>
      <c r="E41" s="88" t="str">
        <f t="shared" si="7"/>
        <v>NP-EC(LC/HC)6U-6 &amp; up</v>
      </c>
      <c r="F41" s="85">
        <f>LEN(E41)</f>
        <v>21</v>
      </c>
      <c r="G41" s="116" t="s">
        <v>265</v>
      </c>
      <c r="H41" s="79"/>
      <c r="I41" s="100" t="s">
        <v>408</v>
      </c>
      <c r="J41" s="163">
        <f t="shared" si="9"/>
        <v>6393.9256572982777</v>
      </c>
      <c r="K41" s="92">
        <f>K75*0.65</f>
        <v>7052.5</v>
      </c>
      <c r="O41" s="157">
        <f t="shared" si="6"/>
        <v>6393.9256572982777</v>
      </c>
      <c r="P41" s="158">
        <f t="shared" si="3"/>
        <v>7052.5</v>
      </c>
    </row>
    <row r="42" spans="1:16">
      <c r="A42" s="72" t="s">
        <v>147</v>
      </c>
      <c r="B42" s="60" t="s">
        <v>363</v>
      </c>
      <c r="C42" s="46" t="s">
        <v>375</v>
      </c>
      <c r="D42" s="77">
        <v>5.5</v>
      </c>
      <c r="E42" s="78" t="str">
        <f t="shared" si="7"/>
        <v>NP-MingledSmall5.5-5.5</v>
      </c>
      <c r="F42" s="75">
        <f t="shared" si="8"/>
        <v>22</v>
      </c>
      <c r="G42" s="116" t="s">
        <v>266</v>
      </c>
      <c r="H42" s="79"/>
      <c r="I42" s="100" t="s">
        <v>406</v>
      </c>
      <c r="J42" s="160">
        <f t="shared" si="9"/>
        <v>7411.6047144152317</v>
      </c>
      <c r="K42" s="73">
        <f>K48*0.75</f>
        <v>8175</v>
      </c>
      <c r="O42" s="157">
        <f t="shared" si="6"/>
        <v>7411.6047144152317</v>
      </c>
      <c r="P42" s="158">
        <f t="shared" si="3"/>
        <v>8175</v>
      </c>
    </row>
    <row r="43" spans="1:16">
      <c r="A43" s="72" t="s">
        <v>148</v>
      </c>
      <c r="B43" s="60" t="s">
        <v>363</v>
      </c>
      <c r="C43" s="46" t="s">
        <v>376</v>
      </c>
      <c r="D43" s="87" t="s">
        <v>374</v>
      </c>
      <c r="E43" s="88" t="str">
        <f t="shared" si="7"/>
        <v>NP-MingledS6&amp;Up-6 &amp; up</v>
      </c>
      <c r="F43" s="85">
        <f t="shared" si="8"/>
        <v>22</v>
      </c>
      <c r="G43" s="116" t="s">
        <v>267</v>
      </c>
      <c r="H43" s="79"/>
      <c r="I43" s="100" t="s">
        <v>408</v>
      </c>
      <c r="J43" s="163">
        <f t="shared" si="9"/>
        <v>6423.3907524932001</v>
      </c>
      <c r="K43" s="92">
        <f>K48*0.65</f>
        <v>7085</v>
      </c>
      <c r="O43" s="157">
        <f t="shared" si="6"/>
        <v>6423.3907524932001</v>
      </c>
      <c r="P43" s="158">
        <f t="shared" si="3"/>
        <v>7085</v>
      </c>
    </row>
    <row r="44" spans="1:16">
      <c r="A44" s="72" t="s">
        <v>149</v>
      </c>
      <c r="B44" s="60" t="s">
        <v>363</v>
      </c>
      <c r="C44" s="74" t="s">
        <v>377</v>
      </c>
      <c r="D44" s="77" t="s">
        <v>320</v>
      </c>
      <c r="E44" s="78" t="str">
        <f t="shared" si="7"/>
        <v>NP-Gepeng-ALL</v>
      </c>
      <c r="F44" s="75">
        <f t="shared" si="8"/>
        <v>13</v>
      </c>
      <c r="G44" s="116" t="s">
        <v>268</v>
      </c>
      <c r="H44" s="79"/>
      <c r="I44" s="100" t="s">
        <v>409</v>
      </c>
      <c r="J44" s="160">
        <f t="shared" si="9"/>
        <v>5929.2837715321848</v>
      </c>
      <c r="K44" s="73">
        <f>K48*0.6</f>
        <v>6540</v>
      </c>
      <c r="O44" s="157">
        <f t="shared" si="6"/>
        <v>5929.2837715321848</v>
      </c>
      <c r="P44" s="158">
        <f t="shared" si="3"/>
        <v>6540</v>
      </c>
    </row>
    <row r="45" spans="1:16">
      <c r="A45" s="72" t="s">
        <v>150</v>
      </c>
      <c r="B45" s="60" t="s">
        <v>363</v>
      </c>
      <c r="C45" s="74" t="s">
        <v>378</v>
      </c>
      <c r="D45" s="87" t="s">
        <v>320</v>
      </c>
      <c r="E45" s="88" t="str">
        <f t="shared" si="7"/>
        <v>NP-Misroll-ALL</v>
      </c>
      <c r="F45" s="85">
        <f t="shared" si="8"/>
        <v>14</v>
      </c>
      <c r="G45" s="116" t="s">
        <v>269</v>
      </c>
      <c r="H45" s="79"/>
      <c r="I45" s="100" t="s">
        <v>410</v>
      </c>
      <c r="J45" s="163">
        <f>+K45/1.103</f>
        <v>3952.8558476881235</v>
      </c>
      <c r="K45" s="92">
        <f>K48*0.4</f>
        <v>4360</v>
      </c>
      <c r="O45" s="157">
        <f t="shared" si="6"/>
        <v>3952.8558476881235</v>
      </c>
      <c r="P45" s="158">
        <f t="shared" si="3"/>
        <v>4360</v>
      </c>
    </row>
    <row r="46" spans="1:16">
      <c r="A46" s="72" t="s">
        <v>151</v>
      </c>
      <c r="B46" s="60" t="s">
        <v>363</v>
      </c>
      <c r="C46" s="46" t="s">
        <v>379</v>
      </c>
      <c r="D46" s="77" t="s">
        <v>320</v>
      </c>
      <c r="E46" s="78" t="str">
        <f t="shared" si="7"/>
        <v>NP-BR/Short Length-ALL</v>
      </c>
      <c r="F46" s="75">
        <f t="shared" si="8"/>
        <v>22</v>
      </c>
      <c r="G46" s="116" t="s">
        <v>270</v>
      </c>
      <c r="H46" s="79"/>
      <c r="I46" s="100" t="s">
        <v>411</v>
      </c>
      <c r="J46" s="160">
        <f t="shared" si="9"/>
        <v>2812.3300090661833</v>
      </c>
      <c r="K46" s="73">
        <f>K19*0.6</f>
        <v>3102</v>
      </c>
      <c r="O46" s="157">
        <f t="shared" si="6"/>
        <v>2812.3300090661833</v>
      </c>
      <c r="P46" s="158">
        <f t="shared" si="3"/>
        <v>3102</v>
      </c>
    </row>
    <row r="47" spans="1:16">
      <c r="A47" s="231" t="s">
        <v>480</v>
      </c>
      <c r="B47" s="232"/>
      <c r="C47" s="129"/>
      <c r="D47" s="233"/>
      <c r="E47" s="234"/>
      <c r="F47" s="235"/>
      <c r="G47" s="116"/>
      <c r="H47" s="79"/>
      <c r="I47" s="170"/>
      <c r="J47" s="164"/>
      <c r="K47" s="230"/>
      <c r="O47" s="157"/>
      <c r="P47" s="158"/>
    </row>
    <row r="48" spans="1:16" s="211" customFormat="1">
      <c r="A48" s="205" t="s">
        <v>50</v>
      </c>
      <c r="B48" s="206" t="s">
        <v>51</v>
      </c>
      <c r="C48" s="207" t="s">
        <v>55</v>
      </c>
      <c r="D48" s="208">
        <v>5.0999999999999996</v>
      </c>
      <c r="E48" s="209" t="str">
        <f t="shared" ref="E48:E96" si="10">CONCATENATE(B48,"-",C48,"-",D48)</f>
        <v>WR-1012B-5.1</v>
      </c>
      <c r="F48" s="206">
        <f>LEN(E48)</f>
        <v>12</v>
      </c>
      <c r="G48" s="210" t="s">
        <v>443</v>
      </c>
      <c r="I48" s="249" t="s">
        <v>487</v>
      </c>
      <c r="J48" s="212">
        <f t="shared" ref="J48:J56" si="11">+K48/1.103</f>
        <v>9882.1396192203083</v>
      </c>
      <c r="K48" s="213">
        <f>+K51+25+25</f>
        <v>10900</v>
      </c>
      <c r="O48" s="226">
        <f t="shared" si="2"/>
        <v>9882.1396192203083</v>
      </c>
      <c r="P48" s="227">
        <f t="shared" si="3"/>
        <v>10900</v>
      </c>
    </row>
    <row r="49" spans="1:16" s="211" customFormat="1">
      <c r="A49" s="214" t="s">
        <v>53</v>
      </c>
      <c r="B49" s="215" t="s">
        <v>51</v>
      </c>
      <c r="C49" s="216" t="s">
        <v>292</v>
      </c>
      <c r="D49" s="217" t="s">
        <v>52</v>
      </c>
      <c r="E49" s="218" t="str">
        <f t="shared" si="10"/>
        <v>WR-1012B All  -All</v>
      </c>
      <c r="F49" s="219">
        <f t="shared" ref="F49:F96" si="12">LEN(E49)</f>
        <v>18</v>
      </c>
      <c r="G49" s="220" t="s">
        <v>179</v>
      </c>
      <c r="I49" s="221" t="str">
        <f>+I51</f>
        <v xml:space="preserve">Base1 </v>
      </c>
      <c r="J49" s="222">
        <f t="shared" si="11"/>
        <v>9836.8087035358112</v>
      </c>
      <c r="K49" s="223">
        <f>+K51</f>
        <v>10850</v>
      </c>
      <c r="O49" s="226">
        <f t="shared" si="2"/>
        <v>9836.8087035358112</v>
      </c>
      <c r="P49" s="227">
        <f t="shared" si="3"/>
        <v>10850</v>
      </c>
    </row>
    <row r="50" spans="1:16" s="211" customFormat="1">
      <c r="A50" s="214" t="s">
        <v>54</v>
      </c>
      <c r="B50" s="219" t="s">
        <v>51</v>
      </c>
      <c r="C50" s="216" t="s">
        <v>55</v>
      </c>
      <c r="D50" s="217">
        <v>5.5</v>
      </c>
      <c r="E50" s="218" t="str">
        <f t="shared" si="10"/>
        <v>WR-1012B-5.5</v>
      </c>
      <c r="F50" s="219">
        <f t="shared" si="12"/>
        <v>12</v>
      </c>
      <c r="G50" s="220" t="s">
        <v>180</v>
      </c>
      <c r="I50" s="221" t="str">
        <f>+I51</f>
        <v xml:space="preserve">Base1 </v>
      </c>
      <c r="J50" s="222">
        <f t="shared" si="11"/>
        <v>9836.8087035358112</v>
      </c>
      <c r="K50" s="223">
        <f>+K51</f>
        <v>10850</v>
      </c>
      <c r="O50" s="226">
        <f t="shared" si="2"/>
        <v>9836.8087035358112</v>
      </c>
      <c r="P50" s="227">
        <f t="shared" si="3"/>
        <v>10850</v>
      </c>
    </row>
    <row r="51" spans="1:16" s="211" customFormat="1">
      <c r="A51" s="214" t="s">
        <v>56</v>
      </c>
      <c r="B51" s="219" t="s">
        <v>51</v>
      </c>
      <c r="C51" s="216" t="s">
        <v>55</v>
      </c>
      <c r="D51" s="217">
        <v>5.4</v>
      </c>
      <c r="E51" s="218" t="str">
        <f t="shared" si="10"/>
        <v>WR-1012B-5.4</v>
      </c>
      <c r="F51" s="219">
        <f t="shared" si="12"/>
        <v>12</v>
      </c>
      <c r="G51" s="220" t="s">
        <v>181</v>
      </c>
      <c r="I51" s="224" t="s">
        <v>441</v>
      </c>
      <c r="J51" s="222">
        <f t="shared" si="11"/>
        <v>9836.8087035358112</v>
      </c>
      <c r="K51" s="223">
        <f>+K25</f>
        <v>10850</v>
      </c>
      <c r="O51" s="226">
        <f t="shared" si="2"/>
        <v>9836.8087035358112</v>
      </c>
      <c r="P51" s="227">
        <f t="shared" si="3"/>
        <v>10850</v>
      </c>
    </row>
    <row r="52" spans="1:16" s="211" customFormat="1">
      <c r="A52" s="214" t="s">
        <v>57</v>
      </c>
      <c r="B52" s="219" t="s">
        <v>51</v>
      </c>
      <c r="C52" s="216" t="s">
        <v>55</v>
      </c>
      <c r="D52" s="217">
        <v>5.8</v>
      </c>
      <c r="E52" s="218" t="str">
        <f t="shared" si="10"/>
        <v>WR-1012B-5.8</v>
      </c>
      <c r="F52" s="219">
        <f t="shared" si="12"/>
        <v>12</v>
      </c>
      <c r="G52" s="210" t="s">
        <v>470</v>
      </c>
      <c r="I52" s="224" t="s">
        <v>441</v>
      </c>
      <c r="J52" s="222">
        <f t="shared" si="11"/>
        <v>9836.8087035358112</v>
      </c>
      <c r="K52" s="223">
        <f>+K51</f>
        <v>10850</v>
      </c>
      <c r="O52" s="226">
        <f t="shared" si="2"/>
        <v>9836.8087035358112</v>
      </c>
      <c r="P52" s="227">
        <f t="shared" si="3"/>
        <v>10850</v>
      </c>
    </row>
    <row r="53" spans="1:16" s="211" customFormat="1">
      <c r="A53" s="214" t="s">
        <v>58</v>
      </c>
      <c r="B53" s="219" t="s">
        <v>51</v>
      </c>
      <c r="C53" s="216" t="s">
        <v>55</v>
      </c>
      <c r="D53" s="225" t="s">
        <v>460</v>
      </c>
      <c r="E53" s="218" t="str">
        <f t="shared" si="10"/>
        <v>WR-1012B-6.0-6.8</v>
      </c>
      <c r="F53" s="219">
        <f t="shared" si="12"/>
        <v>16</v>
      </c>
      <c r="G53" s="210" t="s">
        <v>461</v>
      </c>
      <c r="I53" s="224" t="s">
        <v>293</v>
      </c>
      <c r="J53" s="222">
        <f t="shared" si="11"/>
        <v>9814.1432456935636</v>
      </c>
      <c r="K53" s="223">
        <f>+K51-25</f>
        <v>10825</v>
      </c>
      <c r="O53" s="226">
        <f t="shared" si="2"/>
        <v>9814.1432456935636</v>
      </c>
      <c r="P53" s="227">
        <f t="shared" si="3"/>
        <v>10825</v>
      </c>
    </row>
    <row r="54" spans="1:16" s="211" customFormat="1">
      <c r="A54" s="214" t="s">
        <v>59</v>
      </c>
      <c r="B54" s="219" t="s">
        <v>51</v>
      </c>
      <c r="C54" s="216" t="s">
        <v>55</v>
      </c>
      <c r="D54" s="266" t="s">
        <v>491</v>
      </c>
      <c r="E54" s="218" t="str">
        <f t="shared" si="10"/>
        <v>WR-1012B-7.2 - 15</v>
      </c>
      <c r="F54" s="219">
        <f t="shared" si="12"/>
        <v>17</v>
      </c>
      <c r="G54" s="210" t="s">
        <v>510</v>
      </c>
      <c r="I54" s="224" t="s">
        <v>442</v>
      </c>
      <c r="J54" s="222">
        <f t="shared" si="11"/>
        <v>9791.4777878513141</v>
      </c>
      <c r="K54" s="223">
        <f>+K51-50</f>
        <v>10800</v>
      </c>
      <c r="O54" s="226">
        <f t="shared" si="2"/>
        <v>9791.4777878513141</v>
      </c>
      <c r="P54" s="227">
        <f t="shared" si="3"/>
        <v>10800</v>
      </c>
    </row>
    <row r="55" spans="1:16" s="211" customFormat="1">
      <c r="A55" s="214" t="s">
        <v>60</v>
      </c>
      <c r="B55" s="219" t="s">
        <v>51</v>
      </c>
      <c r="C55" s="216" t="s">
        <v>55</v>
      </c>
      <c r="D55" s="217">
        <v>4.9000000000000004</v>
      </c>
      <c r="E55" s="218" t="str">
        <f t="shared" si="10"/>
        <v>WR-1012B-4.9</v>
      </c>
      <c r="F55" s="219">
        <f t="shared" si="12"/>
        <v>12</v>
      </c>
      <c r="G55" s="220" t="s">
        <v>183</v>
      </c>
      <c r="I55" s="224" t="s">
        <v>458</v>
      </c>
      <c r="J55" s="222">
        <f t="shared" si="11"/>
        <v>9904.8050770625559</v>
      </c>
      <c r="K55" s="223">
        <f>+K51+75-50+25+25</f>
        <v>10925</v>
      </c>
      <c r="O55" s="226">
        <f t="shared" si="2"/>
        <v>9904.8050770625559</v>
      </c>
      <c r="P55" s="227">
        <f t="shared" si="3"/>
        <v>10925</v>
      </c>
    </row>
    <row r="56" spans="1:16" s="211" customFormat="1">
      <c r="A56" s="214" t="s">
        <v>61</v>
      </c>
      <c r="B56" s="219" t="s">
        <v>51</v>
      </c>
      <c r="C56" s="216" t="s">
        <v>55</v>
      </c>
      <c r="D56" s="217">
        <v>4.7</v>
      </c>
      <c r="E56" s="218" t="str">
        <f t="shared" si="10"/>
        <v>WR-1012B-4.7</v>
      </c>
      <c r="F56" s="219">
        <f t="shared" si="12"/>
        <v>12</v>
      </c>
      <c r="G56" s="220" t="s">
        <v>184</v>
      </c>
      <c r="I56" s="224" t="s">
        <v>459</v>
      </c>
      <c r="J56" s="222">
        <f t="shared" si="11"/>
        <v>9972.8014505893025</v>
      </c>
      <c r="K56" s="223">
        <f>+K51+150-50+25+25</f>
        <v>11000</v>
      </c>
      <c r="O56" s="226">
        <f t="shared" si="2"/>
        <v>9972.8014505893025</v>
      </c>
      <c r="P56" s="227">
        <f t="shared" si="3"/>
        <v>11000</v>
      </c>
    </row>
    <row r="57" spans="1:16" s="211" customFormat="1">
      <c r="A57" s="214"/>
      <c r="B57" s="219"/>
      <c r="C57" s="216"/>
      <c r="D57" s="217"/>
      <c r="E57" s="218"/>
      <c r="F57" s="219"/>
      <c r="G57" s="220"/>
      <c r="I57" s="224"/>
      <c r="J57" s="222"/>
      <c r="K57" s="223"/>
      <c r="O57" s="226"/>
      <c r="P57" s="227"/>
    </row>
    <row r="58" spans="1:16" ht="12" customHeight="1">
      <c r="A58" s="72" t="s">
        <v>62</v>
      </c>
      <c r="B58" s="46" t="s">
        <v>51</v>
      </c>
      <c r="C58" s="52">
        <v>1005</v>
      </c>
      <c r="D58" s="48" t="s">
        <v>52</v>
      </c>
      <c r="E58" s="45" t="str">
        <f t="shared" si="10"/>
        <v>WR-1005-All</v>
      </c>
      <c r="F58" s="46">
        <f t="shared" si="12"/>
        <v>11</v>
      </c>
      <c r="G58" s="116" t="s">
        <v>185</v>
      </c>
      <c r="I58" s="171" t="s">
        <v>436</v>
      </c>
      <c r="J58" s="160">
        <f t="shared" ref="J58:J98" si="13">+K58/1.103</f>
        <v>10108.794197642792</v>
      </c>
      <c r="K58" s="73">
        <f>+K62+100</f>
        <v>11150</v>
      </c>
      <c r="O58" s="157">
        <f t="shared" si="2"/>
        <v>10108.794197642792</v>
      </c>
      <c r="P58" s="158">
        <f t="shared" si="3"/>
        <v>11150</v>
      </c>
    </row>
    <row r="59" spans="1:16" s="79" customFormat="1">
      <c r="A59" s="72" t="s">
        <v>63</v>
      </c>
      <c r="B59" s="75" t="s">
        <v>51</v>
      </c>
      <c r="C59" s="76">
        <v>1006</v>
      </c>
      <c r="D59" s="77" t="s">
        <v>296</v>
      </c>
      <c r="E59" s="78" t="str">
        <f t="shared" si="10"/>
        <v>WR-1006-5.5-5.8</v>
      </c>
      <c r="F59" s="75">
        <f t="shared" si="12"/>
        <v>15</v>
      </c>
      <c r="G59" s="116" t="s">
        <v>186</v>
      </c>
      <c r="I59" s="100" t="s">
        <v>433</v>
      </c>
      <c r="J59" s="160">
        <f t="shared" si="13"/>
        <v>9836.8087035358112</v>
      </c>
      <c r="K59" s="169">
        <f>+K51</f>
        <v>10850</v>
      </c>
      <c r="O59" s="157">
        <f t="shared" si="2"/>
        <v>9836.8087035358112</v>
      </c>
      <c r="P59" s="158">
        <f t="shared" si="3"/>
        <v>10850</v>
      </c>
    </row>
    <row r="60" spans="1:16" s="184" customFormat="1">
      <c r="A60" s="178" t="s">
        <v>64</v>
      </c>
      <c r="B60" s="179" t="s">
        <v>51</v>
      </c>
      <c r="C60" s="180">
        <v>1006</v>
      </c>
      <c r="D60" s="181" t="s">
        <v>448</v>
      </c>
      <c r="E60" s="182" t="str">
        <f t="shared" si="10"/>
        <v>WR-1006-6.0 - 13.9</v>
      </c>
      <c r="F60" s="179">
        <f t="shared" si="12"/>
        <v>18</v>
      </c>
      <c r="G60" s="183" t="s">
        <v>427</v>
      </c>
      <c r="I60" s="185" t="s">
        <v>433</v>
      </c>
      <c r="J60" s="186">
        <f t="shared" si="13"/>
        <v>9836.8087035358112</v>
      </c>
      <c r="K60" s="187">
        <f>+K59</f>
        <v>10850</v>
      </c>
      <c r="O60" s="201">
        <f t="shared" si="2"/>
        <v>9836.8087035358112</v>
      </c>
      <c r="P60" s="202">
        <f t="shared" si="3"/>
        <v>10850</v>
      </c>
    </row>
    <row r="61" spans="1:16" s="79" customFormat="1">
      <c r="A61" s="72" t="s">
        <v>65</v>
      </c>
      <c r="B61" s="75" t="s">
        <v>51</v>
      </c>
      <c r="C61" s="76" t="s">
        <v>298</v>
      </c>
      <c r="D61" s="77" t="s">
        <v>299</v>
      </c>
      <c r="E61" s="78" t="str">
        <f t="shared" si="10"/>
        <v>WR-1008 All size-all</v>
      </c>
      <c r="F61" s="75">
        <f t="shared" si="12"/>
        <v>20</v>
      </c>
      <c r="G61" s="116" t="s">
        <v>188</v>
      </c>
      <c r="I61" s="100" t="str">
        <f>+I62</f>
        <v>Base2 +25</v>
      </c>
      <c r="J61" s="160">
        <f t="shared" si="13"/>
        <v>10018.1323662738</v>
      </c>
      <c r="K61" s="73">
        <f>+K62</f>
        <v>11050</v>
      </c>
      <c r="O61" s="157">
        <f t="shared" si="2"/>
        <v>10018.1323662738</v>
      </c>
      <c r="P61" s="158">
        <f t="shared" si="3"/>
        <v>11050</v>
      </c>
    </row>
    <row r="62" spans="1:16" ht="15.75" customHeight="1">
      <c r="A62" s="72" t="s">
        <v>66</v>
      </c>
      <c r="B62" s="46" t="s">
        <v>51</v>
      </c>
      <c r="C62" s="47">
        <v>1008</v>
      </c>
      <c r="D62" s="48" t="s">
        <v>296</v>
      </c>
      <c r="E62" s="45" t="str">
        <f t="shared" si="10"/>
        <v>WR-1008-5.5-5.8</v>
      </c>
      <c r="F62" s="46">
        <f t="shared" si="12"/>
        <v>15</v>
      </c>
      <c r="G62" s="116" t="s">
        <v>189</v>
      </c>
      <c r="I62" s="171" t="s">
        <v>465</v>
      </c>
      <c r="J62" s="160">
        <f t="shared" si="13"/>
        <v>10018.1323662738</v>
      </c>
      <c r="K62" s="174">
        <f>+'Material Pricing Group SBY'!K74</f>
        <v>11050</v>
      </c>
      <c r="O62" s="157">
        <f t="shared" si="2"/>
        <v>10018.1323662738</v>
      </c>
      <c r="P62" s="158">
        <f t="shared" si="3"/>
        <v>11050</v>
      </c>
    </row>
    <row r="63" spans="1:16" s="79" customFormat="1">
      <c r="A63" s="72" t="s">
        <v>67</v>
      </c>
      <c r="B63" s="75" t="s">
        <v>51</v>
      </c>
      <c r="C63" s="76">
        <v>1008</v>
      </c>
      <c r="D63" s="81" t="s">
        <v>448</v>
      </c>
      <c r="E63" s="78" t="str">
        <f t="shared" si="10"/>
        <v>WR-1008-6.0 - 13.9</v>
      </c>
      <c r="F63" s="75">
        <f t="shared" si="12"/>
        <v>18</v>
      </c>
      <c r="G63" s="116" t="s">
        <v>428</v>
      </c>
      <c r="I63" s="171" t="s">
        <v>465</v>
      </c>
      <c r="J63" s="160">
        <f t="shared" si="13"/>
        <v>10018.1323662738</v>
      </c>
      <c r="K63" s="73">
        <f>+K62</f>
        <v>11050</v>
      </c>
      <c r="O63" s="157">
        <f t="shared" si="2"/>
        <v>10018.1323662738</v>
      </c>
      <c r="P63" s="158">
        <f t="shared" si="3"/>
        <v>11050</v>
      </c>
    </row>
    <row r="64" spans="1:16">
      <c r="A64" s="72" t="s">
        <v>68</v>
      </c>
      <c r="B64" s="46" t="s">
        <v>51</v>
      </c>
      <c r="C64" s="49" t="s">
        <v>300</v>
      </c>
      <c r="D64" s="48" t="s">
        <v>52</v>
      </c>
      <c r="E64" s="45" t="str">
        <f t="shared" si="10"/>
        <v>WR-1017/SWRM17-All</v>
      </c>
      <c r="F64" s="46">
        <f t="shared" si="12"/>
        <v>18</v>
      </c>
      <c r="G64" s="116" t="s">
        <v>191</v>
      </c>
      <c r="I64" s="100" t="s">
        <v>301</v>
      </c>
      <c r="J64" s="160">
        <f t="shared" si="13"/>
        <v>10018.1323662738</v>
      </c>
      <c r="K64" s="73">
        <f>K62</f>
        <v>11050</v>
      </c>
      <c r="O64" s="157">
        <f t="shared" si="2"/>
        <v>10018.1323662738</v>
      </c>
      <c r="P64" s="158">
        <f t="shared" si="3"/>
        <v>11050</v>
      </c>
    </row>
    <row r="65" spans="1:16">
      <c r="A65" s="72" t="s">
        <v>69</v>
      </c>
      <c r="B65" s="46" t="s">
        <v>51</v>
      </c>
      <c r="C65" s="49">
        <v>1018</v>
      </c>
      <c r="D65" s="48" t="s">
        <v>52</v>
      </c>
      <c r="E65" s="45" t="str">
        <f t="shared" si="10"/>
        <v>WR-1018-All</v>
      </c>
      <c r="F65" s="46">
        <f t="shared" si="12"/>
        <v>11</v>
      </c>
      <c r="G65" s="116" t="s">
        <v>192</v>
      </c>
      <c r="I65" s="171" t="s">
        <v>303</v>
      </c>
      <c r="J65" s="160">
        <f t="shared" si="13"/>
        <v>9836.8087035358112</v>
      </c>
      <c r="K65" s="73">
        <f>+K67</f>
        <v>10850</v>
      </c>
      <c r="O65" s="157">
        <f t="shared" si="2"/>
        <v>9836.8087035358112</v>
      </c>
      <c r="P65" s="158">
        <f t="shared" si="3"/>
        <v>10850</v>
      </c>
    </row>
    <row r="66" spans="1:16" ht="13.5" customHeight="1">
      <c r="A66" s="72" t="s">
        <v>70</v>
      </c>
      <c r="B66" s="75" t="s">
        <v>51</v>
      </c>
      <c r="C66" s="76" t="s">
        <v>302</v>
      </c>
      <c r="D66" s="77">
        <v>5.0999999999999996</v>
      </c>
      <c r="E66" s="78" t="str">
        <f t="shared" si="10"/>
        <v>WR-1010/12/15-5.1</v>
      </c>
      <c r="F66" s="46">
        <f t="shared" si="12"/>
        <v>17</v>
      </c>
      <c r="G66" s="116" t="s">
        <v>193</v>
      </c>
      <c r="I66" s="171" t="s">
        <v>303</v>
      </c>
      <c r="J66" s="160">
        <f t="shared" si="13"/>
        <v>9836.8087035358112</v>
      </c>
      <c r="K66" s="73">
        <f>+K67</f>
        <v>10850</v>
      </c>
      <c r="O66" s="157">
        <f t="shared" si="2"/>
        <v>9836.8087035358112</v>
      </c>
      <c r="P66" s="158">
        <f t="shared" si="3"/>
        <v>10850</v>
      </c>
    </row>
    <row r="67" spans="1:16" ht="13.5" customHeight="1">
      <c r="A67" s="72" t="s">
        <v>71</v>
      </c>
      <c r="B67" s="75" t="s">
        <v>51</v>
      </c>
      <c r="C67" s="76" t="s">
        <v>302</v>
      </c>
      <c r="D67" s="77">
        <v>5.5</v>
      </c>
      <c r="E67" s="78" t="str">
        <f t="shared" si="10"/>
        <v>WR-1010/12/15-5.5</v>
      </c>
      <c r="F67" s="46">
        <f t="shared" si="12"/>
        <v>17</v>
      </c>
      <c r="G67" s="116" t="s">
        <v>194</v>
      </c>
      <c r="I67" s="100" t="s">
        <v>303</v>
      </c>
      <c r="J67" s="160">
        <f t="shared" si="13"/>
        <v>9836.8087035358112</v>
      </c>
      <c r="K67" s="174">
        <f>+'Material Pricing Group SBY'!K84</f>
        <v>10850</v>
      </c>
      <c r="O67" s="157">
        <f t="shared" si="2"/>
        <v>9836.8087035358112</v>
      </c>
      <c r="P67" s="158">
        <f t="shared" si="3"/>
        <v>10850</v>
      </c>
    </row>
    <row r="68" spans="1:16" ht="13.5" customHeight="1">
      <c r="A68" s="72" t="s">
        <v>72</v>
      </c>
      <c r="B68" s="75" t="s">
        <v>51</v>
      </c>
      <c r="C68" s="76" t="s">
        <v>302</v>
      </c>
      <c r="D68" s="77">
        <v>5.4</v>
      </c>
      <c r="E68" s="78" t="str">
        <f t="shared" si="10"/>
        <v>WR-1010/12/15-5.4</v>
      </c>
      <c r="F68" s="46">
        <f t="shared" si="12"/>
        <v>17</v>
      </c>
      <c r="G68" s="116" t="s">
        <v>195</v>
      </c>
      <c r="I68" s="100" t="str">
        <f>+I67</f>
        <v>Base3</v>
      </c>
      <c r="J68" s="160">
        <f t="shared" si="13"/>
        <v>9836.8087035358112</v>
      </c>
      <c r="K68" s="73">
        <f>+K67</f>
        <v>10850</v>
      </c>
      <c r="O68" s="157">
        <f t="shared" si="2"/>
        <v>9836.8087035358112</v>
      </c>
      <c r="P68" s="158">
        <f t="shared" si="3"/>
        <v>10850</v>
      </c>
    </row>
    <row r="69" spans="1:16" ht="13.5" customHeight="1">
      <c r="A69" s="72" t="s">
        <v>73</v>
      </c>
      <c r="B69" s="75" t="s">
        <v>51</v>
      </c>
      <c r="C69" s="76" t="s">
        <v>302</v>
      </c>
      <c r="D69" s="77">
        <v>5.65</v>
      </c>
      <c r="E69" s="78" t="str">
        <f t="shared" si="10"/>
        <v>WR-1010/12/15-5.65</v>
      </c>
      <c r="F69" s="46">
        <f>LEN(E69)</f>
        <v>18</v>
      </c>
      <c r="G69" s="116" t="s">
        <v>196</v>
      </c>
      <c r="I69" s="100" t="str">
        <f>+I68</f>
        <v>Base3</v>
      </c>
      <c r="J69" s="160">
        <f t="shared" si="13"/>
        <v>9836.8087035358112</v>
      </c>
      <c r="K69" s="73">
        <f>+K68</f>
        <v>10850</v>
      </c>
      <c r="O69" s="157">
        <f t="shared" si="2"/>
        <v>9836.8087035358112</v>
      </c>
      <c r="P69" s="158">
        <f t="shared" si="3"/>
        <v>10850</v>
      </c>
    </row>
    <row r="70" spans="1:16" ht="13.5" customHeight="1">
      <c r="A70" s="72" t="s">
        <v>74</v>
      </c>
      <c r="B70" s="75" t="s">
        <v>51</v>
      </c>
      <c r="C70" s="76" t="s">
        <v>304</v>
      </c>
      <c r="D70" s="77" t="s">
        <v>305</v>
      </c>
      <c r="E70" s="78" t="str">
        <f t="shared" si="10"/>
        <v>WR-1010/2/5-5.8-6.2</v>
      </c>
      <c r="F70" s="46">
        <f t="shared" si="12"/>
        <v>19</v>
      </c>
      <c r="G70" s="116" t="s">
        <v>197</v>
      </c>
      <c r="I70" s="100" t="s">
        <v>438</v>
      </c>
      <c r="J70" s="160">
        <f t="shared" si="13"/>
        <v>9836.8087035358112</v>
      </c>
      <c r="K70" s="73">
        <f>+K67</f>
        <v>10850</v>
      </c>
      <c r="O70" s="157">
        <f t="shared" si="2"/>
        <v>9836.8087035358112</v>
      </c>
      <c r="P70" s="158">
        <f t="shared" si="3"/>
        <v>10850</v>
      </c>
    </row>
    <row r="71" spans="1:16" ht="13.5" customHeight="1">
      <c r="A71" s="72" t="s">
        <v>75</v>
      </c>
      <c r="B71" s="75" t="s">
        <v>51</v>
      </c>
      <c r="C71" s="76" t="s">
        <v>304</v>
      </c>
      <c r="D71" s="77" t="s">
        <v>306</v>
      </c>
      <c r="E71" s="78" t="str">
        <f t="shared" si="10"/>
        <v>WR-1010/2/5-6.4-7.2</v>
      </c>
      <c r="F71" s="46">
        <f t="shared" si="12"/>
        <v>19</v>
      </c>
      <c r="G71" s="116" t="s">
        <v>198</v>
      </c>
      <c r="I71" s="171" t="s">
        <v>438</v>
      </c>
      <c r="J71" s="160">
        <f t="shared" si="13"/>
        <v>9836.8087035358112</v>
      </c>
      <c r="K71" s="73">
        <f>+K67</f>
        <v>10850</v>
      </c>
      <c r="O71" s="157">
        <f t="shared" si="2"/>
        <v>9836.8087035358112</v>
      </c>
      <c r="P71" s="158">
        <f t="shared" si="3"/>
        <v>10850</v>
      </c>
    </row>
    <row r="72" spans="1:16" ht="13.5" customHeight="1">
      <c r="A72" s="72" t="s">
        <v>76</v>
      </c>
      <c r="B72" s="75" t="s">
        <v>51</v>
      </c>
      <c r="C72" s="76" t="s">
        <v>304</v>
      </c>
      <c r="D72" s="77" t="s">
        <v>449</v>
      </c>
      <c r="E72" s="78" t="str">
        <f t="shared" si="10"/>
        <v>WR-1010/2/5-7.4 - 13.9</v>
      </c>
      <c r="F72" s="46">
        <f t="shared" si="12"/>
        <v>22</v>
      </c>
      <c r="G72" s="119" t="s">
        <v>450</v>
      </c>
      <c r="I72" s="171" t="s">
        <v>438</v>
      </c>
      <c r="J72" s="160">
        <f t="shared" si="13"/>
        <v>9836.8087035358112</v>
      </c>
      <c r="K72" s="73">
        <f>+K67</f>
        <v>10850</v>
      </c>
      <c r="O72" s="157">
        <f t="shared" si="2"/>
        <v>9836.8087035358112</v>
      </c>
      <c r="P72" s="158">
        <f t="shared" si="3"/>
        <v>10850</v>
      </c>
    </row>
    <row r="73" spans="1:16" s="79" customFormat="1">
      <c r="A73" s="72" t="s">
        <v>77</v>
      </c>
      <c r="B73" s="75" t="s">
        <v>51</v>
      </c>
      <c r="C73" s="76" t="s">
        <v>308</v>
      </c>
      <c r="D73" s="77" t="s">
        <v>299</v>
      </c>
      <c r="E73" s="78" t="str">
        <f t="shared" si="10"/>
        <v>WR-1012 All-all</v>
      </c>
      <c r="F73" s="46">
        <f t="shared" si="12"/>
        <v>15</v>
      </c>
      <c r="G73" s="116" t="s">
        <v>200</v>
      </c>
      <c r="I73" s="100" t="str">
        <f>+I68</f>
        <v>Base3</v>
      </c>
      <c r="J73" s="160">
        <f t="shared" si="13"/>
        <v>9836.8087035358112</v>
      </c>
      <c r="K73" s="73">
        <f>+K68</f>
        <v>10850</v>
      </c>
      <c r="O73" s="157">
        <f t="shared" si="2"/>
        <v>9836.8087035358112</v>
      </c>
      <c r="P73" s="158">
        <f t="shared" si="3"/>
        <v>10850</v>
      </c>
    </row>
    <row r="74" spans="1:16">
      <c r="A74" s="72" t="s">
        <v>78</v>
      </c>
      <c r="B74" s="46" t="s">
        <v>51</v>
      </c>
      <c r="C74" s="49" t="s">
        <v>309</v>
      </c>
      <c r="D74" s="48" t="s">
        <v>52</v>
      </c>
      <c r="E74" s="45" t="str">
        <f t="shared" si="10"/>
        <v>WR-1022/SWRM22-All</v>
      </c>
      <c r="F74" s="46">
        <f t="shared" si="12"/>
        <v>18</v>
      </c>
      <c r="G74" s="116" t="s">
        <v>201</v>
      </c>
      <c r="I74" s="100" t="str">
        <f>I49</f>
        <v xml:space="preserve">Base1 </v>
      </c>
      <c r="J74" s="160">
        <f t="shared" si="13"/>
        <v>9836.8087035358112</v>
      </c>
      <c r="K74" s="73">
        <f>K51</f>
        <v>10850</v>
      </c>
      <c r="O74" s="157">
        <f t="shared" si="2"/>
        <v>9836.8087035358112</v>
      </c>
      <c r="P74" s="158">
        <f t="shared" si="3"/>
        <v>10850</v>
      </c>
    </row>
    <row r="75" spans="1:16">
      <c r="A75" s="72" t="s">
        <v>79</v>
      </c>
      <c r="B75" s="46" t="s">
        <v>51</v>
      </c>
      <c r="C75" s="50" t="s">
        <v>102</v>
      </c>
      <c r="D75" s="51">
        <v>6</v>
      </c>
      <c r="E75" s="45" t="str">
        <f t="shared" si="10"/>
        <v>WR-1012I-6</v>
      </c>
      <c r="F75" s="46">
        <f t="shared" si="12"/>
        <v>10</v>
      </c>
      <c r="G75" s="116" t="s">
        <v>202</v>
      </c>
      <c r="I75" s="100" t="s">
        <v>310</v>
      </c>
      <c r="J75" s="160">
        <f t="shared" si="13"/>
        <v>9836.8087035358112</v>
      </c>
      <c r="K75" s="174">
        <f>+'Material Pricing Group SBY'!K96</f>
        <v>10850</v>
      </c>
      <c r="O75" s="157">
        <f t="shared" si="2"/>
        <v>9836.8087035358112</v>
      </c>
      <c r="P75" s="158">
        <f t="shared" si="3"/>
        <v>10850</v>
      </c>
    </row>
    <row r="76" spans="1:16">
      <c r="A76" s="72" t="s">
        <v>80</v>
      </c>
      <c r="B76" s="46" t="s">
        <v>51</v>
      </c>
      <c r="C76" s="50" t="s">
        <v>102</v>
      </c>
      <c r="D76" s="51">
        <v>8</v>
      </c>
      <c r="E76" s="45" t="str">
        <f t="shared" si="10"/>
        <v>WR-1012I-8</v>
      </c>
      <c r="F76" s="46">
        <f t="shared" si="12"/>
        <v>10</v>
      </c>
      <c r="G76" s="116" t="s">
        <v>203</v>
      </c>
      <c r="I76" s="100" t="str">
        <f t="shared" ref="I76:I78" si="14">+I75</f>
        <v>Base4</v>
      </c>
      <c r="J76" s="160">
        <f t="shared" si="13"/>
        <v>9836.8087035358112</v>
      </c>
      <c r="K76" s="73">
        <f>+K75</f>
        <v>10850</v>
      </c>
      <c r="O76" s="157">
        <f t="shared" si="2"/>
        <v>9836.8087035358112</v>
      </c>
      <c r="P76" s="158">
        <f t="shared" si="3"/>
        <v>10850</v>
      </c>
    </row>
    <row r="77" spans="1:16">
      <c r="A77" s="72" t="s">
        <v>81</v>
      </c>
      <c r="B77" s="46" t="s">
        <v>51</v>
      </c>
      <c r="C77" s="50" t="s">
        <v>102</v>
      </c>
      <c r="D77" s="51">
        <v>10</v>
      </c>
      <c r="E77" s="45" t="str">
        <f t="shared" si="10"/>
        <v>WR-1012I-10</v>
      </c>
      <c r="F77" s="46">
        <f t="shared" si="12"/>
        <v>11</v>
      </c>
      <c r="G77" s="116" t="s">
        <v>204</v>
      </c>
      <c r="I77" s="100" t="str">
        <f t="shared" si="14"/>
        <v>Base4</v>
      </c>
      <c r="J77" s="160">
        <f t="shared" si="13"/>
        <v>9836.8087035358112</v>
      </c>
      <c r="K77" s="73">
        <f>+K75</f>
        <v>10850</v>
      </c>
      <c r="O77" s="157">
        <f t="shared" si="2"/>
        <v>9836.8087035358112</v>
      </c>
      <c r="P77" s="158">
        <f t="shared" si="3"/>
        <v>10850</v>
      </c>
    </row>
    <row r="78" spans="1:16">
      <c r="A78" s="72" t="s">
        <v>82</v>
      </c>
      <c r="B78" s="46" t="s">
        <v>51</v>
      </c>
      <c r="C78" s="50" t="s">
        <v>102</v>
      </c>
      <c r="D78" s="51">
        <v>12</v>
      </c>
      <c r="E78" s="45" t="str">
        <f t="shared" si="10"/>
        <v>WR-1012I-12</v>
      </c>
      <c r="F78" s="46">
        <f t="shared" si="12"/>
        <v>11</v>
      </c>
      <c r="G78" s="116" t="s">
        <v>205</v>
      </c>
      <c r="I78" s="100" t="str">
        <f t="shared" si="14"/>
        <v>Base4</v>
      </c>
      <c r="J78" s="160">
        <f t="shared" si="13"/>
        <v>9836.8087035358112</v>
      </c>
      <c r="K78" s="73">
        <f>+K75</f>
        <v>10850</v>
      </c>
      <c r="O78" s="157">
        <f t="shared" si="2"/>
        <v>9836.8087035358112</v>
      </c>
      <c r="P78" s="158">
        <f t="shared" si="3"/>
        <v>10850</v>
      </c>
    </row>
    <row r="79" spans="1:16">
      <c r="A79" s="72" t="s">
        <v>83</v>
      </c>
      <c r="B79" s="46" t="s">
        <v>51</v>
      </c>
      <c r="C79" s="53" t="s">
        <v>125</v>
      </c>
      <c r="D79" s="48" t="s">
        <v>52</v>
      </c>
      <c r="E79" s="45" t="str">
        <f t="shared" si="10"/>
        <v>WR-SWRH27-All</v>
      </c>
      <c r="F79" s="46">
        <f t="shared" si="12"/>
        <v>13</v>
      </c>
      <c r="G79" s="116" t="s">
        <v>206</v>
      </c>
      <c r="I79" s="100" t="s">
        <v>311</v>
      </c>
      <c r="J79" s="165">
        <f t="shared" si="13"/>
        <v>10652.765185856755</v>
      </c>
      <c r="K79" s="82">
        <f>+K81+100</f>
        <v>11750</v>
      </c>
      <c r="O79" s="157">
        <f t="shared" si="2"/>
        <v>10652.765185856755</v>
      </c>
      <c r="P79" s="158">
        <f t="shared" si="3"/>
        <v>11750</v>
      </c>
    </row>
    <row r="80" spans="1:16">
      <c r="A80" s="72" t="s">
        <v>84</v>
      </c>
      <c r="B80" s="46" t="s">
        <v>51</v>
      </c>
      <c r="C80" s="53" t="s">
        <v>127</v>
      </c>
      <c r="D80" s="48" t="s">
        <v>52</v>
      </c>
      <c r="E80" s="45" t="str">
        <f t="shared" si="10"/>
        <v>WR-SWRH32-All</v>
      </c>
      <c r="F80" s="46">
        <f t="shared" si="12"/>
        <v>13</v>
      </c>
      <c r="G80" s="116" t="s">
        <v>207</v>
      </c>
      <c r="I80" s="100" t="str">
        <f>+$I$79</f>
        <v>Base5+100</v>
      </c>
      <c r="J80" s="165">
        <f t="shared" si="13"/>
        <v>10652.765185856755</v>
      </c>
      <c r="K80" s="82">
        <f>+K81+100</f>
        <v>11750</v>
      </c>
      <c r="O80" s="157">
        <f t="shared" si="2"/>
        <v>10652.765185856755</v>
      </c>
      <c r="P80" s="158">
        <f t="shared" si="3"/>
        <v>11750</v>
      </c>
    </row>
    <row r="81" spans="1:16">
      <c r="A81" s="72" t="s">
        <v>85</v>
      </c>
      <c r="B81" s="46" t="s">
        <v>51</v>
      </c>
      <c r="C81" s="53" t="s">
        <v>312</v>
      </c>
      <c r="D81" s="48" t="s">
        <v>52</v>
      </c>
      <c r="E81" s="45" t="str">
        <f t="shared" si="10"/>
        <v>WR-SWRH37-72B-All</v>
      </c>
      <c r="F81" s="46">
        <f t="shared" si="12"/>
        <v>17</v>
      </c>
      <c r="G81" s="116" t="s">
        <v>208</v>
      </c>
      <c r="I81" s="171" t="s">
        <v>313</v>
      </c>
      <c r="J81" s="165">
        <f t="shared" si="13"/>
        <v>10562.103354487761</v>
      </c>
      <c r="K81" s="251">
        <f>+'Material Pricing Group SBY'!K103</f>
        <v>11650</v>
      </c>
      <c r="O81" s="157">
        <f t="shared" si="2"/>
        <v>10562.103354487761</v>
      </c>
      <c r="P81" s="158">
        <f t="shared" si="3"/>
        <v>11650</v>
      </c>
    </row>
    <row r="82" spans="1:16">
      <c r="A82" s="72" t="s">
        <v>86</v>
      </c>
      <c r="B82" s="46" t="s">
        <v>51</v>
      </c>
      <c r="C82" s="53" t="s">
        <v>144</v>
      </c>
      <c r="D82" s="48" t="s">
        <v>52</v>
      </c>
      <c r="E82" s="45" t="str">
        <f t="shared" si="10"/>
        <v>WR-32 HiSi-All</v>
      </c>
      <c r="F82" s="46">
        <f t="shared" si="12"/>
        <v>14</v>
      </c>
      <c r="G82" s="116" t="s">
        <v>209</v>
      </c>
      <c r="I82" s="171" t="s">
        <v>311</v>
      </c>
      <c r="J82" s="165">
        <f t="shared" si="13"/>
        <v>10652.765185856755</v>
      </c>
      <c r="K82" s="161">
        <f>+$K$81+100</f>
        <v>11750</v>
      </c>
      <c r="O82" s="157">
        <f t="shared" si="2"/>
        <v>10652.765185856755</v>
      </c>
      <c r="P82" s="158">
        <f t="shared" si="3"/>
        <v>11750</v>
      </c>
    </row>
    <row r="83" spans="1:16">
      <c r="A83" s="72" t="s">
        <v>87</v>
      </c>
      <c r="B83" s="46" t="s">
        <v>51</v>
      </c>
      <c r="C83" s="53" t="s">
        <v>314</v>
      </c>
      <c r="D83" s="48" t="s">
        <v>315</v>
      </c>
      <c r="E83" s="45" t="str">
        <f t="shared" si="10"/>
        <v>WR-SWRH77A-82B-5-7.9</v>
      </c>
      <c r="F83" s="46">
        <f t="shared" si="12"/>
        <v>20</v>
      </c>
      <c r="G83" s="116" t="s">
        <v>210</v>
      </c>
      <c r="I83" s="171" t="s">
        <v>311</v>
      </c>
      <c r="J83" s="160">
        <f t="shared" si="13"/>
        <v>10652.765185856755</v>
      </c>
      <c r="K83" s="162">
        <f>+K81+100</f>
        <v>11750</v>
      </c>
      <c r="O83" s="157">
        <f t="shared" si="2"/>
        <v>10652.765185856755</v>
      </c>
      <c r="P83" s="158">
        <f t="shared" si="3"/>
        <v>11750</v>
      </c>
    </row>
    <row r="84" spans="1:16">
      <c r="A84" s="72" t="s">
        <v>88</v>
      </c>
      <c r="B84" s="46" t="s">
        <v>51</v>
      </c>
      <c r="C84" s="53" t="s">
        <v>314</v>
      </c>
      <c r="D84" s="83" t="s">
        <v>316</v>
      </c>
      <c r="E84" s="45" t="str">
        <f t="shared" si="10"/>
        <v>WR-SWRH77A-82B-8-12</v>
      </c>
      <c r="F84" s="46">
        <f t="shared" si="12"/>
        <v>19</v>
      </c>
      <c r="G84" s="116" t="s">
        <v>211</v>
      </c>
      <c r="I84" s="171" t="s">
        <v>437</v>
      </c>
      <c r="J84" s="160">
        <f t="shared" si="13"/>
        <v>10698.096101541252</v>
      </c>
      <c r="K84" s="162">
        <f>+K81+150</f>
        <v>11800</v>
      </c>
      <c r="O84" s="157">
        <f t="shared" si="2"/>
        <v>10698.096101541252</v>
      </c>
      <c r="P84" s="158">
        <f t="shared" si="3"/>
        <v>11800</v>
      </c>
    </row>
    <row r="85" spans="1:16">
      <c r="A85" s="72" t="s">
        <v>89</v>
      </c>
      <c r="B85" s="46" t="s">
        <v>51</v>
      </c>
      <c r="C85" s="50" t="s">
        <v>317</v>
      </c>
      <c r="D85" s="48" t="s">
        <v>318</v>
      </c>
      <c r="E85" s="45" t="str">
        <f>CONCATENATE(B85,"-",C85,"-",D85)</f>
        <v>WR-SWRH77-82-12.5-16</v>
      </c>
      <c r="F85" s="46">
        <f t="shared" si="12"/>
        <v>20</v>
      </c>
      <c r="G85" s="116" t="s">
        <v>212</v>
      </c>
      <c r="I85" s="171" t="s">
        <v>437</v>
      </c>
      <c r="J85" s="160">
        <f t="shared" si="13"/>
        <v>10698.096101541252</v>
      </c>
      <c r="K85" s="162">
        <f>+K84</f>
        <v>11800</v>
      </c>
      <c r="O85" s="157">
        <f t="shared" si="2"/>
        <v>10698.096101541252</v>
      </c>
      <c r="P85" s="158">
        <f t="shared" si="3"/>
        <v>11800</v>
      </c>
    </row>
    <row r="86" spans="1:16">
      <c r="A86" s="72" t="s">
        <v>90</v>
      </c>
      <c r="B86" s="46" t="s">
        <v>51</v>
      </c>
      <c r="C86" s="49" t="s">
        <v>319</v>
      </c>
      <c r="D86" s="48" t="s">
        <v>320</v>
      </c>
      <c r="E86" s="45" t="str">
        <f t="shared" si="10"/>
        <v>WR-SWRY-11-ALL</v>
      </c>
      <c r="F86" s="46">
        <f t="shared" si="12"/>
        <v>14</v>
      </c>
      <c r="G86" s="116" t="s">
        <v>213</v>
      </c>
      <c r="I86" s="100" t="s">
        <v>321</v>
      </c>
      <c r="J86" s="160">
        <f t="shared" si="13"/>
        <v>10562.103354487761</v>
      </c>
      <c r="K86" s="174">
        <f>+'Material Pricing Group SBY'!K109</f>
        <v>11650</v>
      </c>
      <c r="O86" s="157">
        <f t="shared" si="2"/>
        <v>10562.103354487761</v>
      </c>
      <c r="P86" s="158">
        <f t="shared" si="3"/>
        <v>11650</v>
      </c>
    </row>
    <row r="87" spans="1:16">
      <c r="A87" s="72" t="s">
        <v>91</v>
      </c>
      <c r="B87" s="46" t="s">
        <v>51</v>
      </c>
      <c r="C87" s="47" t="s">
        <v>322</v>
      </c>
      <c r="D87" s="48" t="s">
        <v>320</v>
      </c>
      <c r="E87" s="45" t="str">
        <f t="shared" si="10"/>
        <v>WR-SWRY-17-ALL</v>
      </c>
      <c r="F87" s="46">
        <f t="shared" si="12"/>
        <v>14</v>
      </c>
      <c r="G87" s="116" t="s">
        <v>214</v>
      </c>
      <c r="I87" s="100" t="s">
        <v>321</v>
      </c>
      <c r="J87" s="160">
        <f t="shared" si="13"/>
        <v>10562.103354487761</v>
      </c>
      <c r="K87" s="73">
        <f>+K86</f>
        <v>11650</v>
      </c>
      <c r="O87" s="157">
        <f t="shared" ref="O87:O102" si="15">+J87-M87</f>
        <v>10562.103354487761</v>
      </c>
      <c r="P87" s="158">
        <f t="shared" ref="P87:P102" si="16">+K87-N87</f>
        <v>11650</v>
      </c>
    </row>
    <row r="88" spans="1:16">
      <c r="A88" s="72" t="s">
        <v>92</v>
      </c>
      <c r="B88" s="46" t="s">
        <v>51</v>
      </c>
      <c r="C88" s="49" t="s">
        <v>323</v>
      </c>
      <c r="D88" s="48" t="s">
        <v>320</v>
      </c>
      <c r="E88" s="45" t="str">
        <f t="shared" si="10"/>
        <v>WR-XE400P-ALL</v>
      </c>
      <c r="F88" s="46">
        <f t="shared" si="12"/>
        <v>13</v>
      </c>
      <c r="G88" s="116" t="s">
        <v>215</v>
      </c>
      <c r="I88" s="100" t="str">
        <f>+I86</f>
        <v>Base6</v>
      </c>
      <c r="J88" s="160">
        <f t="shared" si="13"/>
        <v>10562.103354487761</v>
      </c>
      <c r="K88" s="73">
        <f>+K86</f>
        <v>11650</v>
      </c>
      <c r="O88" s="157">
        <f t="shared" si="15"/>
        <v>10562.103354487761</v>
      </c>
      <c r="P88" s="158">
        <f t="shared" si="16"/>
        <v>11650</v>
      </c>
    </row>
    <row r="89" spans="1:16">
      <c r="A89" s="72" t="s">
        <v>93</v>
      </c>
      <c r="B89" s="46" t="s">
        <v>51</v>
      </c>
      <c r="C89" s="49" t="s">
        <v>324</v>
      </c>
      <c r="D89" s="48" t="s">
        <v>320</v>
      </c>
      <c r="E89" s="45" t="str">
        <f t="shared" si="10"/>
        <v>WR-XE4000-ALL</v>
      </c>
      <c r="F89" s="46">
        <f t="shared" si="12"/>
        <v>13</v>
      </c>
      <c r="G89" s="116" t="s">
        <v>216</v>
      </c>
      <c r="I89" s="100" t="str">
        <f>+I86</f>
        <v>Base6</v>
      </c>
      <c r="J89" s="160">
        <f t="shared" si="13"/>
        <v>10562.103354487761</v>
      </c>
      <c r="K89" s="73">
        <f>+K86</f>
        <v>11650</v>
      </c>
      <c r="O89" s="157">
        <f t="shared" si="15"/>
        <v>10562.103354487761</v>
      </c>
      <c r="P89" s="158">
        <f t="shared" si="16"/>
        <v>11650</v>
      </c>
    </row>
    <row r="90" spans="1:16">
      <c r="A90" s="72" t="s">
        <v>94</v>
      </c>
      <c r="B90" s="46" t="s">
        <v>51</v>
      </c>
      <c r="C90" s="49" t="s">
        <v>325</v>
      </c>
      <c r="D90" s="48" t="s">
        <v>320</v>
      </c>
      <c r="E90" s="45" t="str">
        <f t="shared" si="10"/>
        <v>WR-XE4100-ALL</v>
      </c>
      <c r="F90" s="46">
        <f t="shared" si="12"/>
        <v>13</v>
      </c>
      <c r="G90" s="116" t="s">
        <v>217</v>
      </c>
      <c r="I90" s="100" t="str">
        <f>+I86</f>
        <v>Base6</v>
      </c>
      <c r="J90" s="160">
        <f t="shared" si="13"/>
        <v>10562.103354487761</v>
      </c>
      <c r="K90" s="73">
        <f>+K86</f>
        <v>11650</v>
      </c>
      <c r="O90" s="157">
        <f t="shared" si="15"/>
        <v>10562.103354487761</v>
      </c>
      <c r="P90" s="158">
        <f t="shared" si="16"/>
        <v>11650</v>
      </c>
    </row>
    <row r="91" spans="1:16">
      <c r="A91" s="72" t="s">
        <v>95</v>
      </c>
      <c r="B91" s="46" t="s">
        <v>51</v>
      </c>
      <c r="C91" s="47">
        <v>1210</v>
      </c>
      <c r="D91" s="48" t="s">
        <v>320</v>
      </c>
      <c r="E91" s="45" t="str">
        <f t="shared" si="10"/>
        <v>WR-1210-ALL</v>
      </c>
      <c r="F91" s="46">
        <f t="shared" si="12"/>
        <v>11</v>
      </c>
      <c r="G91" s="116" t="s">
        <v>218</v>
      </c>
      <c r="I91" s="100" t="s">
        <v>326</v>
      </c>
      <c r="J91" s="160">
        <f t="shared" si="13"/>
        <v>10834.088848594742</v>
      </c>
      <c r="K91" s="73">
        <f>+K86+300</f>
        <v>11950</v>
      </c>
      <c r="O91" s="157">
        <f t="shared" si="15"/>
        <v>10834.088848594742</v>
      </c>
      <c r="P91" s="158">
        <f t="shared" si="16"/>
        <v>11950</v>
      </c>
    </row>
    <row r="92" spans="1:16">
      <c r="A92" s="72" t="s">
        <v>96</v>
      </c>
      <c r="B92" s="46" t="s">
        <v>51</v>
      </c>
      <c r="C92" s="47">
        <v>1222</v>
      </c>
      <c r="D92" s="48" t="s">
        <v>320</v>
      </c>
      <c r="E92" s="45" t="str">
        <f t="shared" si="10"/>
        <v>WR-1222-ALL</v>
      </c>
      <c r="F92" s="46">
        <f t="shared" si="12"/>
        <v>11</v>
      </c>
      <c r="G92" s="116" t="s">
        <v>219</v>
      </c>
      <c r="I92" s="100" t="str">
        <f>+I91</f>
        <v>Base6+300</v>
      </c>
      <c r="J92" s="160">
        <f t="shared" si="13"/>
        <v>10834.088848594742</v>
      </c>
      <c r="K92" s="73">
        <f>+K91</f>
        <v>11950</v>
      </c>
      <c r="O92" s="157">
        <f t="shared" si="15"/>
        <v>10834.088848594742</v>
      </c>
      <c r="P92" s="158">
        <f t="shared" si="16"/>
        <v>11950</v>
      </c>
    </row>
    <row r="93" spans="1:16">
      <c r="A93" s="72" t="s">
        <v>97</v>
      </c>
      <c r="B93" s="46" t="s">
        <v>51</v>
      </c>
      <c r="C93" s="49" t="s">
        <v>327</v>
      </c>
      <c r="D93" s="48" t="s">
        <v>320</v>
      </c>
      <c r="E93" s="45" t="str">
        <f t="shared" si="10"/>
        <v>WR-ER70S4-ALL</v>
      </c>
      <c r="F93" s="46">
        <f t="shared" si="12"/>
        <v>13</v>
      </c>
      <c r="G93" s="116" t="s">
        <v>220</v>
      </c>
      <c r="I93" s="100" t="s">
        <v>328</v>
      </c>
      <c r="J93" s="160">
        <f t="shared" si="13"/>
        <v>11287.398005439711</v>
      </c>
      <c r="K93" s="73">
        <f>+K86+800</f>
        <v>12450</v>
      </c>
      <c r="O93" s="157">
        <f t="shared" si="15"/>
        <v>11287.398005439711</v>
      </c>
      <c r="P93" s="158">
        <f t="shared" si="16"/>
        <v>12450</v>
      </c>
    </row>
    <row r="94" spans="1:16">
      <c r="A94" s="72" t="s">
        <v>98</v>
      </c>
      <c r="B94" s="46" t="s">
        <v>51</v>
      </c>
      <c r="C94" s="47" t="s">
        <v>329</v>
      </c>
      <c r="D94" s="48" t="s">
        <v>320</v>
      </c>
      <c r="E94" s="45" t="str">
        <f t="shared" si="10"/>
        <v>WR-ER70S6-ALL</v>
      </c>
      <c r="F94" s="46">
        <f t="shared" si="12"/>
        <v>13</v>
      </c>
      <c r="G94" s="116" t="s">
        <v>221</v>
      </c>
      <c r="I94" s="100" t="str">
        <f>+I93</f>
        <v>Base6+800</v>
      </c>
      <c r="J94" s="160">
        <f t="shared" si="13"/>
        <v>11287.398005439711</v>
      </c>
      <c r="K94" s="73">
        <f>+K93</f>
        <v>12450</v>
      </c>
      <c r="O94" s="157">
        <f t="shared" si="15"/>
        <v>11287.398005439711</v>
      </c>
      <c r="P94" s="158">
        <f t="shared" si="16"/>
        <v>12450</v>
      </c>
    </row>
    <row r="95" spans="1:16">
      <c r="A95" s="72" t="s">
        <v>99</v>
      </c>
      <c r="B95" s="46" t="s">
        <v>51</v>
      </c>
      <c r="C95" s="49" t="s">
        <v>330</v>
      </c>
      <c r="D95" s="48" t="s">
        <v>320</v>
      </c>
      <c r="E95" s="45" t="str">
        <f t="shared" si="10"/>
        <v>WR-EM12-ALL</v>
      </c>
      <c r="F95" s="46">
        <f t="shared" si="12"/>
        <v>11</v>
      </c>
      <c r="G95" s="116" t="s">
        <v>222</v>
      </c>
      <c r="I95" s="100" t="str">
        <f>+I93</f>
        <v>Base6+800</v>
      </c>
      <c r="J95" s="160">
        <f t="shared" si="13"/>
        <v>11287.398005439711</v>
      </c>
      <c r="K95" s="73">
        <f>+K93</f>
        <v>12450</v>
      </c>
      <c r="O95" s="157">
        <f t="shared" si="15"/>
        <v>11287.398005439711</v>
      </c>
      <c r="P95" s="158">
        <f t="shared" si="16"/>
        <v>12450</v>
      </c>
    </row>
    <row r="96" spans="1:16">
      <c r="A96" s="72" t="s">
        <v>100</v>
      </c>
      <c r="B96" s="46" t="s">
        <v>51</v>
      </c>
      <c r="C96" s="49" t="s">
        <v>331</v>
      </c>
      <c r="D96" s="48" t="s">
        <v>320</v>
      </c>
      <c r="E96" s="45" t="str">
        <f t="shared" si="10"/>
        <v>WR-EM12K-ALL</v>
      </c>
      <c r="F96" s="46">
        <f t="shared" si="12"/>
        <v>12</v>
      </c>
      <c r="G96" s="116" t="s">
        <v>223</v>
      </c>
      <c r="I96" s="100" t="str">
        <f>+I93</f>
        <v>Base6+800</v>
      </c>
      <c r="J96" s="160">
        <f t="shared" si="13"/>
        <v>11287.398005439711</v>
      </c>
      <c r="K96" s="73">
        <f>+K93</f>
        <v>12450</v>
      </c>
      <c r="O96" s="157">
        <f t="shared" si="15"/>
        <v>11287.398005439711</v>
      </c>
      <c r="P96" s="158">
        <f t="shared" si="16"/>
        <v>12450</v>
      </c>
    </row>
    <row r="97" spans="1:16">
      <c r="A97" s="72" t="s">
        <v>101</v>
      </c>
      <c r="B97" s="46" t="s">
        <v>51</v>
      </c>
      <c r="C97" s="50" t="s">
        <v>332</v>
      </c>
      <c r="D97" s="48" t="s">
        <v>320</v>
      </c>
      <c r="E97" s="45" t="str">
        <f>CONCATENATE(B97,"-",C97,"-",D97)</f>
        <v>WR-EH12K-ALL</v>
      </c>
      <c r="F97" s="46">
        <f>LEN(E97)</f>
        <v>12</v>
      </c>
      <c r="G97" s="116" t="s">
        <v>224</v>
      </c>
      <c r="I97" s="100" t="s">
        <v>393</v>
      </c>
      <c r="J97" s="160">
        <f t="shared" si="13"/>
        <v>11378.059836808703</v>
      </c>
      <c r="K97" s="73">
        <f>K86+900</f>
        <v>12550</v>
      </c>
      <c r="O97" s="157">
        <f t="shared" si="15"/>
        <v>11378.059836808703</v>
      </c>
      <c r="P97" s="158">
        <f t="shared" si="16"/>
        <v>12550</v>
      </c>
    </row>
    <row r="98" spans="1:16">
      <c r="A98" s="72" t="s">
        <v>103</v>
      </c>
      <c r="B98" s="46" t="s">
        <v>51</v>
      </c>
      <c r="C98" s="50" t="s">
        <v>333</v>
      </c>
      <c r="D98" s="48" t="s">
        <v>320</v>
      </c>
      <c r="E98" s="45" t="str">
        <f>CONCATENATE(B98,"-",C98,"-",D98)</f>
        <v>WR-EH14-ALL</v>
      </c>
      <c r="F98" s="46">
        <f>LEN(E98)</f>
        <v>11</v>
      </c>
      <c r="G98" s="116" t="s">
        <v>225</v>
      </c>
      <c r="I98" s="100" t="s">
        <v>393</v>
      </c>
      <c r="J98" s="160">
        <f t="shared" si="13"/>
        <v>11378.059836808703</v>
      </c>
      <c r="K98" s="73">
        <f>+K86+900</f>
        <v>12550</v>
      </c>
      <c r="O98" s="157">
        <f t="shared" si="15"/>
        <v>11378.059836808703</v>
      </c>
      <c r="P98" s="158">
        <f t="shared" si="16"/>
        <v>12550</v>
      </c>
    </row>
    <row r="99" spans="1:16" s="244" customFormat="1">
      <c r="A99" s="239" t="s">
        <v>482</v>
      </c>
      <c r="B99" s="240" t="s">
        <v>51</v>
      </c>
      <c r="C99" s="247" t="s">
        <v>483</v>
      </c>
      <c r="D99" s="241" t="s">
        <v>320</v>
      </c>
      <c r="E99" s="242" t="str">
        <f t="shared" ref="E99:E100" si="17">CONCATENATE(B99,"-",C99,"-",D99)</f>
        <v>WR-CHQ 8A-ALL</v>
      </c>
      <c r="F99" s="240">
        <f t="shared" ref="F99:F100" si="18">LEN(E99)</f>
        <v>13</v>
      </c>
      <c r="G99" s="243" t="s">
        <v>484</v>
      </c>
      <c r="I99" s="245" t="s">
        <v>481</v>
      </c>
      <c r="J99" s="246">
        <f>+K99/1.103</f>
        <v>8023.5720761559387</v>
      </c>
      <c r="K99" s="174">
        <f>9250-400</f>
        <v>8850</v>
      </c>
    </row>
    <row r="100" spans="1:16" s="244" customFormat="1">
      <c r="A100" s="248">
        <v>53</v>
      </c>
      <c r="B100" s="240" t="s">
        <v>51</v>
      </c>
      <c r="C100" s="250" t="s">
        <v>489</v>
      </c>
      <c r="D100" s="241" t="s">
        <v>320</v>
      </c>
      <c r="E100" s="242" t="str">
        <f t="shared" si="17"/>
        <v>WR-CHQ 18A-ALL</v>
      </c>
      <c r="F100" s="240">
        <f t="shared" si="18"/>
        <v>14</v>
      </c>
      <c r="G100" s="243" t="s">
        <v>485</v>
      </c>
      <c r="I100" s="245" t="s">
        <v>481</v>
      </c>
      <c r="J100" s="246">
        <f>+K100/1.103</f>
        <v>8023.5720761559387</v>
      </c>
      <c r="K100" s="174">
        <f>+K99</f>
        <v>8850</v>
      </c>
    </row>
    <row r="101" spans="1:16" s="79" customFormat="1">
      <c r="A101" s="72" t="s">
        <v>136</v>
      </c>
      <c r="B101" s="75" t="s">
        <v>51</v>
      </c>
      <c r="C101" s="80" t="s">
        <v>361</v>
      </c>
      <c r="D101" s="77" t="s">
        <v>320</v>
      </c>
      <c r="E101" s="78" t="str">
        <f>CONCATENATE(B101,"-",C101,"-",D101)</f>
        <v>WR-Stock Lot IQ-ALL</v>
      </c>
      <c r="F101" s="75">
        <f>LEN(E101)</f>
        <v>19</v>
      </c>
      <c r="G101" s="116" t="s">
        <v>256</v>
      </c>
      <c r="I101" s="100" t="s">
        <v>402</v>
      </c>
      <c r="J101" s="160">
        <f t="shared" ref="J101:J110" si="19">+K101/1.103</f>
        <v>9088.8485947416139</v>
      </c>
      <c r="K101" s="101">
        <f>+K62-1025</f>
        <v>10025</v>
      </c>
      <c r="O101" s="157">
        <f t="shared" si="15"/>
        <v>9088.8485947416139</v>
      </c>
      <c r="P101" s="158">
        <f t="shared" si="16"/>
        <v>10025</v>
      </c>
    </row>
    <row r="102" spans="1:16" s="79" customFormat="1">
      <c r="A102" s="72" t="s">
        <v>137</v>
      </c>
      <c r="B102" s="85" t="s">
        <v>51</v>
      </c>
      <c r="C102" s="86" t="s">
        <v>362</v>
      </c>
      <c r="D102" s="87" t="s">
        <v>320</v>
      </c>
      <c r="E102" s="88" t="str">
        <f>CONCATENATE(B102,"-",C102,"-",D102)</f>
        <v>WR-Stock Lot SP-ALL</v>
      </c>
      <c r="F102" s="85">
        <f>LEN(E102)</f>
        <v>19</v>
      </c>
      <c r="G102" s="116" t="s">
        <v>257</v>
      </c>
      <c r="I102" s="100" t="s">
        <v>403</v>
      </c>
      <c r="J102" s="163">
        <f t="shared" si="19"/>
        <v>9088.8485947416139</v>
      </c>
      <c r="K102" s="101">
        <f>+K63-1025</f>
        <v>10025</v>
      </c>
      <c r="O102" s="157">
        <f t="shared" si="15"/>
        <v>9088.8485947416139</v>
      </c>
      <c r="P102" s="158">
        <f t="shared" si="16"/>
        <v>10025</v>
      </c>
    </row>
    <row r="103" spans="1:16" s="147" customFormat="1">
      <c r="A103" s="153" t="s">
        <v>422</v>
      </c>
      <c r="B103" s="143" t="s">
        <v>51</v>
      </c>
      <c r="C103" s="144" t="s">
        <v>55</v>
      </c>
      <c r="D103" s="156">
        <v>4.2</v>
      </c>
      <c r="E103" s="145" t="s">
        <v>421</v>
      </c>
      <c r="F103" s="143"/>
      <c r="G103" s="155" t="s">
        <v>421</v>
      </c>
      <c r="I103" s="171" t="s">
        <v>439</v>
      </c>
      <c r="J103" s="160">
        <f t="shared" si="19"/>
        <v>10199.456029011786</v>
      </c>
      <c r="K103" s="101">
        <f>+K51+400-50+25+25</f>
        <v>11250</v>
      </c>
      <c r="O103" s="157">
        <f t="shared" ref="O103:P108" si="20">+J103-M103</f>
        <v>10199.456029011786</v>
      </c>
      <c r="P103" s="158">
        <f t="shared" si="20"/>
        <v>11250</v>
      </c>
    </row>
    <row r="104" spans="1:16" s="147" customFormat="1">
      <c r="A104" s="153" t="s">
        <v>423</v>
      </c>
      <c r="B104" s="143" t="s">
        <v>51</v>
      </c>
      <c r="C104" s="144" t="s">
        <v>55</v>
      </c>
      <c r="D104" s="154">
        <v>4.5</v>
      </c>
      <c r="E104" s="145" t="s">
        <v>424</v>
      </c>
      <c r="F104" s="143"/>
      <c r="G104" s="155" t="s">
        <v>424</v>
      </c>
      <c r="I104" s="171" t="s">
        <v>440</v>
      </c>
      <c r="J104" s="160">
        <f t="shared" si="19"/>
        <v>10108.794197642792</v>
      </c>
      <c r="K104" s="169">
        <f>+K51+300-50+25+25</f>
        <v>11150</v>
      </c>
      <c r="O104" s="157">
        <f t="shared" si="20"/>
        <v>10108.794197642792</v>
      </c>
      <c r="P104" s="158">
        <f t="shared" si="20"/>
        <v>11150</v>
      </c>
    </row>
    <row r="105" spans="1:16" s="147" customFormat="1">
      <c r="A105" s="153" t="s">
        <v>425</v>
      </c>
      <c r="B105" s="143" t="s">
        <v>51</v>
      </c>
      <c r="C105" s="144" t="s">
        <v>55</v>
      </c>
      <c r="D105" s="154">
        <v>5.65</v>
      </c>
      <c r="E105" s="145" t="s">
        <v>426</v>
      </c>
      <c r="F105" s="143"/>
      <c r="G105" s="155" t="s">
        <v>426</v>
      </c>
      <c r="I105" s="171" t="s">
        <v>293</v>
      </c>
      <c r="J105" s="160">
        <f t="shared" si="19"/>
        <v>9814.1432456935636</v>
      </c>
      <c r="K105" s="169">
        <f>+K51-25</f>
        <v>10825</v>
      </c>
      <c r="O105" s="157">
        <f t="shared" si="20"/>
        <v>9814.1432456935636</v>
      </c>
      <c r="P105" s="158">
        <f t="shared" si="20"/>
        <v>10825</v>
      </c>
    </row>
    <row r="106" spans="1:16" s="152" customFormat="1">
      <c r="A106" s="153" t="s">
        <v>429</v>
      </c>
      <c r="B106" s="148" t="s">
        <v>51</v>
      </c>
      <c r="C106" s="149">
        <v>1006</v>
      </c>
      <c r="D106" s="150" t="s">
        <v>446</v>
      </c>
      <c r="E106" s="151" t="s">
        <v>502</v>
      </c>
      <c r="F106" s="148"/>
      <c r="G106" s="146" t="s">
        <v>502</v>
      </c>
      <c r="I106" s="171" t="s">
        <v>435</v>
      </c>
      <c r="J106" s="160">
        <f t="shared" si="19"/>
        <v>9882.1396192203083</v>
      </c>
      <c r="K106" s="101">
        <f>+K59+50</f>
        <v>10900</v>
      </c>
      <c r="O106" s="157">
        <f t="shared" si="20"/>
        <v>9882.1396192203083</v>
      </c>
      <c r="P106" s="158">
        <f t="shared" si="20"/>
        <v>10900</v>
      </c>
    </row>
    <row r="107" spans="1:16" s="152" customFormat="1">
      <c r="A107" s="153" t="s">
        <v>430</v>
      </c>
      <c r="B107" s="148" t="s">
        <v>51</v>
      </c>
      <c r="C107" s="149">
        <v>1008</v>
      </c>
      <c r="D107" s="150">
        <v>14.17</v>
      </c>
      <c r="E107" s="151" t="s">
        <v>503</v>
      </c>
      <c r="F107" s="148"/>
      <c r="G107" s="146" t="s">
        <v>503</v>
      </c>
      <c r="I107" s="171" t="s">
        <v>435</v>
      </c>
      <c r="J107" s="160">
        <f t="shared" si="19"/>
        <v>10063.463281958295</v>
      </c>
      <c r="K107" s="101">
        <f>+K62+50</f>
        <v>11100</v>
      </c>
      <c r="O107" s="157">
        <f t="shared" si="20"/>
        <v>10063.463281958295</v>
      </c>
      <c r="P107" s="158">
        <f t="shared" si="20"/>
        <v>11100</v>
      </c>
    </row>
    <row r="108" spans="1:16" s="147" customFormat="1">
      <c r="A108" s="188" t="s">
        <v>431</v>
      </c>
      <c r="B108" s="193" t="s">
        <v>51</v>
      </c>
      <c r="C108" s="196">
        <v>1012</v>
      </c>
      <c r="D108" s="197" t="s">
        <v>446</v>
      </c>
      <c r="E108" s="198" t="s">
        <v>504</v>
      </c>
      <c r="F108" s="193"/>
      <c r="G108" s="146" t="s">
        <v>504</v>
      </c>
      <c r="I108" s="194" t="s">
        <v>432</v>
      </c>
      <c r="J108" s="163">
        <f t="shared" si="19"/>
        <v>9882.1396192203083</v>
      </c>
      <c r="K108" s="195">
        <f>+K67+50</f>
        <v>10900</v>
      </c>
      <c r="O108" s="157">
        <f t="shared" si="20"/>
        <v>9882.1396192203083</v>
      </c>
      <c r="P108" s="158">
        <f t="shared" si="20"/>
        <v>10900</v>
      </c>
    </row>
    <row r="109" spans="1:16">
      <c r="A109" s="72" t="s">
        <v>444</v>
      </c>
      <c r="B109" s="60" t="s">
        <v>51</v>
      </c>
      <c r="C109" s="50">
        <v>1006</v>
      </c>
      <c r="D109" s="77" t="s">
        <v>296</v>
      </c>
      <c r="E109" s="78"/>
      <c r="F109" s="75"/>
      <c r="G109" s="204" t="s">
        <v>447</v>
      </c>
      <c r="H109" s="75"/>
      <c r="I109" s="171" t="s">
        <v>457</v>
      </c>
      <c r="J109" s="160">
        <f t="shared" si="19"/>
        <v>9836.8087035358112</v>
      </c>
      <c r="K109" s="252">
        <f>+K59</f>
        <v>10850</v>
      </c>
    </row>
    <row r="110" spans="1:16">
      <c r="A110" s="72" t="s">
        <v>445</v>
      </c>
      <c r="B110" s="60" t="s">
        <v>51</v>
      </c>
      <c r="C110" s="50">
        <v>1006</v>
      </c>
      <c r="D110" s="77" t="s">
        <v>297</v>
      </c>
      <c r="E110" s="78"/>
      <c r="F110" s="75"/>
      <c r="G110" s="200" t="s">
        <v>451</v>
      </c>
      <c r="H110" s="75"/>
      <c r="I110" s="171" t="s">
        <v>457</v>
      </c>
      <c r="J110" s="160">
        <f t="shared" si="19"/>
        <v>9836.8087035358112</v>
      </c>
      <c r="K110" s="252">
        <f>+K59</f>
        <v>10850</v>
      </c>
    </row>
    <row r="111" spans="1:16">
      <c r="A111" s="203" t="s">
        <v>453</v>
      </c>
      <c r="B111" s="60" t="s">
        <v>51</v>
      </c>
      <c r="C111" s="50" t="s">
        <v>454</v>
      </c>
      <c r="D111" s="77" t="s">
        <v>455</v>
      </c>
      <c r="E111" s="78"/>
      <c r="F111" s="75"/>
      <c r="G111" s="204" t="s">
        <v>456</v>
      </c>
      <c r="H111" s="75"/>
      <c r="I111" s="100" t="s">
        <v>452</v>
      </c>
      <c r="J111" s="160">
        <f t="shared" ref="J111:J117" si="21">+K111/1.103</f>
        <v>9836.8087035358112</v>
      </c>
      <c r="K111" s="252">
        <f>+K59</f>
        <v>10850</v>
      </c>
    </row>
    <row r="112" spans="1:16" s="211" customFormat="1">
      <c r="A112" s="270" t="s">
        <v>464</v>
      </c>
      <c r="B112" s="271" t="s">
        <v>51</v>
      </c>
      <c r="C112" s="272" t="s">
        <v>55</v>
      </c>
      <c r="D112" s="273">
        <v>7</v>
      </c>
      <c r="E112" s="274" t="str">
        <f t="shared" ref="E112:E114" si="22">CONCATENATE(B112,"-",C112,"-",D112)</f>
        <v>WR-1012B-7</v>
      </c>
      <c r="F112" s="271">
        <f t="shared" ref="F112" si="23">LEN(E112)</f>
        <v>10</v>
      </c>
      <c r="G112" s="210" t="s">
        <v>462</v>
      </c>
      <c r="I112" s="277" t="s">
        <v>463</v>
      </c>
      <c r="J112" s="275">
        <f t="shared" si="21"/>
        <v>9768.8123300090665</v>
      </c>
      <c r="K112" s="278">
        <f>+K51-75</f>
        <v>10775</v>
      </c>
      <c r="O112" s="226">
        <f t="shared" ref="O112" si="24">+J112-M112</f>
        <v>9768.8123300090665</v>
      </c>
      <c r="P112" s="227">
        <f t="shared" ref="P112" si="25">+K112-N112</f>
        <v>10775</v>
      </c>
    </row>
    <row r="113" spans="1:16" s="256" customFormat="1">
      <c r="A113" s="282" t="s">
        <v>497</v>
      </c>
      <c r="B113" s="254" t="s">
        <v>51</v>
      </c>
      <c r="C113" s="280" t="s">
        <v>55</v>
      </c>
      <c r="D113" s="257" t="s">
        <v>492</v>
      </c>
      <c r="E113" s="99" t="str">
        <f t="shared" si="22"/>
        <v>WR-1012B-16-22</v>
      </c>
      <c r="F113" s="254"/>
      <c r="G113" s="253" t="s">
        <v>493</v>
      </c>
      <c r="H113" s="254"/>
      <c r="I113" s="100" t="s">
        <v>494</v>
      </c>
      <c r="J113" s="160">
        <f t="shared" si="21"/>
        <v>9859.4741613780607</v>
      </c>
      <c r="K113" s="169">
        <f>+K51+25</f>
        <v>10875</v>
      </c>
      <c r="O113" s="268"/>
      <c r="P113" s="269"/>
    </row>
    <row r="114" spans="1:16" s="256" customFormat="1">
      <c r="A114" s="253" t="s">
        <v>498</v>
      </c>
      <c r="B114" s="254" t="s">
        <v>51</v>
      </c>
      <c r="C114" s="281" t="s">
        <v>495</v>
      </c>
      <c r="D114" s="263" t="s">
        <v>320</v>
      </c>
      <c r="E114" s="99" t="str">
        <f t="shared" si="22"/>
        <v>WR-CHQ 22A-ALL</v>
      </c>
      <c r="F114" s="254"/>
      <c r="G114" s="253" t="s">
        <v>509</v>
      </c>
      <c r="H114" s="254"/>
      <c r="I114" s="100" t="s">
        <v>496</v>
      </c>
      <c r="J114" s="160">
        <f t="shared" si="21"/>
        <v>8159.5648232094291</v>
      </c>
      <c r="K114" s="169">
        <f>+K99+150</f>
        <v>9000</v>
      </c>
      <c r="O114" s="268"/>
      <c r="P114" s="269"/>
    </row>
    <row r="115" spans="1:16" s="152" customFormat="1">
      <c r="A115" s="153"/>
      <c r="B115" s="148" t="s">
        <v>51</v>
      </c>
      <c r="C115" s="149">
        <v>1006</v>
      </c>
      <c r="D115" s="150" t="s">
        <v>446</v>
      </c>
      <c r="E115" s="151" t="s">
        <v>499</v>
      </c>
      <c r="F115" s="148"/>
      <c r="G115" s="146" t="s">
        <v>499</v>
      </c>
      <c r="I115" s="171" t="s">
        <v>433</v>
      </c>
      <c r="J115" s="160">
        <f t="shared" si="21"/>
        <v>9927.4705349048054</v>
      </c>
      <c r="K115" s="101">
        <f>+K106+50</f>
        <v>10950</v>
      </c>
      <c r="O115" s="157">
        <f t="shared" ref="O115:O117" si="26">+J115-M115</f>
        <v>9927.4705349048054</v>
      </c>
      <c r="P115" s="158">
        <f t="shared" ref="P115:P117" si="27">+K115-N115</f>
        <v>10950</v>
      </c>
    </row>
    <row r="116" spans="1:16" s="152" customFormat="1">
      <c r="A116" s="153"/>
      <c r="B116" s="148" t="s">
        <v>51</v>
      </c>
      <c r="C116" s="149">
        <v>1008</v>
      </c>
      <c r="D116" s="150">
        <v>14.17</v>
      </c>
      <c r="E116" s="151" t="s">
        <v>500</v>
      </c>
      <c r="F116" s="148"/>
      <c r="G116" s="146" t="s">
        <v>500</v>
      </c>
      <c r="I116" s="171" t="s">
        <v>435</v>
      </c>
      <c r="J116" s="160">
        <f t="shared" si="21"/>
        <v>10108.794197642792</v>
      </c>
      <c r="K116" s="101">
        <f>+K107+50</f>
        <v>11150</v>
      </c>
      <c r="O116" s="157">
        <f t="shared" si="26"/>
        <v>10108.794197642792</v>
      </c>
      <c r="P116" s="158">
        <f t="shared" si="27"/>
        <v>11150</v>
      </c>
    </row>
    <row r="117" spans="1:16" s="147" customFormat="1">
      <c r="A117" s="188"/>
      <c r="B117" s="193" t="s">
        <v>51</v>
      </c>
      <c r="C117" s="196">
        <v>1012</v>
      </c>
      <c r="D117" s="197" t="s">
        <v>446</v>
      </c>
      <c r="E117" s="198" t="s">
        <v>501</v>
      </c>
      <c r="F117" s="193"/>
      <c r="G117" s="146" t="s">
        <v>501</v>
      </c>
      <c r="I117" s="194" t="s">
        <v>432</v>
      </c>
      <c r="J117" s="163">
        <f t="shared" si="21"/>
        <v>9927.4705349048054</v>
      </c>
      <c r="K117" s="195">
        <f>+K108+50</f>
        <v>10950</v>
      </c>
      <c r="O117" s="157">
        <f t="shared" si="26"/>
        <v>9927.4705349048054</v>
      </c>
      <c r="P117" s="158">
        <f t="shared" si="27"/>
        <v>10950</v>
      </c>
    </row>
    <row r="118" spans="1:16">
      <c r="A118" s="102"/>
      <c r="B118" s="7"/>
      <c r="C118" s="103"/>
      <c r="D118" s="104"/>
      <c r="E118" s="105"/>
      <c r="F118" s="106"/>
      <c r="G118" s="116"/>
      <c r="H118" s="79"/>
      <c r="I118" s="172"/>
      <c r="J118" s="166"/>
      <c r="K118" s="107"/>
    </row>
    <row r="119" spans="1:16">
      <c r="A119" s="102"/>
      <c r="B119" s="7"/>
      <c r="C119" s="103"/>
      <c r="D119" s="104"/>
      <c r="E119" s="105"/>
      <c r="F119" s="106"/>
      <c r="G119" s="116"/>
      <c r="H119" s="79"/>
      <c r="I119" s="172"/>
      <c r="J119" s="166"/>
      <c r="K119" s="107"/>
    </row>
    <row r="120" spans="1:16">
      <c r="I120" s="171" t="s">
        <v>417</v>
      </c>
      <c r="J120" s="160">
        <f>+J1</f>
        <v>14070</v>
      </c>
      <c r="K120" s="168">
        <f>+J1</f>
        <v>14070</v>
      </c>
    </row>
    <row r="121" spans="1:16">
      <c r="A121" s="110" t="s">
        <v>416</v>
      </c>
      <c r="B121" s="110"/>
      <c r="C121" s="110"/>
      <c r="I121" s="173"/>
      <c r="J121" s="167"/>
    </row>
    <row r="122" spans="1:16">
      <c r="A122" s="72" t="s">
        <v>104</v>
      </c>
      <c r="B122" s="46" t="s">
        <v>334</v>
      </c>
      <c r="C122" s="50" t="s">
        <v>335</v>
      </c>
      <c r="D122" s="51">
        <v>6</v>
      </c>
      <c r="E122" s="45" t="str">
        <f t="shared" ref="E122:E130" si="28">CONCATENATE(B122,"-",C122,"-",D122)</f>
        <v>DC-SD 390-6</v>
      </c>
      <c r="F122" s="46">
        <f t="shared" ref="F122:F130" si="29">LEN(E122)</f>
        <v>11</v>
      </c>
      <c r="G122" s="116" t="s">
        <v>226</v>
      </c>
      <c r="I122" s="100" t="s">
        <v>392</v>
      </c>
      <c r="J122" s="160">
        <f>+K122/1.103</f>
        <v>9814.1432456935636</v>
      </c>
      <c r="K122" s="73">
        <f>K25-(25*K120/K120)</f>
        <v>10825</v>
      </c>
      <c r="O122" s="157">
        <f t="shared" ref="O122:O130" si="30">+J122-M122</f>
        <v>9814.1432456935636</v>
      </c>
      <c r="P122" s="158">
        <f t="shared" ref="P122:P130" si="31">+K122-N122</f>
        <v>10825</v>
      </c>
    </row>
    <row r="123" spans="1:16">
      <c r="A123" s="72" t="s">
        <v>105</v>
      </c>
      <c r="B123" s="46" t="s">
        <v>334</v>
      </c>
      <c r="C123" s="50" t="s">
        <v>335</v>
      </c>
      <c r="D123" s="51">
        <v>8</v>
      </c>
      <c r="E123" s="45" t="str">
        <f t="shared" si="28"/>
        <v>DC-SD 390-8</v>
      </c>
      <c r="F123" s="46">
        <f t="shared" si="29"/>
        <v>11</v>
      </c>
      <c r="G123" s="116" t="s">
        <v>227</v>
      </c>
      <c r="I123" s="100" t="str">
        <f>+I122</f>
        <v>Base8-$25</v>
      </c>
      <c r="J123" s="160">
        <f t="shared" ref="J123:J133" si="32">+K123/1.103</f>
        <v>9814.1432456935636</v>
      </c>
      <c r="K123" s="73">
        <f>+K122</f>
        <v>10825</v>
      </c>
      <c r="O123" s="157">
        <f t="shared" si="30"/>
        <v>9814.1432456935636</v>
      </c>
      <c r="P123" s="158">
        <f t="shared" si="31"/>
        <v>10825</v>
      </c>
    </row>
    <row r="124" spans="1:16">
      <c r="A124" s="72" t="s">
        <v>106</v>
      </c>
      <c r="B124" s="46" t="s">
        <v>334</v>
      </c>
      <c r="C124" s="50" t="s">
        <v>335</v>
      </c>
      <c r="D124" s="51">
        <v>10</v>
      </c>
      <c r="E124" s="45" t="str">
        <f t="shared" si="28"/>
        <v>DC-SD 390-10</v>
      </c>
      <c r="F124" s="46">
        <f t="shared" si="29"/>
        <v>12</v>
      </c>
      <c r="G124" s="116" t="s">
        <v>228</v>
      </c>
      <c r="I124" s="100" t="str">
        <f>+I122</f>
        <v>Base8-$25</v>
      </c>
      <c r="J124" s="160">
        <f t="shared" si="32"/>
        <v>9814.1432456935636</v>
      </c>
      <c r="K124" s="73">
        <f>+K122</f>
        <v>10825</v>
      </c>
      <c r="O124" s="157">
        <f t="shared" si="30"/>
        <v>9814.1432456935636</v>
      </c>
      <c r="P124" s="158">
        <f t="shared" si="31"/>
        <v>10825</v>
      </c>
    </row>
    <row r="125" spans="1:16">
      <c r="A125" s="72" t="s">
        <v>107</v>
      </c>
      <c r="B125" s="46" t="s">
        <v>334</v>
      </c>
      <c r="C125" s="50" t="s">
        <v>335</v>
      </c>
      <c r="D125" s="51">
        <v>12</v>
      </c>
      <c r="E125" s="45" t="str">
        <f t="shared" si="28"/>
        <v>DC-SD 390-12</v>
      </c>
      <c r="F125" s="46">
        <f t="shared" si="29"/>
        <v>12</v>
      </c>
      <c r="G125" s="116" t="s">
        <v>229</v>
      </c>
      <c r="I125" s="100" t="str">
        <f>+I122</f>
        <v>Base8-$25</v>
      </c>
      <c r="J125" s="160">
        <f t="shared" si="32"/>
        <v>9814.1432456935636</v>
      </c>
      <c r="K125" s="73">
        <f>+K122</f>
        <v>10825</v>
      </c>
      <c r="O125" s="157">
        <f t="shared" si="30"/>
        <v>9814.1432456935636</v>
      </c>
      <c r="P125" s="158">
        <f t="shared" si="31"/>
        <v>10825</v>
      </c>
    </row>
    <row r="126" spans="1:16">
      <c r="A126" s="72" t="s">
        <v>108</v>
      </c>
      <c r="B126" s="46" t="s">
        <v>334</v>
      </c>
      <c r="C126" s="53" t="s">
        <v>337</v>
      </c>
      <c r="D126" s="48" t="s">
        <v>320</v>
      </c>
      <c r="E126" s="45" t="str">
        <f t="shared" si="28"/>
        <v>DC-500N/MPA-ALL</v>
      </c>
      <c r="F126" s="46">
        <f t="shared" si="29"/>
        <v>15</v>
      </c>
      <c r="G126" s="116" t="s">
        <v>230</v>
      </c>
      <c r="I126" s="100" t="s">
        <v>412</v>
      </c>
      <c r="J126" s="160">
        <f t="shared" si="32"/>
        <v>5347.4614687216681</v>
      </c>
      <c r="K126" s="101">
        <f>K20-(25*K120/1000)</f>
        <v>5898.25</v>
      </c>
      <c r="O126" s="157">
        <f t="shared" si="30"/>
        <v>5347.4614687216681</v>
      </c>
      <c r="P126" s="158">
        <f t="shared" si="31"/>
        <v>5898.25</v>
      </c>
    </row>
    <row r="127" spans="1:16">
      <c r="A127" s="72" t="s">
        <v>109</v>
      </c>
      <c r="B127" s="46" t="s">
        <v>334</v>
      </c>
      <c r="C127" s="50" t="s">
        <v>338</v>
      </c>
      <c r="D127" s="48" t="s">
        <v>320</v>
      </c>
      <c r="E127" s="45" t="str">
        <f t="shared" si="28"/>
        <v>DC-300E-ALL</v>
      </c>
      <c r="F127" s="46">
        <f t="shared" si="29"/>
        <v>11</v>
      </c>
      <c r="G127" s="116" t="s">
        <v>231</v>
      </c>
      <c r="I127" s="100" t="s">
        <v>413</v>
      </c>
      <c r="J127" s="160">
        <f t="shared" si="32"/>
        <v>4368.3136899365372</v>
      </c>
      <c r="K127" s="101">
        <f>K21-(25*K120/1000)</f>
        <v>4818.25</v>
      </c>
      <c r="O127" s="157">
        <f t="shared" si="30"/>
        <v>4368.3136899365372</v>
      </c>
      <c r="P127" s="158">
        <f t="shared" si="31"/>
        <v>4818.25</v>
      </c>
    </row>
    <row r="128" spans="1:16">
      <c r="A128" s="72" t="s">
        <v>110</v>
      </c>
      <c r="B128" s="46" t="s">
        <v>334</v>
      </c>
      <c r="C128" s="50" t="s">
        <v>339</v>
      </c>
      <c r="D128" s="48" t="s">
        <v>320</v>
      </c>
      <c r="E128" s="45" t="str">
        <f t="shared" si="28"/>
        <v>DC-SD 490-ALL</v>
      </c>
      <c r="F128" s="46">
        <f t="shared" si="29"/>
        <v>13</v>
      </c>
      <c r="G128" s="116" t="s">
        <v>232</v>
      </c>
      <c r="I128" s="100" t="s">
        <v>414</v>
      </c>
      <c r="J128" s="160">
        <f t="shared" si="32"/>
        <v>4413.6446056210334</v>
      </c>
      <c r="K128" s="101">
        <f>K22-(25*K120/1000)</f>
        <v>4868.25</v>
      </c>
      <c r="O128" s="157">
        <f t="shared" si="30"/>
        <v>4413.6446056210334</v>
      </c>
      <c r="P128" s="158">
        <f t="shared" si="31"/>
        <v>4868.25</v>
      </c>
    </row>
    <row r="129" spans="1:16">
      <c r="A129" s="72" t="s">
        <v>111</v>
      </c>
      <c r="B129" s="46" t="s">
        <v>334</v>
      </c>
      <c r="C129" s="50" t="s">
        <v>340</v>
      </c>
      <c r="D129" s="48" t="s">
        <v>320</v>
      </c>
      <c r="E129" s="45" t="str">
        <f t="shared" si="28"/>
        <v>DC-Grade 40-ALL</v>
      </c>
      <c r="F129" s="46">
        <f t="shared" si="29"/>
        <v>15</v>
      </c>
      <c r="G129" s="116" t="s">
        <v>233</v>
      </c>
      <c r="I129" s="100" t="s">
        <v>415</v>
      </c>
      <c r="J129" s="160">
        <f t="shared" si="32"/>
        <v>4458.9755213055305</v>
      </c>
      <c r="K129" s="73">
        <f>K23-(25*K120/1000)</f>
        <v>4918.25</v>
      </c>
      <c r="O129" s="157">
        <f t="shared" si="30"/>
        <v>4458.9755213055305</v>
      </c>
      <c r="P129" s="158">
        <f t="shared" si="31"/>
        <v>4918.25</v>
      </c>
    </row>
    <row r="130" spans="1:16">
      <c r="A130" s="72" t="s">
        <v>112</v>
      </c>
      <c r="B130" s="46" t="s">
        <v>334</v>
      </c>
      <c r="C130" s="50" t="s">
        <v>341</v>
      </c>
      <c r="D130" s="48" t="s">
        <v>320</v>
      </c>
      <c r="E130" s="45" t="str">
        <f t="shared" si="28"/>
        <v>DC-Grade 60-ALL</v>
      </c>
      <c r="F130" s="46">
        <f t="shared" si="29"/>
        <v>15</v>
      </c>
      <c r="G130" s="116" t="s">
        <v>234</v>
      </c>
      <c r="I130" s="100" t="s">
        <v>414</v>
      </c>
      <c r="J130" s="160">
        <f t="shared" si="32"/>
        <v>4368.3136899365372</v>
      </c>
      <c r="K130" s="73">
        <f>K24-(25*K120/1000)</f>
        <v>4818.25</v>
      </c>
      <c r="O130" s="157">
        <f t="shared" si="30"/>
        <v>4368.3136899365372</v>
      </c>
      <c r="P130" s="158">
        <f t="shared" si="31"/>
        <v>4818.25</v>
      </c>
    </row>
    <row r="131" spans="1:16" ht="12" customHeight="1">
      <c r="A131" s="72" t="s">
        <v>62</v>
      </c>
      <c r="B131" s="46" t="s">
        <v>51</v>
      </c>
      <c r="C131" s="52">
        <v>1005</v>
      </c>
      <c r="D131" s="48" t="s">
        <v>52</v>
      </c>
      <c r="E131" s="45" t="str">
        <f t="shared" ref="E131:E147" si="33">CONCATENATE(B131,"-",C131,"-",D131)</f>
        <v>WR-1005-All</v>
      </c>
      <c r="F131" s="46">
        <f t="shared" ref="F131:F147" si="34">LEN(E131)</f>
        <v>11</v>
      </c>
      <c r="G131" s="116" t="s">
        <v>185</v>
      </c>
      <c r="I131" s="100" t="s">
        <v>380</v>
      </c>
      <c r="J131" s="160">
        <f t="shared" si="32"/>
        <v>9789.8912058023579</v>
      </c>
      <c r="K131" s="73">
        <f>+(K58)-(25*K120/1000)</f>
        <v>10798.25</v>
      </c>
      <c r="O131" s="157">
        <f t="shared" ref="O131:P159" si="35">+J131-M131</f>
        <v>9789.8912058023579</v>
      </c>
      <c r="P131" s="158">
        <f t="shared" ref="P131:P158" si="36">+K131-N131</f>
        <v>10798.25</v>
      </c>
    </row>
    <row r="132" spans="1:16">
      <c r="A132" s="72" t="s">
        <v>63</v>
      </c>
      <c r="B132" s="75" t="s">
        <v>51</v>
      </c>
      <c r="C132" s="76">
        <v>1006</v>
      </c>
      <c r="D132" s="77" t="s">
        <v>296</v>
      </c>
      <c r="E132" s="78" t="str">
        <f t="shared" si="33"/>
        <v>WR-1006-5.5-5.8</v>
      </c>
      <c r="F132" s="75">
        <f t="shared" si="34"/>
        <v>15</v>
      </c>
      <c r="G132" s="116" t="s">
        <v>186</v>
      </c>
      <c r="I132" s="100" t="s">
        <v>381</v>
      </c>
      <c r="J132" s="160">
        <f t="shared" si="32"/>
        <v>9517.9057116953772</v>
      </c>
      <c r="K132" s="73">
        <f>+(K59)-(25*K120/1000)</f>
        <v>10498.25</v>
      </c>
      <c r="O132" s="157">
        <f t="shared" si="35"/>
        <v>9517.9057116953772</v>
      </c>
      <c r="P132" s="158">
        <f t="shared" si="36"/>
        <v>10498.25</v>
      </c>
    </row>
    <row r="133" spans="1:16">
      <c r="A133" s="72" t="s">
        <v>64</v>
      </c>
      <c r="B133" s="75" t="s">
        <v>51</v>
      </c>
      <c r="C133" s="76">
        <v>1006</v>
      </c>
      <c r="D133" s="81" t="s">
        <v>297</v>
      </c>
      <c r="E133" s="78" t="str">
        <f t="shared" si="33"/>
        <v>WR-1006-6.0 - 17</v>
      </c>
      <c r="F133" s="75">
        <f t="shared" si="34"/>
        <v>16</v>
      </c>
      <c r="G133" s="116" t="s">
        <v>187</v>
      </c>
      <c r="I133" s="100" t="s">
        <v>382</v>
      </c>
      <c r="J133" s="160">
        <f t="shared" si="32"/>
        <v>9517.9057116953772</v>
      </c>
      <c r="K133" s="73">
        <f>+(K60)-(25*K120/1000)</f>
        <v>10498.25</v>
      </c>
      <c r="O133" s="157">
        <f t="shared" si="35"/>
        <v>9517.9057116953772</v>
      </c>
      <c r="P133" s="158">
        <f t="shared" si="36"/>
        <v>10498.25</v>
      </c>
    </row>
    <row r="134" spans="1:16">
      <c r="A134" s="72" t="s">
        <v>65</v>
      </c>
      <c r="B134" s="75" t="s">
        <v>51</v>
      </c>
      <c r="C134" s="76" t="s">
        <v>298</v>
      </c>
      <c r="D134" s="77" t="s">
        <v>299</v>
      </c>
      <c r="E134" s="78" t="str">
        <f t="shared" si="33"/>
        <v>WR-1008 All size-all</v>
      </c>
      <c r="F134" s="75">
        <f t="shared" si="34"/>
        <v>20</v>
      </c>
      <c r="G134" s="116" t="s">
        <v>188</v>
      </c>
      <c r="I134" s="100" t="str">
        <f>+I135</f>
        <v>Base2-$25</v>
      </c>
      <c r="J134" s="160">
        <f t="shared" ref="J134:J147" si="37">+K134/1.103</f>
        <v>9699.2293744333638</v>
      </c>
      <c r="K134" s="73">
        <f>+(K61)-(25*K120/1000)</f>
        <v>10698.25</v>
      </c>
      <c r="O134" s="157">
        <f t="shared" si="35"/>
        <v>9699.2293744333638</v>
      </c>
      <c r="P134" s="158">
        <f t="shared" si="36"/>
        <v>10698.25</v>
      </c>
    </row>
    <row r="135" spans="1:16">
      <c r="A135" s="72" t="s">
        <v>66</v>
      </c>
      <c r="B135" s="46" t="s">
        <v>51</v>
      </c>
      <c r="C135" s="47">
        <v>1008</v>
      </c>
      <c r="D135" s="48" t="s">
        <v>296</v>
      </c>
      <c r="E135" s="45" t="str">
        <f t="shared" si="33"/>
        <v>WR-1008-5.5-5.8</v>
      </c>
      <c r="F135" s="46">
        <f t="shared" si="34"/>
        <v>15</v>
      </c>
      <c r="G135" s="116" t="s">
        <v>189</v>
      </c>
      <c r="I135" s="100" t="s">
        <v>383</v>
      </c>
      <c r="J135" s="160">
        <f t="shared" si="37"/>
        <v>9699.2293744333638</v>
      </c>
      <c r="K135" s="73">
        <f>+(K62)-(25*K120/1000)</f>
        <v>10698.25</v>
      </c>
      <c r="O135" s="157">
        <f t="shared" si="35"/>
        <v>9699.2293744333638</v>
      </c>
      <c r="P135" s="158">
        <f t="shared" si="36"/>
        <v>10698.25</v>
      </c>
    </row>
    <row r="136" spans="1:16">
      <c r="A136" s="72" t="s">
        <v>67</v>
      </c>
      <c r="B136" s="75" t="s">
        <v>51</v>
      </c>
      <c r="C136" s="76">
        <v>1008</v>
      </c>
      <c r="D136" s="81" t="s">
        <v>297</v>
      </c>
      <c r="E136" s="78" t="str">
        <f t="shared" si="33"/>
        <v>WR-1008-6.0 - 17</v>
      </c>
      <c r="F136" s="75">
        <f t="shared" si="34"/>
        <v>16</v>
      </c>
      <c r="G136" s="116" t="s">
        <v>190</v>
      </c>
      <c r="I136" s="100" t="s">
        <v>384</v>
      </c>
      <c r="J136" s="160">
        <f t="shared" si="37"/>
        <v>9699.2293744333638</v>
      </c>
      <c r="K136" s="73">
        <f>+(K63)-(25*K120/1000)</f>
        <v>10698.25</v>
      </c>
      <c r="O136" s="157">
        <f t="shared" si="35"/>
        <v>9699.2293744333638</v>
      </c>
      <c r="P136" s="158">
        <f t="shared" si="36"/>
        <v>10698.25</v>
      </c>
    </row>
    <row r="137" spans="1:16">
      <c r="A137" s="72" t="s">
        <v>68</v>
      </c>
      <c r="B137" s="46" t="s">
        <v>51</v>
      </c>
      <c r="C137" s="49" t="s">
        <v>300</v>
      </c>
      <c r="D137" s="48" t="s">
        <v>52</v>
      </c>
      <c r="E137" s="45" t="str">
        <f t="shared" si="33"/>
        <v>WR-1017/SWRM17-All</v>
      </c>
      <c r="F137" s="46">
        <f t="shared" si="34"/>
        <v>18</v>
      </c>
      <c r="G137" s="116" t="s">
        <v>191</v>
      </c>
      <c r="I137" s="100" t="s">
        <v>385</v>
      </c>
      <c r="J137" s="160">
        <f t="shared" si="37"/>
        <v>9699.2293744333638</v>
      </c>
      <c r="K137" s="73">
        <f>+(K64)-(25*K120/1000)</f>
        <v>10698.25</v>
      </c>
      <c r="O137" s="157">
        <f t="shared" si="35"/>
        <v>9699.2293744333638</v>
      </c>
      <c r="P137" s="158">
        <f t="shared" si="36"/>
        <v>10698.25</v>
      </c>
    </row>
    <row r="138" spans="1:16">
      <c r="A138" s="72" t="s">
        <v>69</v>
      </c>
      <c r="B138" s="46" t="s">
        <v>51</v>
      </c>
      <c r="C138" s="49">
        <v>1018</v>
      </c>
      <c r="D138" s="48" t="s">
        <v>52</v>
      </c>
      <c r="E138" s="45" t="str">
        <f t="shared" si="33"/>
        <v>WR-1018-All</v>
      </c>
      <c r="F138" s="46">
        <f t="shared" si="34"/>
        <v>11</v>
      </c>
      <c r="G138" s="116" t="s">
        <v>192</v>
      </c>
      <c r="I138" s="100" t="str">
        <f>+I137</f>
        <v>Base2+25-$25</v>
      </c>
      <c r="J138" s="160">
        <f t="shared" si="37"/>
        <v>9517.9057116953772</v>
      </c>
      <c r="K138" s="73">
        <f>+(K65)-(25*K120/1000)</f>
        <v>10498.25</v>
      </c>
      <c r="O138" s="157">
        <f t="shared" si="35"/>
        <v>9517.9057116953772</v>
      </c>
      <c r="P138" s="158">
        <f t="shared" si="36"/>
        <v>10498.25</v>
      </c>
    </row>
    <row r="139" spans="1:16">
      <c r="A139" s="72" t="s">
        <v>70</v>
      </c>
      <c r="B139" s="75" t="s">
        <v>51</v>
      </c>
      <c r="C139" s="76" t="s">
        <v>302</v>
      </c>
      <c r="D139" s="77">
        <v>5.0999999999999996</v>
      </c>
      <c r="E139" s="78" t="str">
        <f t="shared" si="33"/>
        <v>WR-1010/12/15-5.1</v>
      </c>
      <c r="F139" s="46">
        <f t="shared" si="34"/>
        <v>17</v>
      </c>
      <c r="G139" s="116" t="s">
        <v>193</v>
      </c>
      <c r="I139" s="100" t="s">
        <v>386</v>
      </c>
      <c r="J139" s="160">
        <f t="shared" si="37"/>
        <v>9517.9057116953772</v>
      </c>
      <c r="K139" s="73">
        <f>+K66-(25*K120/1000)</f>
        <v>10498.25</v>
      </c>
      <c r="O139" s="157">
        <f t="shared" si="35"/>
        <v>9517.9057116953772</v>
      </c>
      <c r="P139" s="158">
        <f t="shared" si="36"/>
        <v>10498.25</v>
      </c>
    </row>
    <row r="140" spans="1:16">
      <c r="A140" s="72" t="s">
        <v>71</v>
      </c>
      <c r="B140" s="75" t="s">
        <v>51</v>
      </c>
      <c r="C140" s="76" t="s">
        <v>302</v>
      </c>
      <c r="D140" s="77">
        <v>5.5</v>
      </c>
      <c r="E140" s="78" t="str">
        <f t="shared" si="33"/>
        <v>WR-1010/12/15-5.5</v>
      </c>
      <c r="F140" s="46">
        <f>LEN(E140)</f>
        <v>17</v>
      </c>
      <c r="G140" s="116" t="s">
        <v>194</v>
      </c>
      <c r="I140" s="100" t="s">
        <v>387</v>
      </c>
      <c r="J140" s="160">
        <f t="shared" si="37"/>
        <v>9517.9057116953772</v>
      </c>
      <c r="K140" s="73">
        <f>+K67-(25*K120/1000)</f>
        <v>10498.25</v>
      </c>
      <c r="O140" s="157">
        <f t="shared" si="35"/>
        <v>9517.9057116953772</v>
      </c>
      <c r="P140" s="158">
        <f t="shared" si="36"/>
        <v>10498.25</v>
      </c>
    </row>
    <row r="141" spans="1:16">
      <c r="A141" s="72" t="s">
        <v>72</v>
      </c>
      <c r="B141" s="75" t="s">
        <v>51</v>
      </c>
      <c r="C141" s="76" t="s">
        <v>302</v>
      </c>
      <c r="D141" s="77">
        <v>5.4</v>
      </c>
      <c r="E141" s="78" t="str">
        <f t="shared" si="33"/>
        <v>WR-1010/12/15-5.4</v>
      </c>
      <c r="F141" s="46">
        <f t="shared" si="34"/>
        <v>17</v>
      </c>
      <c r="G141" s="116" t="s">
        <v>195</v>
      </c>
      <c r="I141" s="100" t="str">
        <f>+I140</f>
        <v>Base3-$25</v>
      </c>
      <c r="J141" s="160">
        <f t="shared" si="37"/>
        <v>9517.9057116953772</v>
      </c>
      <c r="K141" s="73">
        <f>+K68-(25*K120/1000)</f>
        <v>10498.25</v>
      </c>
      <c r="O141" s="157">
        <f t="shared" si="35"/>
        <v>9517.9057116953772</v>
      </c>
      <c r="P141" s="158">
        <f t="shared" si="36"/>
        <v>10498.25</v>
      </c>
    </row>
    <row r="142" spans="1:16">
      <c r="A142" s="72" t="s">
        <v>73</v>
      </c>
      <c r="B142" s="75" t="s">
        <v>51</v>
      </c>
      <c r="C142" s="76" t="s">
        <v>302</v>
      </c>
      <c r="D142" s="77">
        <v>5.65</v>
      </c>
      <c r="E142" s="78" t="str">
        <f t="shared" si="33"/>
        <v>WR-1010/12/15-5.65</v>
      </c>
      <c r="F142" s="46">
        <f t="shared" si="34"/>
        <v>18</v>
      </c>
      <c r="G142" s="116" t="s">
        <v>196</v>
      </c>
      <c r="I142" s="100" t="str">
        <f>+I141</f>
        <v>Base3-$25</v>
      </c>
      <c r="J142" s="160">
        <f t="shared" si="37"/>
        <v>9517.9057116953772</v>
      </c>
      <c r="K142" s="73">
        <f>+K69-(25*K120/1000)</f>
        <v>10498.25</v>
      </c>
      <c r="O142" s="157">
        <f t="shared" si="35"/>
        <v>9517.9057116953772</v>
      </c>
      <c r="P142" s="158">
        <f t="shared" si="36"/>
        <v>10498.25</v>
      </c>
    </row>
    <row r="143" spans="1:16">
      <c r="A143" s="72" t="s">
        <v>74</v>
      </c>
      <c r="B143" s="75" t="s">
        <v>51</v>
      </c>
      <c r="C143" s="76" t="s">
        <v>304</v>
      </c>
      <c r="D143" s="77" t="s">
        <v>305</v>
      </c>
      <c r="E143" s="78" t="str">
        <f t="shared" si="33"/>
        <v>WR-1010/2/5-5.8-6.2</v>
      </c>
      <c r="F143" s="46">
        <f t="shared" si="34"/>
        <v>19</v>
      </c>
      <c r="G143" s="116" t="s">
        <v>197</v>
      </c>
      <c r="I143" s="100" t="s">
        <v>388</v>
      </c>
      <c r="J143" s="160">
        <f t="shared" si="37"/>
        <v>9517.9057116953772</v>
      </c>
      <c r="K143" s="73">
        <f>+K70-(25*K120/1000)</f>
        <v>10498.25</v>
      </c>
      <c r="O143" s="157">
        <f t="shared" si="35"/>
        <v>9517.9057116953772</v>
      </c>
      <c r="P143" s="158">
        <f t="shared" si="36"/>
        <v>10498.25</v>
      </c>
    </row>
    <row r="144" spans="1:16">
      <c r="A144" s="72" t="s">
        <v>75</v>
      </c>
      <c r="B144" s="75" t="s">
        <v>51</v>
      </c>
      <c r="C144" s="76" t="s">
        <v>304</v>
      </c>
      <c r="D144" s="77" t="s">
        <v>306</v>
      </c>
      <c r="E144" s="78" t="str">
        <f t="shared" si="33"/>
        <v>WR-1010/2/5-6.4-7.2</v>
      </c>
      <c r="F144" s="46">
        <f t="shared" si="34"/>
        <v>19</v>
      </c>
      <c r="G144" s="116" t="s">
        <v>198</v>
      </c>
      <c r="I144" s="100" t="s">
        <v>389</v>
      </c>
      <c r="J144" s="160">
        <f t="shared" si="37"/>
        <v>9517.9057116953772</v>
      </c>
      <c r="K144" s="73">
        <f>+K71-(25*K120/1000)</f>
        <v>10498.25</v>
      </c>
      <c r="O144" s="157">
        <f t="shared" si="35"/>
        <v>9517.9057116953772</v>
      </c>
      <c r="P144" s="158">
        <f t="shared" si="36"/>
        <v>10498.25</v>
      </c>
    </row>
    <row r="145" spans="1:16">
      <c r="A145" s="72" t="s">
        <v>76</v>
      </c>
      <c r="B145" s="75" t="s">
        <v>51</v>
      </c>
      <c r="C145" s="76" t="s">
        <v>304</v>
      </c>
      <c r="D145" s="77" t="s">
        <v>307</v>
      </c>
      <c r="E145" s="78" t="str">
        <f t="shared" si="33"/>
        <v>WR-1010/2/5-7.4 - 17</v>
      </c>
      <c r="F145" s="46">
        <f t="shared" si="34"/>
        <v>20</v>
      </c>
      <c r="G145" s="116" t="s">
        <v>199</v>
      </c>
      <c r="I145" s="100" t="s">
        <v>390</v>
      </c>
      <c r="J145" s="160">
        <f t="shared" si="37"/>
        <v>9517.9057116953772</v>
      </c>
      <c r="K145" s="73">
        <f>+K72-(25*K120/1000)</f>
        <v>10498.25</v>
      </c>
      <c r="O145" s="157">
        <f t="shared" si="35"/>
        <v>9517.9057116953772</v>
      </c>
      <c r="P145" s="158">
        <f t="shared" si="36"/>
        <v>10498.25</v>
      </c>
    </row>
    <row r="146" spans="1:16">
      <c r="A146" s="72" t="s">
        <v>77</v>
      </c>
      <c r="B146" s="75" t="s">
        <v>51</v>
      </c>
      <c r="C146" s="76" t="s">
        <v>308</v>
      </c>
      <c r="D146" s="77" t="s">
        <v>299</v>
      </c>
      <c r="E146" s="78" t="str">
        <f t="shared" si="33"/>
        <v>WR-1012 All-all</v>
      </c>
      <c r="F146" s="46">
        <f t="shared" si="34"/>
        <v>15</v>
      </c>
      <c r="G146" s="116" t="s">
        <v>200</v>
      </c>
      <c r="I146" s="100" t="str">
        <f>+I141</f>
        <v>Base3-$25</v>
      </c>
      <c r="J146" s="160">
        <f t="shared" si="37"/>
        <v>9517.9057116953772</v>
      </c>
      <c r="K146" s="73">
        <f>+K73-(25*K120/1000)</f>
        <v>10498.25</v>
      </c>
      <c r="O146" s="157">
        <f t="shared" si="35"/>
        <v>9517.9057116953772</v>
      </c>
      <c r="P146" s="158">
        <f t="shared" si="36"/>
        <v>10498.25</v>
      </c>
    </row>
    <row r="147" spans="1:16">
      <c r="A147" s="72" t="s">
        <v>90</v>
      </c>
      <c r="B147" s="46" t="s">
        <v>51</v>
      </c>
      <c r="C147" s="49" t="s">
        <v>319</v>
      </c>
      <c r="D147" s="48" t="s">
        <v>320</v>
      </c>
      <c r="E147" s="45" t="str">
        <f t="shared" si="33"/>
        <v>WR-SWRY-11-ALL</v>
      </c>
      <c r="F147" s="46">
        <f t="shared" si="34"/>
        <v>14</v>
      </c>
      <c r="G147" s="116" t="s">
        <v>213</v>
      </c>
      <c r="I147" s="100" t="s">
        <v>391</v>
      </c>
      <c r="J147" s="160">
        <f t="shared" si="37"/>
        <v>10243.200362647325</v>
      </c>
      <c r="K147" s="73">
        <f>+K86-25/1000*K120</f>
        <v>11298.25</v>
      </c>
      <c r="O147" s="157">
        <f t="shared" si="35"/>
        <v>10243.200362647325</v>
      </c>
      <c r="P147" s="158">
        <f t="shared" si="36"/>
        <v>11298.25</v>
      </c>
    </row>
    <row r="148" spans="1:16">
      <c r="A148" s="72"/>
      <c r="B148" s="46"/>
      <c r="C148" s="47"/>
      <c r="D148" s="48"/>
      <c r="E148" s="45"/>
      <c r="F148" s="46"/>
      <c r="G148" s="116"/>
      <c r="I148" s="100"/>
      <c r="J148" s="160"/>
      <c r="K148" s="73"/>
      <c r="O148" s="157"/>
      <c r="P148" s="158"/>
    </row>
    <row r="149" spans="1:16">
      <c r="A149" s="231" t="s">
        <v>466</v>
      </c>
      <c r="B149" s="129"/>
      <c r="C149" s="130"/>
      <c r="D149" s="229"/>
      <c r="E149" s="131"/>
      <c r="F149" s="129"/>
      <c r="G149" s="116"/>
      <c r="I149" s="170"/>
      <c r="J149" s="164"/>
      <c r="K149" s="230"/>
      <c r="O149" s="157"/>
      <c r="P149" s="158"/>
    </row>
    <row r="150" spans="1:16" s="211" customFormat="1">
      <c r="A150" s="237" t="s">
        <v>467</v>
      </c>
      <c r="B150" s="206" t="s">
        <v>51</v>
      </c>
      <c r="C150" s="228" t="s">
        <v>55</v>
      </c>
      <c r="D150" s="208">
        <v>5.0999999999999996</v>
      </c>
      <c r="E150" s="209" t="str">
        <f t="shared" ref="E150:E158" si="38">CONCATENATE(B150,"-",C150,"-",D150)</f>
        <v>WR-1012B-5.1</v>
      </c>
      <c r="F150" s="206">
        <f>LEN(E150)</f>
        <v>12</v>
      </c>
      <c r="G150" s="210" t="s">
        <v>443</v>
      </c>
      <c r="I150" s="224" t="s">
        <v>487</v>
      </c>
      <c r="J150" s="222">
        <f>+K150/1.103</f>
        <v>9882.1396192203083</v>
      </c>
      <c r="K150" s="213">
        <f>+K152+25+25</f>
        <v>10900</v>
      </c>
      <c r="O150" s="226">
        <f t="shared" si="35"/>
        <v>9882.1396192203083</v>
      </c>
      <c r="P150" s="227">
        <f t="shared" si="36"/>
        <v>10900</v>
      </c>
    </row>
    <row r="151" spans="1:16" s="211" customFormat="1">
      <c r="A151" s="238" t="s">
        <v>468</v>
      </c>
      <c r="B151" s="219" t="s">
        <v>51</v>
      </c>
      <c r="C151" s="216" t="s">
        <v>55</v>
      </c>
      <c r="D151" s="217">
        <v>5.5</v>
      </c>
      <c r="E151" s="218" t="str">
        <f t="shared" si="38"/>
        <v>WR-1012B-5.5</v>
      </c>
      <c r="F151" s="219">
        <f t="shared" ref="F151:F158" si="39">LEN(E151)</f>
        <v>12</v>
      </c>
      <c r="G151" s="220" t="s">
        <v>180</v>
      </c>
      <c r="I151" s="224" t="s">
        <v>291</v>
      </c>
      <c r="J151" s="222">
        <f t="shared" ref="J151:J158" si="40">+K151/1.103</f>
        <v>9836.8087035358112</v>
      </c>
      <c r="K151" s="223">
        <f>+K152</f>
        <v>10850</v>
      </c>
      <c r="O151" s="226">
        <f t="shared" si="35"/>
        <v>9836.8087035358112</v>
      </c>
      <c r="P151" s="227">
        <f t="shared" si="36"/>
        <v>10850</v>
      </c>
    </row>
    <row r="152" spans="1:16" s="211" customFormat="1">
      <c r="A152" s="238" t="s">
        <v>469</v>
      </c>
      <c r="B152" s="219" t="s">
        <v>51</v>
      </c>
      <c r="C152" s="216" t="s">
        <v>55</v>
      </c>
      <c r="D152" s="217">
        <v>5.4</v>
      </c>
      <c r="E152" s="218" t="str">
        <f t="shared" si="38"/>
        <v>WR-1012B-5.4</v>
      </c>
      <c r="F152" s="219">
        <f t="shared" si="39"/>
        <v>12</v>
      </c>
      <c r="G152" s="220" t="s">
        <v>181</v>
      </c>
      <c r="I152" s="224" t="s">
        <v>291</v>
      </c>
      <c r="J152" s="222">
        <f t="shared" si="40"/>
        <v>9836.8087035358112</v>
      </c>
      <c r="K152" s="174">
        <f>+K25</f>
        <v>10850</v>
      </c>
      <c r="O152" s="226">
        <f t="shared" si="35"/>
        <v>9836.8087035358112</v>
      </c>
      <c r="P152" s="227">
        <f t="shared" si="36"/>
        <v>10850</v>
      </c>
    </row>
    <row r="153" spans="1:16" s="211" customFormat="1">
      <c r="A153" s="238" t="s">
        <v>471</v>
      </c>
      <c r="B153" s="219" t="s">
        <v>51</v>
      </c>
      <c r="C153" s="216" t="s">
        <v>55</v>
      </c>
      <c r="D153" s="217" t="s">
        <v>294</v>
      </c>
      <c r="E153" s="218" t="str">
        <f t="shared" si="38"/>
        <v>WR-1012B-5.65-5.8</v>
      </c>
      <c r="F153" s="219">
        <f t="shared" si="39"/>
        <v>17</v>
      </c>
      <c r="G153" s="210" t="s">
        <v>470</v>
      </c>
      <c r="I153" s="224" t="s">
        <v>441</v>
      </c>
      <c r="J153" s="222">
        <f t="shared" si="40"/>
        <v>9836.8087035358112</v>
      </c>
      <c r="K153" s="223">
        <f>+K152</f>
        <v>10850</v>
      </c>
      <c r="O153" s="226">
        <f t="shared" si="35"/>
        <v>9836.8087035358112</v>
      </c>
      <c r="P153" s="227">
        <f t="shared" si="36"/>
        <v>10850</v>
      </c>
    </row>
    <row r="154" spans="1:16" s="211" customFormat="1">
      <c r="A154" s="238" t="s">
        <v>472</v>
      </c>
      <c r="B154" s="219" t="s">
        <v>51</v>
      </c>
      <c r="C154" s="216" t="s">
        <v>55</v>
      </c>
      <c r="D154" s="225" t="s">
        <v>460</v>
      </c>
      <c r="E154" s="218" t="str">
        <f t="shared" si="38"/>
        <v>WR-1012B-6.0-6.8</v>
      </c>
      <c r="F154" s="219">
        <f t="shared" si="39"/>
        <v>16</v>
      </c>
      <c r="G154" s="210" t="s">
        <v>461</v>
      </c>
      <c r="I154" s="224" t="s">
        <v>293</v>
      </c>
      <c r="J154" s="222">
        <f t="shared" si="40"/>
        <v>9814.1432456935636</v>
      </c>
      <c r="K154" s="223">
        <f>+K152-25</f>
        <v>10825</v>
      </c>
      <c r="O154" s="226">
        <f t="shared" si="35"/>
        <v>9814.1432456935636</v>
      </c>
      <c r="P154" s="227">
        <f t="shared" si="36"/>
        <v>10825</v>
      </c>
    </row>
    <row r="155" spans="1:16" s="211" customFormat="1">
      <c r="A155" s="238" t="s">
        <v>473</v>
      </c>
      <c r="B155" s="219" t="s">
        <v>51</v>
      </c>
      <c r="C155" s="216" t="s">
        <v>55</v>
      </c>
      <c r="D155" s="217" t="s">
        <v>295</v>
      </c>
      <c r="E155" s="218" t="str">
        <f t="shared" si="38"/>
        <v>WR-1012B-7.2 - 17</v>
      </c>
      <c r="F155" s="219">
        <f t="shared" si="39"/>
        <v>17</v>
      </c>
      <c r="G155" s="220" t="s">
        <v>182</v>
      </c>
      <c r="I155" s="224" t="s">
        <v>442</v>
      </c>
      <c r="J155" s="222">
        <f t="shared" si="40"/>
        <v>9791.4777878513141</v>
      </c>
      <c r="K155" s="223">
        <f>+K152-50</f>
        <v>10800</v>
      </c>
      <c r="O155" s="226">
        <f t="shared" si="35"/>
        <v>9791.4777878513141</v>
      </c>
      <c r="P155" s="227">
        <f t="shared" si="36"/>
        <v>10800</v>
      </c>
    </row>
    <row r="156" spans="1:16" s="211" customFormat="1">
      <c r="A156" s="238" t="s">
        <v>474</v>
      </c>
      <c r="B156" s="219" t="s">
        <v>51</v>
      </c>
      <c r="C156" s="216" t="s">
        <v>55</v>
      </c>
      <c r="D156" s="217">
        <v>4.9000000000000004</v>
      </c>
      <c r="E156" s="218" t="str">
        <f t="shared" si="38"/>
        <v>WR-1012B-4.9</v>
      </c>
      <c r="F156" s="219">
        <f t="shared" si="39"/>
        <v>12</v>
      </c>
      <c r="G156" s="220" t="s">
        <v>183</v>
      </c>
      <c r="I156" s="224" t="s">
        <v>458</v>
      </c>
      <c r="J156" s="222">
        <f t="shared" si="40"/>
        <v>9904.8050770625559</v>
      </c>
      <c r="K156" s="223">
        <f>+K152+75-50+25+25</f>
        <v>10925</v>
      </c>
      <c r="O156" s="226">
        <f t="shared" si="35"/>
        <v>9904.8050770625559</v>
      </c>
      <c r="P156" s="227">
        <f t="shared" si="36"/>
        <v>10925</v>
      </c>
    </row>
    <row r="157" spans="1:16" s="211" customFormat="1">
      <c r="A157" s="238" t="s">
        <v>475</v>
      </c>
      <c r="B157" s="219" t="s">
        <v>51</v>
      </c>
      <c r="C157" s="216" t="s">
        <v>55</v>
      </c>
      <c r="D157" s="217">
        <v>4.7</v>
      </c>
      <c r="E157" s="218" t="str">
        <f t="shared" si="38"/>
        <v>WR-1012B-4.7</v>
      </c>
      <c r="F157" s="219">
        <f t="shared" si="39"/>
        <v>12</v>
      </c>
      <c r="G157" s="220" t="s">
        <v>184</v>
      </c>
      <c r="I157" s="224" t="s">
        <v>459</v>
      </c>
      <c r="J157" s="222">
        <f t="shared" si="40"/>
        <v>9972.8014505893025</v>
      </c>
      <c r="K157" s="223">
        <f>+K152+150-50+25+25</f>
        <v>11000</v>
      </c>
      <c r="O157" s="226">
        <f t="shared" si="35"/>
        <v>9972.8014505893025</v>
      </c>
      <c r="P157" s="227">
        <f t="shared" si="36"/>
        <v>11000</v>
      </c>
    </row>
    <row r="158" spans="1:16" s="211" customFormat="1">
      <c r="A158" s="236" t="s">
        <v>476</v>
      </c>
      <c r="B158" s="206" t="s">
        <v>51</v>
      </c>
      <c r="C158" s="207" t="s">
        <v>55</v>
      </c>
      <c r="D158" s="208">
        <v>7</v>
      </c>
      <c r="E158" s="209" t="str">
        <f t="shared" si="38"/>
        <v>WR-1012B-7</v>
      </c>
      <c r="F158" s="206">
        <f t="shared" si="39"/>
        <v>10</v>
      </c>
      <c r="G158" s="210" t="s">
        <v>462</v>
      </c>
      <c r="I158" s="249" t="s">
        <v>442</v>
      </c>
      <c r="J158" s="212">
        <f t="shared" si="40"/>
        <v>9791.4777878513141</v>
      </c>
      <c r="K158" s="213">
        <f>+K152-50</f>
        <v>10800</v>
      </c>
      <c r="O158" s="226">
        <f t="shared" si="35"/>
        <v>9791.4777878513141</v>
      </c>
      <c r="P158" s="227">
        <f t="shared" si="36"/>
        <v>10800</v>
      </c>
    </row>
    <row r="159" spans="1:16" s="147" customFormat="1">
      <c r="A159" s="153" t="s">
        <v>478</v>
      </c>
      <c r="B159" s="143" t="s">
        <v>51</v>
      </c>
      <c r="C159" s="144" t="s">
        <v>55</v>
      </c>
      <c r="D159" s="156">
        <v>4.2</v>
      </c>
      <c r="E159" s="145" t="s">
        <v>421</v>
      </c>
      <c r="F159" s="143"/>
      <c r="G159" s="155" t="s">
        <v>421</v>
      </c>
      <c r="I159" s="171" t="s">
        <v>439</v>
      </c>
      <c r="J159" s="160">
        <f t="shared" ref="J159:J160" si="41">+K159/1.103</f>
        <v>10176.790571169538</v>
      </c>
      <c r="K159" s="101">
        <f>+K152+400-50+25</f>
        <v>11225</v>
      </c>
      <c r="O159" s="157">
        <f t="shared" si="35"/>
        <v>10176.790571169538</v>
      </c>
      <c r="P159" s="158">
        <f t="shared" si="35"/>
        <v>11225</v>
      </c>
    </row>
    <row r="160" spans="1:16" s="147" customFormat="1">
      <c r="A160" s="153" t="s">
        <v>479</v>
      </c>
      <c r="B160" s="143" t="s">
        <v>51</v>
      </c>
      <c r="C160" s="144" t="s">
        <v>55</v>
      </c>
      <c r="D160" s="154">
        <v>4.5</v>
      </c>
      <c r="E160" s="145" t="s">
        <v>424</v>
      </c>
      <c r="F160" s="143"/>
      <c r="G160" s="155" t="s">
        <v>424</v>
      </c>
      <c r="I160" s="171" t="s">
        <v>440</v>
      </c>
      <c r="J160" s="160">
        <f t="shared" si="41"/>
        <v>10086.128739800544</v>
      </c>
      <c r="K160" s="101">
        <f>+K152+300-50+25</f>
        <v>11125</v>
      </c>
      <c r="O160" s="157">
        <f t="shared" ref="O160:P160" si="42">+J160-M160</f>
        <v>10086.128739800544</v>
      </c>
      <c r="P160" s="158">
        <f t="shared" si="42"/>
        <v>11125</v>
      </c>
    </row>
  </sheetData>
  <conditionalFormatting sqref="F4:F158">
    <cfRule type="cellIs" dxfId="13" priority="39" stopIfTrue="1" operator="lessThanOrEqual">
      <formula>20</formula>
    </cfRule>
    <cfRule type="cellIs" dxfId="12" priority="40" stopIfTrue="1" operator="greaterThan">
      <formula>20</formula>
    </cfRule>
  </conditionalFormatting>
  <conditionalFormatting sqref="F159:F160">
    <cfRule type="cellIs" dxfId="11" priority="11" stopIfTrue="1" operator="lessThanOrEqual">
      <formula>20</formula>
    </cfRule>
    <cfRule type="cellIs" dxfId="10" priority="12" stopIfTrue="1" operator="greaterThan">
      <formula>20</formula>
    </cfRule>
  </conditionalFormatting>
  <conditionalFormatting sqref="F159:F160">
    <cfRule type="cellIs" dxfId="9" priority="9" stopIfTrue="1" operator="lessThanOrEqual">
      <formula>20</formula>
    </cfRule>
    <cfRule type="cellIs" dxfId="8" priority="10" stopIfTrue="1" operator="greaterThan">
      <formula>20</formula>
    </cfRule>
  </conditionalFormatting>
  <conditionalFormatting sqref="F159:F160">
    <cfRule type="cellIs" dxfId="7" priority="7" stopIfTrue="1" operator="lessThanOrEqual">
      <formula>20</formula>
    </cfRule>
    <cfRule type="cellIs" dxfId="6" priority="8" stopIfTrue="1" operator="greaterThan">
      <formula>20</formula>
    </cfRule>
  </conditionalFormatting>
  <conditionalFormatting sqref="F100">
    <cfRule type="cellIs" dxfId="5" priority="3" stopIfTrue="1" operator="lessThanOrEqual">
      <formula>20</formula>
    </cfRule>
    <cfRule type="cellIs" dxfId="4" priority="4" stopIfTrue="1" operator="greaterThan">
      <formula>20</formula>
    </cfRule>
  </conditionalFormatting>
  <conditionalFormatting sqref="F100">
    <cfRule type="cellIs" dxfId="3" priority="1" stopIfTrue="1" operator="lessThanOrEqual">
      <formula>20</formula>
    </cfRule>
    <cfRule type="cellIs" dxfId="2" priority="2" stopIfTrue="1" operator="greaterThan">
      <formula>20</formula>
    </cfRule>
  </conditionalFormatting>
  <pageMargins left="0.5" right="0.25" top="0.5" bottom="0.25" header="0.5" footer="0.5"/>
  <pageSetup scale="70" fitToWidth="2" fitToHeight="2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A1:P172"/>
  <sheetViews>
    <sheetView tabSelected="1" view="pageBreakPreview" zoomScaleSheetLayoutView="100" workbookViewId="0">
      <pane xSplit="1" topLeftCell="G1" activePane="topRight" state="frozen"/>
      <selection activeCell="K118" sqref="K118"/>
      <selection pane="topRight" activeCell="J12" sqref="J12"/>
    </sheetView>
  </sheetViews>
  <sheetFormatPr defaultColWidth="9.140625" defaultRowHeight="12.75"/>
  <cols>
    <col min="1" max="1" width="10.42578125" style="256" customWidth="1"/>
    <col min="2" max="2" width="7.7109375" style="256" customWidth="1"/>
    <col min="3" max="3" width="15.7109375" style="256" customWidth="1"/>
    <col min="4" max="4" width="9.85546875" style="256" customWidth="1"/>
    <col min="5" max="5" width="24.7109375" style="256" customWidth="1"/>
    <col min="6" max="6" width="7.85546875" style="256" customWidth="1"/>
    <col min="7" max="7" width="19.7109375" style="256" customWidth="1"/>
    <col min="8" max="8" width="3.5703125" style="256" hidden="1" customWidth="1"/>
    <col min="9" max="9" width="16" style="173" customWidth="1"/>
    <col min="10" max="10" width="12" style="167" customWidth="1"/>
    <col min="11" max="11" width="12" style="302" customWidth="1"/>
    <col min="12" max="16384" width="9.140625" style="256"/>
  </cols>
  <sheetData>
    <row r="1" spans="1:11" ht="20.25" customHeight="1">
      <c r="J1" s="167">
        <v>14070</v>
      </c>
    </row>
    <row r="2" spans="1:11" s="308" customFormat="1" ht="39.75" customHeight="1">
      <c r="A2" s="264" t="s">
        <v>45</v>
      </c>
      <c r="B2" s="264" t="s">
        <v>46</v>
      </c>
      <c r="C2" s="303" t="s">
        <v>47</v>
      </c>
      <c r="D2" s="304" t="s">
        <v>48</v>
      </c>
      <c r="E2" s="305" t="s">
        <v>49</v>
      </c>
      <c r="F2" s="306" t="s">
        <v>19</v>
      </c>
      <c r="G2" s="307" t="s">
        <v>289</v>
      </c>
      <c r="I2" s="309" t="s">
        <v>290</v>
      </c>
      <c r="J2" s="310" t="s">
        <v>419</v>
      </c>
      <c r="K2" s="311" t="s">
        <v>419</v>
      </c>
    </row>
    <row r="3" spans="1:11" s="308" customFormat="1" ht="18" customHeight="1">
      <c r="A3" s="265"/>
      <c r="B3" s="265"/>
      <c r="C3" s="312"/>
      <c r="D3" s="313"/>
      <c r="E3" s="314"/>
      <c r="F3" s="315"/>
      <c r="G3" s="316"/>
      <c r="H3" s="317"/>
      <c r="I3" s="318"/>
      <c r="J3" s="319">
        <f>+J1</f>
        <v>14070</v>
      </c>
      <c r="K3" s="320">
        <f>+J1</f>
        <v>14070</v>
      </c>
    </row>
    <row r="4" spans="1:11">
      <c r="A4" s="279" t="s">
        <v>113</v>
      </c>
      <c r="B4" s="254" t="s">
        <v>342</v>
      </c>
      <c r="C4" s="321" t="s">
        <v>343</v>
      </c>
      <c r="D4" s="263" t="s">
        <v>320</v>
      </c>
      <c r="E4" s="99" t="str">
        <f t="shared" ref="E4:E33" si="0">CONCATENATE(B4,"-",C4,"-",D4)</f>
        <v>Billet-SS400-ALL</v>
      </c>
      <c r="F4" s="254">
        <f t="shared" ref="F4:F33" si="1">LEN(E4)</f>
        <v>16</v>
      </c>
      <c r="G4" s="322" t="s">
        <v>235</v>
      </c>
      <c r="I4" s="100" t="s">
        <v>344</v>
      </c>
      <c r="J4" s="160">
        <f>+K4/1.103</f>
        <v>4687.2166817769721</v>
      </c>
      <c r="K4" s="101">
        <v>5170</v>
      </c>
    </row>
    <row r="5" spans="1:11">
      <c r="A5" s="279" t="s">
        <v>114</v>
      </c>
      <c r="B5" s="254" t="s">
        <v>342</v>
      </c>
      <c r="C5" s="100" t="s">
        <v>345</v>
      </c>
      <c r="D5" s="263" t="s">
        <v>320</v>
      </c>
      <c r="E5" s="99" t="str">
        <f t="shared" si="0"/>
        <v>Billet-U24P/D-ALL</v>
      </c>
      <c r="F5" s="254">
        <f t="shared" si="1"/>
        <v>17</v>
      </c>
      <c r="G5" s="322" t="s">
        <v>236</v>
      </c>
      <c r="I5" s="100" t="str">
        <f>+I4</f>
        <v>Base9</v>
      </c>
      <c r="J5" s="160">
        <f>+K5/1.103</f>
        <v>4687.2166817769721</v>
      </c>
      <c r="K5" s="101">
        <f>+K4</f>
        <v>5170</v>
      </c>
    </row>
    <row r="6" spans="1:11">
      <c r="A6" s="279" t="s">
        <v>115</v>
      </c>
      <c r="B6" s="254" t="s">
        <v>342</v>
      </c>
      <c r="C6" s="321" t="s">
        <v>346</v>
      </c>
      <c r="D6" s="263" t="s">
        <v>320</v>
      </c>
      <c r="E6" s="99" t="str">
        <f t="shared" si="0"/>
        <v>Billet-BJKU-ALL</v>
      </c>
      <c r="F6" s="254">
        <f t="shared" si="1"/>
        <v>15</v>
      </c>
      <c r="G6" s="322" t="s">
        <v>237</v>
      </c>
      <c r="I6" s="100" t="str">
        <f>+I4</f>
        <v>Base9</v>
      </c>
      <c r="J6" s="160">
        <f t="shared" ref="J6:J33" si="2">+K6/1.103</f>
        <v>4687.2166817769721</v>
      </c>
      <c r="K6" s="101">
        <f>+K5</f>
        <v>5170</v>
      </c>
    </row>
    <row r="7" spans="1:11">
      <c r="A7" s="279" t="s">
        <v>116</v>
      </c>
      <c r="B7" s="254" t="s">
        <v>342</v>
      </c>
      <c r="C7" s="100" t="s">
        <v>347</v>
      </c>
      <c r="D7" s="263" t="s">
        <v>320</v>
      </c>
      <c r="E7" s="99" t="str">
        <f t="shared" si="0"/>
        <v>Billet-U40D/P-ALL</v>
      </c>
      <c r="F7" s="254">
        <f t="shared" si="1"/>
        <v>17</v>
      </c>
      <c r="G7" s="322" t="s">
        <v>238</v>
      </c>
      <c r="I7" s="100" t="s">
        <v>348</v>
      </c>
      <c r="J7" s="160">
        <f t="shared" si="2"/>
        <v>4687.2166817769721</v>
      </c>
      <c r="K7" s="101">
        <v>5170</v>
      </c>
    </row>
    <row r="8" spans="1:11">
      <c r="A8" s="279" t="s">
        <v>117</v>
      </c>
      <c r="B8" s="254" t="s">
        <v>342</v>
      </c>
      <c r="C8" s="321" t="s">
        <v>349</v>
      </c>
      <c r="D8" s="263" t="s">
        <v>320</v>
      </c>
      <c r="E8" s="99" t="str">
        <f t="shared" si="0"/>
        <v>Billet-GRADE 40-ALL</v>
      </c>
      <c r="F8" s="254">
        <f t="shared" si="1"/>
        <v>19</v>
      </c>
      <c r="G8" s="322" t="s">
        <v>239</v>
      </c>
      <c r="I8" s="100" t="str">
        <f>+I7</f>
        <v>Base10</v>
      </c>
      <c r="J8" s="160">
        <f t="shared" si="2"/>
        <v>4687.2166817769721</v>
      </c>
      <c r="K8" s="101">
        <f>K7</f>
        <v>5170</v>
      </c>
    </row>
    <row r="9" spans="1:11">
      <c r="A9" s="279" t="s">
        <v>118</v>
      </c>
      <c r="B9" s="254" t="s">
        <v>342</v>
      </c>
      <c r="C9" s="321" t="s">
        <v>350</v>
      </c>
      <c r="D9" s="263" t="s">
        <v>320</v>
      </c>
      <c r="E9" s="99" t="str">
        <f t="shared" si="0"/>
        <v>Billet-GRADE 60-ALL</v>
      </c>
      <c r="F9" s="254">
        <f t="shared" si="1"/>
        <v>19</v>
      </c>
      <c r="G9" s="322" t="s">
        <v>240</v>
      </c>
      <c r="I9" s="100" t="s">
        <v>353</v>
      </c>
      <c r="J9" s="160">
        <f t="shared" si="2"/>
        <v>4687.2166817769721</v>
      </c>
      <c r="K9" s="101">
        <f>+K7</f>
        <v>5170</v>
      </c>
    </row>
    <row r="10" spans="1:11">
      <c r="A10" s="279" t="s">
        <v>119</v>
      </c>
      <c r="B10" s="254" t="s">
        <v>342</v>
      </c>
      <c r="C10" s="321" t="s">
        <v>351</v>
      </c>
      <c r="D10" s="263" t="s">
        <v>320</v>
      </c>
      <c r="E10" s="99" t="str">
        <f t="shared" si="0"/>
        <v>Billet-SD390-ALL</v>
      </c>
      <c r="F10" s="254">
        <f t="shared" si="1"/>
        <v>16</v>
      </c>
      <c r="G10" s="322" t="s">
        <v>241</v>
      </c>
      <c r="I10" s="100" t="str">
        <f>I8</f>
        <v>Base10</v>
      </c>
      <c r="J10" s="160">
        <f t="shared" si="2"/>
        <v>4687.2166817769721</v>
      </c>
      <c r="K10" s="101">
        <f>K9</f>
        <v>5170</v>
      </c>
    </row>
    <row r="11" spans="1:11">
      <c r="A11" s="279" t="s">
        <v>120</v>
      </c>
      <c r="B11" s="254" t="s">
        <v>342</v>
      </c>
      <c r="C11" s="321" t="s">
        <v>352</v>
      </c>
      <c r="D11" s="263" t="s">
        <v>320</v>
      </c>
      <c r="E11" s="99" t="str">
        <f t="shared" si="0"/>
        <v>Billet-SS540-ALL</v>
      </c>
      <c r="F11" s="254">
        <f t="shared" si="1"/>
        <v>16</v>
      </c>
      <c r="G11" s="322" t="s">
        <v>242</v>
      </c>
      <c r="I11" s="100" t="str">
        <f>I9</f>
        <v>Base11</v>
      </c>
      <c r="J11" s="160">
        <f t="shared" si="2"/>
        <v>4777.8785131459654</v>
      </c>
      <c r="K11" s="101">
        <f>+K7+100</f>
        <v>5270</v>
      </c>
    </row>
    <row r="12" spans="1:11">
      <c r="A12" s="279" t="s">
        <v>121</v>
      </c>
      <c r="B12" s="254" t="s">
        <v>342</v>
      </c>
      <c r="C12" s="321" t="s">
        <v>354</v>
      </c>
      <c r="D12" s="263" t="s">
        <v>320</v>
      </c>
      <c r="E12" s="99" t="str">
        <f t="shared" si="0"/>
        <v>Billet-SD490-ALL</v>
      </c>
      <c r="F12" s="254">
        <f t="shared" si="1"/>
        <v>16</v>
      </c>
      <c r="G12" s="322" t="s">
        <v>243</v>
      </c>
      <c r="I12" s="100" t="str">
        <f>I9</f>
        <v>Base11</v>
      </c>
      <c r="J12" s="160">
        <f t="shared" si="2"/>
        <v>4687.2166817769721</v>
      </c>
      <c r="K12" s="101">
        <f>K9</f>
        <v>5170</v>
      </c>
    </row>
    <row r="13" spans="1:11">
      <c r="A13" s="279" t="s">
        <v>122</v>
      </c>
      <c r="B13" s="254" t="s">
        <v>342</v>
      </c>
      <c r="C13" s="321">
        <v>1008</v>
      </c>
      <c r="D13" s="263" t="s">
        <v>320</v>
      </c>
      <c r="E13" s="99" t="str">
        <f t="shared" si="0"/>
        <v>Billet-1008-ALL</v>
      </c>
      <c r="F13" s="254">
        <f t="shared" si="1"/>
        <v>15</v>
      </c>
      <c r="G13" s="322" t="s">
        <v>244</v>
      </c>
      <c r="I13" s="100" t="str">
        <f>I7</f>
        <v>Base10</v>
      </c>
      <c r="J13" s="160">
        <f t="shared" si="2"/>
        <v>4687.2166817769721</v>
      </c>
      <c r="K13" s="101">
        <f>K10</f>
        <v>5170</v>
      </c>
    </row>
    <row r="14" spans="1:11">
      <c r="A14" s="279" t="s">
        <v>123</v>
      </c>
      <c r="B14" s="254" t="s">
        <v>342</v>
      </c>
      <c r="C14" s="321" t="s">
        <v>356</v>
      </c>
      <c r="D14" s="263" t="s">
        <v>320</v>
      </c>
      <c r="E14" s="99" t="str">
        <f t="shared" si="0"/>
        <v>Billet-Q195-ALL</v>
      </c>
      <c r="F14" s="254">
        <f t="shared" si="1"/>
        <v>15</v>
      </c>
      <c r="G14" s="322" t="s">
        <v>245</v>
      </c>
      <c r="I14" s="100" t="str">
        <f>+I13</f>
        <v>Base10</v>
      </c>
      <c r="J14" s="160">
        <f t="shared" si="2"/>
        <v>4687.2166817769721</v>
      </c>
      <c r="K14" s="101">
        <f>K7</f>
        <v>5170</v>
      </c>
    </row>
    <row r="15" spans="1:11">
      <c r="A15" s="279" t="s">
        <v>124</v>
      </c>
      <c r="B15" s="254" t="s">
        <v>342</v>
      </c>
      <c r="C15" s="323">
        <v>1006</v>
      </c>
      <c r="D15" s="263" t="s">
        <v>320</v>
      </c>
      <c r="E15" s="99" t="str">
        <f t="shared" si="0"/>
        <v>Billet-1006-ALL</v>
      </c>
      <c r="F15" s="254">
        <f t="shared" si="1"/>
        <v>15</v>
      </c>
      <c r="G15" s="322" t="s">
        <v>246</v>
      </c>
      <c r="I15" s="100" t="s">
        <v>398</v>
      </c>
      <c r="J15" s="160">
        <f t="shared" si="2"/>
        <v>4868.5403445149595</v>
      </c>
      <c r="K15" s="101">
        <f>K7+200</f>
        <v>5370</v>
      </c>
    </row>
    <row r="16" spans="1:11">
      <c r="A16" s="279" t="s">
        <v>126</v>
      </c>
      <c r="B16" s="254" t="s">
        <v>342</v>
      </c>
      <c r="C16" s="321">
        <v>1010</v>
      </c>
      <c r="D16" s="263" t="s">
        <v>320</v>
      </c>
      <c r="E16" s="99" t="str">
        <f t="shared" si="0"/>
        <v>Billet-1010-ALL</v>
      </c>
      <c r="F16" s="254">
        <f t="shared" si="1"/>
        <v>15</v>
      </c>
      <c r="G16" s="322" t="s">
        <v>247</v>
      </c>
      <c r="I16" s="100" t="str">
        <f>I7</f>
        <v>Base10</v>
      </c>
      <c r="J16" s="160">
        <f t="shared" si="2"/>
        <v>4687.2166817769721</v>
      </c>
      <c r="K16" s="101">
        <f>K7</f>
        <v>5170</v>
      </c>
    </row>
    <row r="17" spans="1:12">
      <c r="A17" s="279" t="s">
        <v>128</v>
      </c>
      <c r="B17" s="254" t="s">
        <v>342</v>
      </c>
      <c r="C17" s="321">
        <v>1012</v>
      </c>
      <c r="D17" s="263" t="s">
        <v>320</v>
      </c>
      <c r="E17" s="99" t="str">
        <f t="shared" si="0"/>
        <v>Billet-1012-ALL</v>
      </c>
      <c r="F17" s="254">
        <f t="shared" si="1"/>
        <v>15</v>
      </c>
      <c r="G17" s="322" t="s">
        <v>248</v>
      </c>
      <c r="I17" s="100" t="str">
        <f>+I16</f>
        <v>Base10</v>
      </c>
      <c r="J17" s="160">
        <f t="shared" si="2"/>
        <v>4687.2166817769721</v>
      </c>
      <c r="K17" s="101">
        <f>+K7</f>
        <v>5170</v>
      </c>
    </row>
    <row r="18" spans="1:12">
      <c r="A18" s="279" t="s">
        <v>129</v>
      </c>
      <c r="B18" s="254" t="s">
        <v>342</v>
      </c>
      <c r="C18" s="321">
        <v>1015</v>
      </c>
      <c r="D18" s="263" t="s">
        <v>320</v>
      </c>
      <c r="E18" s="99" t="str">
        <f t="shared" si="0"/>
        <v>Billet-1015-ALL</v>
      </c>
      <c r="F18" s="254">
        <f t="shared" si="1"/>
        <v>15</v>
      </c>
      <c r="G18" s="322" t="s">
        <v>249</v>
      </c>
      <c r="I18" s="100" t="str">
        <f>+I16</f>
        <v>Base10</v>
      </c>
      <c r="J18" s="160">
        <f t="shared" si="2"/>
        <v>4687.2166817769721</v>
      </c>
      <c r="K18" s="101">
        <f>+K7</f>
        <v>5170</v>
      </c>
    </row>
    <row r="19" spans="1:12" s="261" customFormat="1">
      <c r="A19" s="324" t="s">
        <v>130</v>
      </c>
      <c r="B19" s="258" t="s">
        <v>342</v>
      </c>
      <c r="C19" s="175" t="s">
        <v>55</v>
      </c>
      <c r="D19" s="325" t="s">
        <v>320</v>
      </c>
      <c r="E19" s="260" t="str">
        <f t="shared" si="0"/>
        <v>Billet-1012B-ALL</v>
      </c>
      <c r="F19" s="258">
        <f t="shared" si="1"/>
        <v>16</v>
      </c>
      <c r="G19" s="261" t="s">
        <v>250</v>
      </c>
      <c r="I19" s="175" t="s">
        <v>355</v>
      </c>
      <c r="J19" s="176">
        <f t="shared" si="2"/>
        <v>4687.2166817769721</v>
      </c>
      <c r="K19" s="177">
        <f>+K5</f>
        <v>5170</v>
      </c>
    </row>
    <row r="20" spans="1:12">
      <c r="A20" s="279" t="s">
        <v>131</v>
      </c>
      <c r="B20" s="254" t="s">
        <v>342</v>
      </c>
      <c r="C20" s="100" t="s">
        <v>357</v>
      </c>
      <c r="D20" s="263" t="s">
        <v>320</v>
      </c>
      <c r="E20" s="99" t="str">
        <f t="shared" si="0"/>
        <v>Billet-500N/Mpa-ALL</v>
      </c>
      <c r="F20" s="254">
        <f t="shared" si="1"/>
        <v>19</v>
      </c>
      <c r="G20" s="322" t="s">
        <v>251</v>
      </c>
      <c r="I20" s="100" t="s">
        <v>399</v>
      </c>
      <c r="J20" s="160">
        <f t="shared" si="2"/>
        <v>5666.3644605621039</v>
      </c>
      <c r="K20" s="101">
        <f>+K7+1080</f>
        <v>6250</v>
      </c>
    </row>
    <row r="21" spans="1:12">
      <c r="A21" s="279" t="s">
        <v>132</v>
      </c>
      <c r="B21" s="254" t="s">
        <v>342</v>
      </c>
      <c r="C21" s="100" t="s">
        <v>358</v>
      </c>
      <c r="D21" s="263" t="s">
        <v>320</v>
      </c>
      <c r="E21" s="99" t="str">
        <f t="shared" si="0"/>
        <v>Billet-SD295A-ALL</v>
      </c>
      <c r="F21" s="254">
        <f t="shared" si="1"/>
        <v>17</v>
      </c>
      <c r="G21" s="322" t="s">
        <v>252</v>
      </c>
      <c r="I21" s="100" t="str">
        <f>I7</f>
        <v>Base10</v>
      </c>
      <c r="J21" s="160">
        <f t="shared" si="2"/>
        <v>4687.2166817769721</v>
      </c>
      <c r="K21" s="101">
        <f>K7</f>
        <v>5170</v>
      </c>
    </row>
    <row r="22" spans="1:12">
      <c r="A22" s="279" t="s">
        <v>133</v>
      </c>
      <c r="B22" s="254" t="s">
        <v>342</v>
      </c>
      <c r="C22" s="100" t="s">
        <v>359</v>
      </c>
      <c r="D22" s="263" t="s">
        <v>320</v>
      </c>
      <c r="E22" s="99" t="str">
        <f t="shared" si="0"/>
        <v>Billet-SD295B-ALL</v>
      </c>
      <c r="F22" s="254">
        <f t="shared" si="1"/>
        <v>17</v>
      </c>
      <c r="G22" s="322" t="s">
        <v>253</v>
      </c>
      <c r="I22" s="100" t="s">
        <v>400</v>
      </c>
      <c r="J22" s="160">
        <f t="shared" si="2"/>
        <v>4732.5475974614692</v>
      </c>
      <c r="K22" s="101">
        <f>K10+50</f>
        <v>5220</v>
      </c>
    </row>
    <row r="23" spans="1:12">
      <c r="A23" s="279" t="s">
        <v>134</v>
      </c>
      <c r="B23" s="254" t="s">
        <v>342</v>
      </c>
      <c r="C23" s="100" t="s">
        <v>360</v>
      </c>
      <c r="D23" s="263" t="s">
        <v>320</v>
      </c>
      <c r="E23" s="99" t="str">
        <f t="shared" si="0"/>
        <v>Billet-SD345-ALL</v>
      </c>
      <c r="F23" s="254">
        <f t="shared" si="1"/>
        <v>16</v>
      </c>
      <c r="G23" s="322" t="s">
        <v>254</v>
      </c>
      <c r="I23" s="100" t="s">
        <v>401</v>
      </c>
      <c r="J23" s="160">
        <f t="shared" si="2"/>
        <v>4777.8785131459654</v>
      </c>
      <c r="K23" s="101">
        <f>K10+100</f>
        <v>5270</v>
      </c>
    </row>
    <row r="24" spans="1:12">
      <c r="A24" s="279" t="s">
        <v>135</v>
      </c>
      <c r="B24" s="254" t="s">
        <v>342</v>
      </c>
      <c r="C24" s="321" t="s">
        <v>338</v>
      </c>
      <c r="D24" s="263" t="s">
        <v>320</v>
      </c>
      <c r="E24" s="99" t="str">
        <f t="shared" si="0"/>
        <v>Billet-300E-ALL</v>
      </c>
      <c r="F24" s="254">
        <f t="shared" si="1"/>
        <v>15</v>
      </c>
      <c r="G24" s="322" t="s">
        <v>255</v>
      </c>
      <c r="I24" s="100" t="str">
        <f>I7</f>
        <v>Base10</v>
      </c>
      <c r="J24" s="160">
        <f t="shared" si="2"/>
        <v>4687.2166817769721</v>
      </c>
      <c r="K24" s="101">
        <f>K10</f>
        <v>5170</v>
      </c>
    </row>
    <row r="25" spans="1:12">
      <c r="A25" s="279" t="s">
        <v>104</v>
      </c>
      <c r="B25" s="254" t="s">
        <v>334</v>
      </c>
      <c r="C25" s="321" t="s">
        <v>335</v>
      </c>
      <c r="D25" s="326">
        <v>6</v>
      </c>
      <c r="E25" s="99" t="str">
        <f t="shared" si="0"/>
        <v>DC-SD 390-6</v>
      </c>
      <c r="F25" s="254">
        <f t="shared" si="1"/>
        <v>11</v>
      </c>
      <c r="G25" s="322" t="s">
        <v>226</v>
      </c>
      <c r="I25" s="100" t="s">
        <v>336</v>
      </c>
      <c r="J25" s="160">
        <f t="shared" si="2"/>
        <v>9836.8087035358112</v>
      </c>
      <c r="K25" s="174">
        <f>7200+150+100-200+50+300-150+150+350+300+50+200+100+150+50-100+50-75-25+100-50+300+100+100+100+500+200+100+200+200+650-200-100</f>
        <v>10850</v>
      </c>
      <c r="L25" s="256" t="s">
        <v>490</v>
      </c>
    </row>
    <row r="26" spans="1:12">
      <c r="A26" s="279" t="s">
        <v>105</v>
      </c>
      <c r="B26" s="254" t="s">
        <v>334</v>
      </c>
      <c r="C26" s="321" t="s">
        <v>335</v>
      </c>
      <c r="D26" s="326">
        <v>8</v>
      </c>
      <c r="E26" s="99" t="str">
        <f t="shared" si="0"/>
        <v>DC-SD 390-8</v>
      </c>
      <c r="F26" s="254">
        <f t="shared" si="1"/>
        <v>11</v>
      </c>
      <c r="G26" s="322" t="s">
        <v>227</v>
      </c>
      <c r="I26" s="100" t="str">
        <f>+I25</f>
        <v>Base8</v>
      </c>
      <c r="J26" s="160">
        <f t="shared" si="2"/>
        <v>9836.8087035358112</v>
      </c>
      <c r="K26" s="101">
        <f>+K25</f>
        <v>10850</v>
      </c>
    </row>
    <row r="27" spans="1:12">
      <c r="A27" s="279" t="s">
        <v>106</v>
      </c>
      <c r="B27" s="254" t="s">
        <v>334</v>
      </c>
      <c r="C27" s="321" t="s">
        <v>335</v>
      </c>
      <c r="D27" s="326">
        <v>10</v>
      </c>
      <c r="E27" s="99" t="str">
        <f t="shared" si="0"/>
        <v>DC-SD 390-10</v>
      </c>
      <c r="F27" s="254">
        <f t="shared" si="1"/>
        <v>12</v>
      </c>
      <c r="G27" s="322" t="s">
        <v>228</v>
      </c>
      <c r="I27" s="100" t="str">
        <f>+I25</f>
        <v>Base8</v>
      </c>
      <c r="J27" s="160">
        <f t="shared" si="2"/>
        <v>9836.8087035358112</v>
      </c>
      <c r="K27" s="101">
        <f>+K25</f>
        <v>10850</v>
      </c>
    </row>
    <row r="28" spans="1:12">
      <c r="A28" s="279" t="s">
        <v>107</v>
      </c>
      <c r="B28" s="254" t="s">
        <v>334</v>
      </c>
      <c r="C28" s="321" t="s">
        <v>335</v>
      </c>
      <c r="D28" s="326">
        <v>12</v>
      </c>
      <c r="E28" s="99" t="str">
        <f t="shared" si="0"/>
        <v>DC-SD 390-12</v>
      </c>
      <c r="F28" s="254">
        <f t="shared" si="1"/>
        <v>12</v>
      </c>
      <c r="G28" s="322" t="s">
        <v>229</v>
      </c>
      <c r="I28" s="100" t="str">
        <f>+I25</f>
        <v>Base8</v>
      </c>
      <c r="J28" s="160">
        <f t="shared" si="2"/>
        <v>9836.8087035358112</v>
      </c>
      <c r="K28" s="101">
        <f>+K25</f>
        <v>10850</v>
      </c>
    </row>
    <row r="29" spans="1:12">
      <c r="A29" s="279" t="s">
        <v>108</v>
      </c>
      <c r="B29" s="254" t="s">
        <v>334</v>
      </c>
      <c r="C29" s="100" t="s">
        <v>337</v>
      </c>
      <c r="D29" s="263" t="s">
        <v>320</v>
      </c>
      <c r="E29" s="99" t="str">
        <f t="shared" si="0"/>
        <v>DC-500N/MPA-ALL</v>
      </c>
      <c r="F29" s="254">
        <f t="shared" si="1"/>
        <v>15</v>
      </c>
      <c r="G29" s="322" t="s">
        <v>230</v>
      </c>
      <c r="I29" s="100" t="s">
        <v>396</v>
      </c>
      <c r="J29" s="160">
        <f t="shared" si="2"/>
        <v>10997.28014505893</v>
      </c>
      <c r="K29" s="101">
        <f>+K74+1080</f>
        <v>12130</v>
      </c>
    </row>
    <row r="30" spans="1:12">
      <c r="A30" s="279" t="s">
        <v>109</v>
      </c>
      <c r="B30" s="254" t="s">
        <v>334</v>
      </c>
      <c r="C30" s="321" t="s">
        <v>338</v>
      </c>
      <c r="D30" s="263" t="s">
        <v>320</v>
      </c>
      <c r="E30" s="99" t="str">
        <f t="shared" si="0"/>
        <v>DC-300E-ALL</v>
      </c>
      <c r="F30" s="254">
        <f t="shared" si="1"/>
        <v>11</v>
      </c>
      <c r="G30" s="322" t="s">
        <v>231</v>
      </c>
      <c r="I30" s="100" t="s">
        <v>394</v>
      </c>
      <c r="J30" s="160">
        <f t="shared" si="2"/>
        <v>10154.125113327289</v>
      </c>
      <c r="K30" s="101">
        <f>+K74+150</f>
        <v>11200</v>
      </c>
    </row>
    <row r="31" spans="1:12">
      <c r="A31" s="279" t="s">
        <v>110</v>
      </c>
      <c r="B31" s="254" t="s">
        <v>334</v>
      </c>
      <c r="C31" s="321" t="s">
        <v>339</v>
      </c>
      <c r="D31" s="263" t="s">
        <v>320</v>
      </c>
      <c r="E31" s="99" t="str">
        <f t="shared" si="0"/>
        <v>DC-SD 490-ALL</v>
      </c>
      <c r="F31" s="254">
        <f t="shared" si="1"/>
        <v>13</v>
      </c>
      <c r="G31" s="322" t="s">
        <v>232</v>
      </c>
      <c r="I31" s="100" t="s">
        <v>395</v>
      </c>
      <c r="J31" s="160">
        <f t="shared" si="2"/>
        <v>10163.191296464189</v>
      </c>
      <c r="K31" s="101">
        <f>K25+360</f>
        <v>11210</v>
      </c>
    </row>
    <row r="32" spans="1:12">
      <c r="A32" s="279" t="s">
        <v>111</v>
      </c>
      <c r="B32" s="254" t="s">
        <v>334</v>
      </c>
      <c r="C32" s="321" t="s">
        <v>340</v>
      </c>
      <c r="D32" s="263" t="s">
        <v>320</v>
      </c>
      <c r="E32" s="99" t="str">
        <f t="shared" si="0"/>
        <v>DC-Grade 40-ALL</v>
      </c>
      <c r="F32" s="254">
        <f t="shared" si="1"/>
        <v>15</v>
      </c>
      <c r="G32" s="322" t="s">
        <v>233</v>
      </c>
      <c r="I32" s="100" t="s">
        <v>397</v>
      </c>
      <c r="J32" s="160">
        <f t="shared" si="2"/>
        <v>9950.135992747053</v>
      </c>
      <c r="K32" s="101">
        <f>+K25+125</f>
        <v>10975</v>
      </c>
    </row>
    <row r="33" spans="1:11">
      <c r="A33" s="279" t="s">
        <v>112</v>
      </c>
      <c r="B33" s="254" t="s">
        <v>334</v>
      </c>
      <c r="C33" s="321" t="s">
        <v>341</v>
      </c>
      <c r="D33" s="263" t="s">
        <v>320</v>
      </c>
      <c r="E33" s="99" t="str">
        <f t="shared" si="0"/>
        <v>DC-Grade 60-ALL</v>
      </c>
      <c r="F33" s="254">
        <f t="shared" si="1"/>
        <v>15</v>
      </c>
      <c r="G33" s="322" t="s">
        <v>234</v>
      </c>
      <c r="I33" s="100" t="s">
        <v>395</v>
      </c>
      <c r="J33" s="160">
        <f t="shared" si="2"/>
        <v>10163.191296464189</v>
      </c>
      <c r="K33" s="101">
        <f>+K25+360</f>
        <v>11210</v>
      </c>
    </row>
    <row r="34" spans="1:11">
      <c r="A34" s="279" t="s">
        <v>138</v>
      </c>
      <c r="B34" s="254" t="s">
        <v>363</v>
      </c>
      <c r="C34" s="282" t="s">
        <v>364</v>
      </c>
      <c r="D34" s="325">
        <v>5.5</v>
      </c>
      <c r="E34" s="260" t="str">
        <f t="shared" ref="E34:E45" si="3">CONCATENATE(B34,"-",C34,"-",D34)</f>
        <v>NP-LCRJ 5.5-5.5</v>
      </c>
      <c r="F34" s="258">
        <f t="shared" ref="F34:F46" si="4">LEN(E34)</f>
        <v>15</v>
      </c>
      <c r="G34" s="322" t="s">
        <v>258</v>
      </c>
      <c r="H34" s="261"/>
      <c r="I34" s="100" t="s">
        <v>404</v>
      </c>
      <c r="J34" s="160">
        <f t="shared" ref="J34:J46" si="5">+K34/1.103</f>
        <v>8361.2873980054392</v>
      </c>
      <c r="K34" s="101">
        <f>K54*0.85</f>
        <v>9222.5</v>
      </c>
    </row>
    <row r="35" spans="1:11">
      <c r="A35" s="279" t="s">
        <v>139</v>
      </c>
      <c r="B35" s="254" t="s">
        <v>363</v>
      </c>
      <c r="C35" s="282" t="s">
        <v>365</v>
      </c>
      <c r="D35" s="328" t="s">
        <v>366</v>
      </c>
      <c r="E35" s="329" t="str">
        <f t="shared" si="3"/>
        <v>NP-LCRJ 6-8-6.0-8</v>
      </c>
      <c r="F35" s="330">
        <f t="shared" si="4"/>
        <v>17</v>
      </c>
      <c r="G35" s="322" t="s">
        <v>259</v>
      </c>
      <c r="H35" s="261"/>
      <c r="I35" s="100" t="s">
        <v>405</v>
      </c>
      <c r="J35" s="163">
        <f t="shared" si="5"/>
        <v>7905.711695376247</v>
      </c>
      <c r="K35" s="195">
        <f>K48*0.8</f>
        <v>8720</v>
      </c>
    </row>
    <row r="36" spans="1:11">
      <c r="A36" s="279" t="s">
        <v>140</v>
      </c>
      <c r="B36" s="254" t="s">
        <v>363</v>
      </c>
      <c r="C36" s="282" t="s">
        <v>367</v>
      </c>
      <c r="D36" s="325" t="s">
        <v>368</v>
      </c>
      <c r="E36" s="260" t="str">
        <f t="shared" si="3"/>
        <v>NP-LCRJ 8 up-8 Up</v>
      </c>
      <c r="F36" s="258">
        <f t="shared" si="4"/>
        <v>17</v>
      </c>
      <c r="G36" s="322" t="s">
        <v>260</v>
      </c>
      <c r="H36" s="261"/>
      <c r="I36" s="100" t="s">
        <v>406</v>
      </c>
      <c r="J36" s="160">
        <f t="shared" si="5"/>
        <v>7411.6047144152317</v>
      </c>
      <c r="K36" s="101">
        <f>K48*0.75</f>
        <v>8175</v>
      </c>
    </row>
    <row r="37" spans="1:11">
      <c r="A37" s="279" t="s">
        <v>141</v>
      </c>
      <c r="B37" s="254" t="s">
        <v>363</v>
      </c>
      <c r="C37" s="282" t="s">
        <v>369</v>
      </c>
      <c r="D37" s="325">
        <v>5.5</v>
      </c>
      <c r="E37" s="329" t="str">
        <f t="shared" si="3"/>
        <v>NP-HCRJ 5.5-5.5</v>
      </c>
      <c r="F37" s="330">
        <f t="shared" si="4"/>
        <v>15</v>
      </c>
      <c r="G37" s="322" t="s">
        <v>261</v>
      </c>
      <c r="H37" s="261"/>
      <c r="I37" s="100" t="s">
        <v>406</v>
      </c>
      <c r="J37" s="163">
        <f t="shared" si="5"/>
        <v>7411.6047144152317</v>
      </c>
      <c r="K37" s="195">
        <f>+K48*0.75</f>
        <v>8175</v>
      </c>
    </row>
    <row r="38" spans="1:11">
      <c r="A38" s="279" t="s">
        <v>142</v>
      </c>
      <c r="B38" s="254" t="s">
        <v>363</v>
      </c>
      <c r="C38" s="282" t="s">
        <v>370</v>
      </c>
      <c r="D38" s="328" t="s">
        <v>366</v>
      </c>
      <c r="E38" s="260" t="str">
        <f t="shared" si="3"/>
        <v>NP-HCRJ 6-8-6.0-8</v>
      </c>
      <c r="F38" s="258">
        <f t="shared" si="4"/>
        <v>17</v>
      </c>
      <c r="G38" s="322" t="s">
        <v>262</v>
      </c>
      <c r="H38" s="261"/>
      <c r="I38" s="100" t="s">
        <v>407</v>
      </c>
      <c r="J38" s="160">
        <f t="shared" si="5"/>
        <v>6917.4977334542154</v>
      </c>
      <c r="K38" s="101">
        <f>+K48*0.7</f>
        <v>7629.9999999999991</v>
      </c>
    </row>
    <row r="39" spans="1:11">
      <c r="A39" s="279" t="s">
        <v>143</v>
      </c>
      <c r="B39" s="254" t="s">
        <v>363</v>
      </c>
      <c r="C39" s="282" t="s">
        <v>371</v>
      </c>
      <c r="D39" s="325" t="s">
        <v>368</v>
      </c>
      <c r="E39" s="329" t="str">
        <f t="shared" si="3"/>
        <v>NP-HCRJ 8 up-8 Up</v>
      </c>
      <c r="F39" s="330">
        <f t="shared" si="4"/>
        <v>17</v>
      </c>
      <c r="G39" s="322" t="s">
        <v>263</v>
      </c>
      <c r="H39" s="261"/>
      <c r="I39" s="100" t="s">
        <v>408</v>
      </c>
      <c r="J39" s="163">
        <f t="shared" si="5"/>
        <v>6423.3907524932001</v>
      </c>
      <c r="K39" s="195">
        <f>+K48*0.65</f>
        <v>7085</v>
      </c>
    </row>
    <row r="40" spans="1:11">
      <c r="A40" s="279" t="s">
        <v>145</v>
      </c>
      <c r="B40" s="254" t="s">
        <v>363</v>
      </c>
      <c r="C40" s="254" t="s">
        <v>372</v>
      </c>
      <c r="D40" s="325">
        <v>5.5</v>
      </c>
      <c r="E40" s="260" t="str">
        <f t="shared" si="3"/>
        <v>NP-EC(LC /HC)5.5-5.5</v>
      </c>
      <c r="F40" s="258">
        <f t="shared" si="4"/>
        <v>20</v>
      </c>
      <c r="G40" s="322" t="s">
        <v>264</v>
      </c>
      <c r="H40" s="261"/>
      <c r="I40" s="100" t="s">
        <v>407</v>
      </c>
      <c r="J40" s="160">
        <f t="shared" si="5"/>
        <v>6917.4977334542154</v>
      </c>
      <c r="K40" s="101">
        <f>K48*0.7</f>
        <v>7629.9999999999991</v>
      </c>
    </row>
    <row r="41" spans="1:11">
      <c r="A41" s="279" t="s">
        <v>146</v>
      </c>
      <c r="B41" s="254" t="s">
        <v>363</v>
      </c>
      <c r="C41" s="254" t="s">
        <v>373</v>
      </c>
      <c r="D41" s="328" t="s">
        <v>374</v>
      </c>
      <c r="E41" s="329" t="str">
        <f t="shared" si="3"/>
        <v>NP-EC(LC/HC)6U-6 &amp; up</v>
      </c>
      <c r="F41" s="330">
        <f>LEN(E41)</f>
        <v>21</v>
      </c>
      <c r="G41" s="322" t="s">
        <v>265</v>
      </c>
      <c r="H41" s="261"/>
      <c r="I41" s="100" t="s">
        <v>408</v>
      </c>
      <c r="J41" s="163">
        <f t="shared" si="5"/>
        <v>6393.9256572982777</v>
      </c>
      <c r="K41" s="195">
        <f>K96*0.65</f>
        <v>7052.5</v>
      </c>
    </row>
    <row r="42" spans="1:11">
      <c r="A42" s="279" t="s">
        <v>147</v>
      </c>
      <c r="B42" s="254" t="s">
        <v>363</v>
      </c>
      <c r="C42" s="254" t="s">
        <v>375</v>
      </c>
      <c r="D42" s="325">
        <v>5.5</v>
      </c>
      <c r="E42" s="260" t="str">
        <f t="shared" si="3"/>
        <v>NP-MingledSmall5.5-5.5</v>
      </c>
      <c r="F42" s="258">
        <f t="shared" si="4"/>
        <v>22</v>
      </c>
      <c r="G42" s="322" t="s">
        <v>266</v>
      </c>
      <c r="H42" s="261"/>
      <c r="I42" s="100" t="s">
        <v>406</v>
      </c>
      <c r="J42" s="160">
        <f t="shared" si="5"/>
        <v>7411.6047144152317</v>
      </c>
      <c r="K42" s="101">
        <f>K48*0.75</f>
        <v>8175</v>
      </c>
    </row>
    <row r="43" spans="1:11">
      <c r="A43" s="279" t="s">
        <v>148</v>
      </c>
      <c r="B43" s="254" t="s">
        <v>363</v>
      </c>
      <c r="C43" s="254" t="s">
        <v>376</v>
      </c>
      <c r="D43" s="328" t="s">
        <v>374</v>
      </c>
      <c r="E43" s="329" t="str">
        <f t="shared" si="3"/>
        <v>NP-MingledS6&amp;Up-6 &amp; up</v>
      </c>
      <c r="F43" s="330">
        <f t="shared" si="4"/>
        <v>22</v>
      </c>
      <c r="G43" s="322" t="s">
        <v>267</v>
      </c>
      <c r="H43" s="261"/>
      <c r="I43" s="100" t="s">
        <v>408</v>
      </c>
      <c r="J43" s="163">
        <f t="shared" si="5"/>
        <v>6423.3907524932001</v>
      </c>
      <c r="K43" s="195">
        <f>K48*0.65</f>
        <v>7085</v>
      </c>
    </row>
    <row r="44" spans="1:11">
      <c r="A44" s="279" t="s">
        <v>149</v>
      </c>
      <c r="B44" s="254" t="s">
        <v>363</v>
      </c>
      <c r="C44" s="282" t="s">
        <v>377</v>
      </c>
      <c r="D44" s="325" t="s">
        <v>320</v>
      </c>
      <c r="E44" s="260" t="str">
        <f t="shared" si="3"/>
        <v>NP-Gepeng-ALL</v>
      </c>
      <c r="F44" s="258">
        <f t="shared" si="4"/>
        <v>13</v>
      </c>
      <c r="G44" s="322" t="s">
        <v>268</v>
      </c>
      <c r="H44" s="261"/>
      <c r="I44" s="100" t="s">
        <v>409</v>
      </c>
      <c r="J44" s="160">
        <f t="shared" si="5"/>
        <v>5929.2837715321848</v>
      </c>
      <c r="K44" s="101">
        <f>K48*0.6</f>
        <v>6540</v>
      </c>
    </row>
    <row r="45" spans="1:11">
      <c r="A45" s="279" t="s">
        <v>150</v>
      </c>
      <c r="B45" s="254" t="s">
        <v>363</v>
      </c>
      <c r="C45" s="282" t="s">
        <v>378</v>
      </c>
      <c r="D45" s="328" t="s">
        <v>320</v>
      </c>
      <c r="E45" s="329" t="str">
        <f t="shared" si="3"/>
        <v>NP-Misroll-ALL</v>
      </c>
      <c r="F45" s="330">
        <f t="shared" si="4"/>
        <v>14</v>
      </c>
      <c r="G45" s="322" t="s">
        <v>269</v>
      </c>
      <c r="H45" s="261"/>
      <c r="I45" s="100" t="s">
        <v>410</v>
      </c>
      <c r="J45" s="163">
        <f t="shared" si="5"/>
        <v>3952.8558476881235</v>
      </c>
      <c r="K45" s="195">
        <f>K48*0.4</f>
        <v>4360</v>
      </c>
    </row>
    <row r="46" spans="1:11">
      <c r="A46" s="279" t="s">
        <v>151</v>
      </c>
      <c r="B46" s="254" t="s">
        <v>363</v>
      </c>
      <c r="C46" s="254" t="s">
        <v>379</v>
      </c>
      <c r="D46" s="325" t="s">
        <v>320</v>
      </c>
      <c r="E46" s="260" t="str">
        <f>CONCATENATE(B46,"-",C46,"-",D46)</f>
        <v>NP-BR/Short Length-ALL</v>
      </c>
      <c r="F46" s="258">
        <f t="shared" si="4"/>
        <v>22</v>
      </c>
      <c r="G46" s="322" t="s">
        <v>270</v>
      </c>
      <c r="H46" s="261"/>
      <c r="I46" s="100" t="s">
        <v>411</v>
      </c>
      <c r="J46" s="160">
        <f t="shared" si="5"/>
        <v>2812.3300090661833</v>
      </c>
      <c r="K46" s="101">
        <f>K19*0.6</f>
        <v>3102</v>
      </c>
    </row>
    <row r="47" spans="1:11">
      <c r="A47" s="331" t="s">
        <v>480</v>
      </c>
      <c r="B47" s="332"/>
      <c r="C47" s="332"/>
      <c r="D47" s="333"/>
      <c r="E47" s="334"/>
      <c r="F47" s="335"/>
      <c r="G47" s="322"/>
      <c r="H47" s="261"/>
      <c r="I47" s="170"/>
      <c r="J47" s="164"/>
      <c r="K47" s="101"/>
    </row>
    <row r="48" spans="1:11">
      <c r="A48" s="336" t="s">
        <v>50</v>
      </c>
      <c r="B48" s="332" t="s">
        <v>51</v>
      </c>
      <c r="C48" s="337" t="s">
        <v>55</v>
      </c>
      <c r="D48" s="338">
        <v>5.0999999999999996</v>
      </c>
      <c r="E48" s="339" t="str">
        <f t="shared" ref="E48:E102" si="6">CONCATENATE(B48,"-",C48,"-",D48)</f>
        <v>WR-1012B-5.1</v>
      </c>
      <c r="F48" s="332">
        <f t="shared" ref="F48:F101" si="7">LEN(E48)</f>
        <v>12</v>
      </c>
      <c r="G48" s="340" t="s">
        <v>443</v>
      </c>
      <c r="I48" s="341" t="s">
        <v>525</v>
      </c>
      <c r="J48" s="164">
        <f t="shared" ref="J48:J102" si="8">+K48/1.103</f>
        <v>9882.1396192203083</v>
      </c>
      <c r="K48" s="169">
        <f>+K54+25+25</f>
        <v>10900</v>
      </c>
    </row>
    <row r="49" spans="1:11">
      <c r="A49" s="279" t="s">
        <v>53</v>
      </c>
      <c r="B49" s="282" t="s">
        <v>51</v>
      </c>
      <c r="C49" s="255" t="s">
        <v>292</v>
      </c>
      <c r="D49" s="342" t="s">
        <v>52</v>
      </c>
      <c r="E49" s="99" t="str">
        <f t="shared" si="6"/>
        <v>WR-1012B All  -All</v>
      </c>
      <c r="F49" s="254">
        <f t="shared" si="7"/>
        <v>18</v>
      </c>
      <c r="G49" s="322" t="s">
        <v>179</v>
      </c>
      <c r="I49" s="100" t="str">
        <f>+I54</f>
        <v xml:space="preserve">Base </v>
      </c>
      <c r="J49" s="160">
        <f t="shared" si="8"/>
        <v>9836.8087035358112</v>
      </c>
      <c r="K49" s="174">
        <f>+K25</f>
        <v>10850</v>
      </c>
    </row>
    <row r="50" spans="1:11">
      <c r="A50" s="279" t="s">
        <v>54</v>
      </c>
      <c r="B50" s="254" t="s">
        <v>51</v>
      </c>
      <c r="C50" s="255" t="s">
        <v>55</v>
      </c>
      <c r="D50" s="342">
        <v>5.5</v>
      </c>
      <c r="E50" s="99" t="str">
        <f>CONCATENATE(B50,"-",C50,"-",D50)</f>
        <v>WR-1012B-5.5</v>
      </c>
      <c r="F50" s="254">
        <f>LEN(E50)</f>
        <v>12</v>
      </c>
      <c r="G50" s="322" t="s">
        <v>180</v>
      </c>
      <c r="I50" s="100" t="str">
        <f>+I54</f>
        <v xml:space="preserve">Base </v>
      </c>
      <c r="J50" s="160">
        <f>+K50/1.103</f>
        <v>9836.8087035358112</v>
      </c>
      <c r="K50" s="169">
        <f>+K49</f>
        <v>10850</v>
      </c>
    </row>
    <row r="51" spans="1:11">
      <c r="A51" s="253" t="s">
        <v>422</v>
      </c>
      <c r="B51" s="254" t="s">
        <v>51</v>
      </c>
      <c r="C51" s="255" t="s">
        <v>55</v>
      </c>
      <c r="D51" s="342">
        <v>4.2</v>
      </c>
      <c r="E51" s="99" t="s">
        <v>421</v>
      </c>
      <c r="F51" s="254"/>
      <c r="G51" s="340" t="s">
        <v>421</v>
      </c>
      <c r="I51" s="171" t="s">
        <v>555</v>
      </c>
      <c r="J51" s="160">
        <f>+K51/1.103</f>
        <v>10199.456029011786</v>
      </c>
      <c r="K51" s="101">
        <f>+K49+400</f>
        <v>11250</v>
      </c>
    </row>
    <row r="52" spans="1:11">
      <c r="A52" s="253" t="s">
        <v>423</v>
      </c>
      <c r="B52" s="254" t="s">
        <v>51</v>
      </c>
      <c r="C52" s="255" t="s">
        <v>55</v>
      </c>
      <c r="D52" s="257">
        <v>4.5</v>
      </c>
      <c r="E52" s="99" t="s">
        <v>424</v>
      </c>
      <c r="F52" s="254"/>
      <c r="G52" s="340" t="s">
        <v>424</v>
      </c>
      <c r="I52" s="171" t="s">
        <v>554</v>
      </c>
      <c r="J52" s="160">
        <f>+K52/1.103</f>
        <v>10108.794197642792</v>
      </c>
      <c r="K52" s="169">
        <f>+K49+300</f>
        <v>11150</v>
      </c>
    </row>
    <row r="53" spans="1:11">
      <c r="A53" s="253" t="s">
        <v>425</v>
      </c>
      <c r="B53" s="254" t="s">
        <v>51</v>
      </c>
      <c r="C53" s="255" t="s">
        <v>55</v>
      </c>
      <c r="D53" s="257">
        <v>5.65</v>
      </c>
      <c r="E53" s="99" t="s">
        <v>426</v>
      </c>
      <c r="F53" s="254"/>
      <c r="G53" s="340" t="s">
        <v>426</v>
      </c>
      <c r="I53" s="171" t="s">
        <v>290</v>
      </c>
      <c r="J53" s="160">
        <f>+K53/1.103</f>
        <v>9836.8087035358112</v>
      </c>
      <c r="K53" s="169">
        <f>+K49</f>
        <v>10850</v>
      </c>
    </row>
    <row r="54" spans="1:11">
      <c r="A54" s="279" t="s">
        <v>56</v>
      </c>
      <c r="B54" s="254" t="s">
        <v>51</v>
      </c>
      <c r="C54" s="255" t="s">
        <v>55</v>
      </c>
      <c r="D54" s="342">
        <v>5.4</v>
      </c>
      <c r="E54" s="99" t="str">
        <f t="shared" si="6"/>
        <v>WR-1012B-5.4</v>
      </c>
      <c r="F54" s="254">
        <f t="shared" si="7"/>
        <v>12</v>
      </c>
      <c r="G54" s="322" t="s">
        <v>181</v>
      </c>
      <c r="I54" s="171" t="s">
        <v>526</v>
      </c>
      <c r="J54" s="160">
        <f t="shared" si="8"/>
        <v>9836.8087035358112</v>
      </c>
      <c r="K54" s="101">
        <f>+K49</f>
        <v>10850</v>
      </c>
    </row>
    <row r="55" spans="1:11">
      <c r="A55" s="279" t="s">
        <v>57</v>
      </c>
      <c r="B55" s="254" t="s">
        <v>51</v>
      </c>
      <c r="C55" s="255" t="s">
        <v>55</v>
      </c>
      <c r="D55" s="342">
        <v>5.8</v>
      </c>
      <c r="E55" s="99" t="str">
        <f t="shared" si="6"/>
        <v>WR-1012B-5.8</v>
      </c>
      <c r="F55" s="254">
        <f t="shared" si="7"/>
        <v>12</v>
      </c>
      <c r="G55" s="340" t="s">
        <v>477</v>
      </c>
      <c r="I55" s="171" t="str">
        <f>+I54</f>
        <v xml:space="preserve">Base </v>
      </c>
      <c r="J55" s="160">
        <f t="shared" si="8"/>
        <v>9836.8087035358112</v>
      </c>
      <c r="K55" s="101">
        <f>+K49</f>
        <v>10850</v>
      </c>
    </row>
    <row r="56" spans="1:11">
      <c r="A56" s="279" t="s">
        <v>58</v>
      </c>
      <c r="B56" s="254" t="s">
        <v>51</v>
      </c>
      <c r="C56" s="255" t="s">
        <v>55</v>
      </c>
      <c r="D56" s="343" t="s">
        <v>512</v>
      </c>
      <c r="E56" s="99" t="str">
        <f t="shared" si="6"/>
        <v>WR-1012B-6.0-6.4</v>
      </c>
      <c r="F56" s="254">
        <f t="shared" si="7"/>
        <v>16</v>
      </c>
      <c r="G56" s="340" t="s">
        <v>511</v>
      </c>
      <c r="I56" s="171" t="s">
        <v>526</v>
      </c>
      <c r="J56" s="160">
        <f t="shared" si="8"/>
        <v>9836.8087035358112</v>
      </c>
      <c r="K56" s="101">
        <f>+K49</f>
        <v>10850</v>
      </c>
    </row>
    <row r="57" spans="1:11">
      <c r="A57" s="279" t="s">
        <v>59</v>
      </c>
      <c r="B57" s="254" t="s">
        <v>51</v>
      </c>
      <c r="C57" s="255" t="s">
        <v>55</v>
      </c>
      <c r="D57" s="257" t="s">
        <v>514</v>
      </c>
      <c r="E57" s="99" t="str">
        <f t="shared" si="6"/>
        <v>WR-1012B-6.5 - 9.5</v>
      </c>
      <c r="F57" s="254">
        <f t="shared" si="7"/>
        <v>18</v>
      </c>
      <c r="G57" s="340" t="s">
        <v>513</v>
      </c>
      <c r="I57" s="171" t="s">
        <v>290</v>
      </c>
      <c r="J57" s="160">
        <f t="shared" si="8"/>
        <v>9836.8087035358112</v>
      </c>
      <c r="K57" s="101">
        <f>+K49</f>
        <v>10850</v>
      </c>
    </row>
    <row r="58" spans="1:11">
      <c r="A58" s="279" t="s">
        <v>60</v>
      </c>
      <c r="B58" s="254" t="s">
        <v>51</v>
      </c>
      <c r="C58" s="255" t="s">
        <v>55</v>
      </c>
      <c r="D58" s="342">
        <v>4.9000000000000004</v>
      </c>
      <c r="E58" s="99" t="str">
        <f t="shared" si="6"/>
        <v>WR-1012B-4.9</v>
      </c>
      <c r="F58" s="254">
        <f t="shared" si="7"/>
        <v>12</v>
      </c>
      <c r="G58" s="322" t="s">
        <v>183</v>
      </c>
      <c r="I58" s="171" t="s">
        <v>528</v>
      </c>
      <c r="J58" s="160">
        <f t="shared" si="8"/>
        <v>9904.8050770625559</v>
      </c>
      <c r="K58" s="101">
        <f>+K49+75</f>
        <v>10925</v>
      </c>
    </row>
    <row r="59" spans="1:11">
      <c r="A59" s="279" t="s">
        <v>61</v>
      </c>
      <c r="B59" s="254" t="s">
        <v>51</v>
      </c>
      <c r="C59" s="255" t="s">
        <v>55</v>
      </c>
      <c r="D59" s="342">
        <v>4.7</v>
      </c>
      <c r="E59" s="99" t="str">
        <f t="shared" si="6"/>
        <v>WR-1012B-4.7</v>
      </c>
      <c r="F59" s="254">
        <f t="shared" si="7"/>
        <v>12</v>
      </c>
      <c r="G59" s="387" t="s">
        <v>184</v>
      </c>
      <c r="H59" s="388"/>
      <c r="I59" s="171" t="s">
        <v>529</v>
      </c>
      <c r="J59" s="160">
        <f>+K59/1.103</f>
        <v>9972.8014505893025</v>
      </c>
      <c r="K59" s="101">
        <f>+K49+150</f>
        <v>11000</v>
      </c>
    </row>
    <row r="60" spans="1:11">
      <c r="A60" s="344" t="s">
        <v>464</v>
      </c>
      <c r="B60" s="345" t="s">
        <v>51</v>
      </c>
      <c r="C60" s="346" t="s">
        <v>55</v>
      </c>
      <c r="D60" s="347" t="s">
        <v>516</v>
      </c>
      <c r="E60" s="348" t="str">
        <f>CONCATENATE(B60,"-",C60,"-",D60)</f>
        <v xml:space="preserve">WR-1012B-11 - 12 </v>
      </c>
      <c r="F60" s="345">
        <f t="shared" ref="F60" si="9">LEN(E60)</f>
        <v>17</v>
      </c>
      <c r="G60" s="389" t="s">
        <v>515</v>
      </c>
      <c r="H60" s="388"/>
      <c r="I60" s="349" t="s">
        <v>527</v>
      </c>
      <c r="J60" s="350">
        <f>+K60/1.103</f>
        <v>9836.8087035358112</v>
      </c>
      <c r="K60" s="351">
        <f>+K49</f>
        <v>10850</v>
      </c>
    </row>
    <row r="61" spans="1:11">
      <c r="A61" s="279" t="s">
        <v>497</v>
      </c>
      <c r="B61" s="254" t="s">
        <v>51</v>
      </c>
      <c r="C61" s="280" t="s">
        <v>55</v>
      </c>
      <c r="D61" s="352" t="s">
        <v>62</v>
      </c>
      <c r="E61" s="99" t="str">
        <f t="shared" ref="E61:E64" si="10">CONCATENATE(B61,"-",C61,"-",D61)</f>
        <v>WR-1012B-10</v>
      </c>
      <c r="F61" s="254"/>
      <c r="G61" s="389" t="s">
        <v>517</v>
      </c>
      <c r="H61" s="388"/>
      <c r="I61" s="171" t="s">
        <v>530</v>
      </c>
      <c r="J61" s="160">
        <f>+K61/1.103</f>
        <v>9836.8087035358112</v>
      </c>
      <c r="K61" s="351">
        <f>+K49</f>
        <v>10850</v>
      </c>
    </row>
    <row r="62" spans="1:11">
      <c r="A62" s="376" t="s">
        <v>562</v>
      </c>
      <c r="B62" s="254" t="s">
        <v>51</v>
      </c>
      <c r="C62" s="280" t="s">
        <v>55</v>
      </c>
      <c r="D62" s="353" t="s">
        <v>518</v>
      </c>
      <c r="E62" s="99" t="str">
        <f t="shared" si="10"/>
        <v>WR-1012B-10.5</v>
      </c>
      <c r="F62" s="332"/>
      <c r="G62" s="389" t="s">
        <v>521</v>
      </c>
      <c r="H62" s="388"/>
      <c r="I62" s="341" t="s">
        <v>525</v>
      </c>
      <c r="J62" s="160">
        <f t="shared" ref="J62:J64" si="11">+K62/1.103</f>
        <v>9882.1396192203083</v>
      </c>
      <c r="K62" s="351">
        <f>+K49+50</f>
        <v>10900</v>
      </c>
    </row>
    <row r="63" spans="1:11">
      <c r="A63" s="376" t="s">
        <v>563</v>
      </c>
      <c r="B63" s="254" t="s">
        <v>51</v>
      </c>
      <c r="C63" s="280" t="s">
        <v>55</v>
      </c>
      <c r="D63" s="353" t="s">
        <v>519</v>
      </c>
      <c r="E63" s="99" t="str">
        <f t="shared" si="10"/>
        <v>WR-1012B-12.5 - 16</v>
      </c>
      <c r="F63" s="332"/>
      <c r="G63" s="389" t="s">
        <v>522</v>
      </c>
      <c r="H63" s="388"/>
      <c r="I63" s="341" t="s">
        <v>525</v>
      </c>
      <c r="J63" s="160">
        <f t="shared" si="11"/>
        <v>9882.1396192203083</v>
      </c>
      <c r="K63" s="351">
        <f>+K49+50</f>
        <v>10900</v>
      </c>
    </row>
    <row r="64" spans="1:11">
      <c r="A64" s="376" t="s">
        <v>564</v>
      </c>
      <c r="B64" s="254" t="s">
        <v>51</v>
      </c>
      <c r="C64" s="280" t="s">
        <v>55</v>
      </c>
      <c r="D64" s="353" t="s">
        <v>520</v>
      </c>
      <c r="E64" s="99" t="str">
        <f t="shared" si="10"/>
        <v>WR-1012B-17-22</v>
      </c>
      <c r="F64" s="332"/>
      <c r="G64" s="389" t="s">
        <v>523</v>
      </c>
      <c r="H64" s="388"/>
      <c r="I64" s="341" t="s">
        <v>524</v>
      </c>
      <c r="J64" s="160">
        <f t="shared" si="11"/>
        <v>9927.4705349048054</v>
      </c>
      <c r="K64" s="351">
        <f>+K49+100</f>
        <v>10950</v>
      </c>
    </row>
    <row r="65" spans="1:11" ht="12" customHeight="1">
      <c r="A65" s="279" t="s">
        <v>62</v>
      </c>
      <c r="B65" s="254" t="s">
        <v>51</v>
      </c>
      <c r="C65" s="355">
        <v>1005</v>
      </c>
      <c r="D65" s="263" t="s">
        <v>52</v>
      </c>
      <c r="E65" s="99" t="str">
        <f t="shared" si="6"/>
        <v>WR-1005-All</v>
      </c>
      <c r="F65" s="254">
        <f t="shared" si="7"/>
        <v>11</v>
      </c>
      <c r="G65" s="387" t="s">
        <v>185</v>
      </c>
      <c r="H65" s="388"/>
      <c r="I65" s="171" t="s">
        <v>524</v>
      </c>
      <c r="J65" s="160">
        <f t="shared" si="8"/>
        <v>10108.794197642792</v>
      </c>
      <c r="K65" s="101">
        <f>+K66+100</f>
        <v>11150</v>
      </c>
    </row>
    <row r="66" spans="1:11" s="340" customFormat="1">
      <c r="A66" s="356" t="s">
        <v>63</v>
      </c>
      <c r="B66" s="253" t="s">
        <v>51</v>
      </c>
      <c r="C66" s="281">
        <v>1006</v>
      </c>
      <c r="D66" s="257" t="s">
        <v>556</v>
      </c>
      <c r="E66" s="357" t="str">
        <f t="shared" si="6"/>
        <v>WR-1006-5.5-6.4</v>
      </c>
      <c r="F66" s="253">
        <f t="shared" si="7"/>
        <v>15</v>
      </c>
      <c r="G66" s="340" t="s">
        <v>557</v>
      </c>
      <c r="I66" s="171" t="s">
        <v>526</v>
      </c>
      <c r="J66" s="176">
        <f t="shared" si="8"/>
        <v>10018.1323662738</v>
      </c>
      <c r="K66" s="174">
        <f>10100+100+200+400+550-200-100</f>
        <v>11050</v>
      </c>
    </row>
    <row r="67" spans="1:11" s="363" customFormat="1">
      <c r="A67" s="358" t="s">
        <v>64</v>
      </c>
      <c r="B67" s="359" t="s">
        <v>51</v>
      </c>
      <c r="C67" s="360">
        <v>1006</v>
      </c>
      <c r="D67" s="361" t="s">
        <v>514</v>
      </c>
      <c r="E67" s="362" t="str">
        <f t="shared" si="6"/>
        <v>WR-1006-6.5 - 9.5</v>
      </c>
      <c r="F67" s="359">
        <f t="shared" si="7"/>
        <v>17</v>
      </c>
      <c r="G67" s="363" t="s">
        <v>531</v>
      </c>
      <c r="I67" s="185" t="s">
        <v>290</v>
      </c>
      <c r="J67" s="364">
        <f t="shared" si="8"/>
        <v>10018.1323662738</v>
      </c>
      <c r="K67" s="285">
        <f>+K66</f>
        <v>11050</v>
      </c>
    </row>
    <row r="68" spans="1:11" s="340" customFormat="1">
      <c r="A68" s="253" t="s">
        <v>429</v>
      </c>
      <c r="B68" s="253" t="s">
        <v>51</v>
      </c>
      <c r="C68" s="281">
        <v>1006</v>
      </c>
      <c r="D68" s="352" t="s">
        <v>534</v>
      </c>
      <c r="E68" s="362" t="str">
        <f t="shared" si="6"/>
        <v>WR-1006-11 - 12</v>
      </c>
      <c r="F68" s="253"/>
      <c r="G68" s="340" t="s">
        <v>532</v>
      </c>
      <c r="I68" s="171" t="s">
        <v>290</v>
      </c>
      <c r="J68" s="176">
        <f>+K68/1.103</f>
        <v>10018.1323662738</v>
      </c>
      <c r="K68" s="169">
        <f>+K66</f>
        <v>11050</v>
      </c>
    </row>
    <row r="69" spans="1:11" s="340" customFormat="1">
      <c r="A69" s="253" t="s">
        <v>506</v>
      </c>
      <c r="B69" s="253" t="s">
        <v>51</v>
      </c>
      <c r="C69" s="281">
        <v>1006</v>
      </c>
      <c r="D69" s="352" t="s">
        <v>535</v>
      </c>
      <c r="E69" s="362" t="str">
        <f t="shared" si="6"/>
        <v>WR-1006-17 - 22</v>
      </c>
      <c r="F69" s="253"/>
      <c r="G69" s="340" t="s">
        <v>533</v>
      </c>
      <c r="I69" s="171" t="s">
        <v>524</v>
      </c>
      <c r="J69" s="176">
        <f>+K69/1.103</f>
        <v>10108.794197642792</v>
      </c>
      <c r="K69" s="169">
        <f>+K66+100</f>
        <v>11150</v>
      </c>
    </row>
    <row r="70" spans="1:11" s="340" customFormat="1">
      <c r="A70" s="253" t="s">
        <v>565</v>
      </c>
      <c r="B70" s="253" t="s">
        <v>51</v>
      </c>
      <c r="C70" s="281">
        <v>1006</v>
      </c>
      <c r="D70" s="352" t="s">
        <v>62</v>
      </c>
      <c r="E70" s="362" t="str">
        <f t="shared" si="6"/>
        <v>WR-1006-10</v>
      </c>
      <c r="F70" s="253"/>
      <c r="G70" s="340" t="s">
        <v>536</v>
      </c>
      <c r="I70" s="171" t="s">
        <v>526</v>
      </c>
      <c r="J70" s="176">
        <f t="shared" ref="J70:J72" si="12">+K70/1.103</f>
        <v>10018.1323662738</v>
      </c>
      <c r="K70" s="169">
        <f>+K66</f>
        <v>11050</v>
      </c>
    </row>
    <row r="71" spans="1:11" s="340" customFormat="1">
      <c r="A71" s="253" t="s">
        <v>566</v>
      </c>
      <c r="B71" s="253" t="s">
        <v>51</v>
      </c>
      <c r="C71" s="281">
        <v>1006</v>
      </c>
      <c r="D71" s="353" t="s">
        <v>518</v>
      </c>
      <c r="E71" s="362" t="str">
        <f t="shared" si="6"/>
        <v>WR-1006-10.5</v>
      </c>
      <c r="F71" s="253"/>
      <c r="G71" s="340" t="s">
        <v>537</v>
      </c>
      <c r="I71" s="171" t="s">
        <v>525</v>
      </c>
      <c r="J71" s="176">
        <f t="shared" si="12"/>
        <v>10063.463281958295</v>
      </c>
      <c r="K71" s="169">
        <f>+$K$66+50</f>
        <v>11100</v>
      </c>
    </row>
    <row r="72" spans="1:11" s="340" customFormat="1">
      <c r="A72" s="253" t="s">
        <v>567</v>
      </c>
      <c r="B72" s="253" t="s">
        <v>51</v>
      </c>
      <c r="C72" s="281">
        <v>1006</v>
      </c>
      <c r="D72" s="353" t="s">
        <v>519</v>
      </c>
      <c r="E72" s="362" t="str">
        <f t="shared" si="6"/>
        <v>WR-1006-12.5 - 16</v>
      </c>
      <c r="F72" s="253"/>
      <c r="G72" s="340" t="s">
        <v>538</v>
      </c>
      <c r="I72" s="171" t="s">
        <v>525</v>
      </c>
      <c r="J72" s="176">
        <f t="shared" si="12"/>
        <v>10063.463281958295</v>
      </c>
      <c r="K72" s="169">
        <f>+$K$66+50</f>
        <v>11100</v>
      </c>
    </row>
    <row r="73" spans="1:11" s="340" customFormat="1">
      <c r="A73" s="356" t="s">
        <v>65</v>
      </c>
      <c r="B73" s="253" t="s">
        <v>51</v>
      </c>
      <c r="C73" s="281" t="s">
        <v>298</v>
      </c>
      <c r="D73" s="257" t="s">
        <v>299</v>
      </c>
      <c r="E73" s="357" t="str">
        <f t="shared" si="6"/>
        <v>WR-1008 All size-all</v>
      </c>
      <c r="F73" s="253">
        <f t="shared" si="7"/>
        <v>20</v>
      </c>
      <c r="G73" s="340" t="s">
        <v>188</v>
      </c>
      <c r="I73" s="171" t="s">
        <v>526</v>
      </c>
      <c r="J73" s="176">
        <f t="shared" si="8"/>
        <v>10018.1323662738</v>
      </c>
      <c r="K73" s="169">
        <f>+K74</f>
        <v>11050</v>
      </c>
    </row>
    <row r="74" spans="1:11" s="340" customFormat="1" ht="15.75" customHeight="1">
      <c r="A74" s="356" t="s">
        <v>66</v>
      </c>
      <c r="B74" s="253" t="s">
        <v>51</v>
      </c>
      <c r="C74" s="281">
        <v>1008</v>
      </c>
      <c r="D74" s="257" t="s">
        <v>556</v>
      </c>
      <c r="E74" s="357" t="str">
        <f t="shared" si="6"/>
        <v>WR-1008-5.5-6.4</v>
      </c>
      <c r="F74" s="253">
        <f t="shared" si="7"/>
        <v>15</v>
      </c>
      <c r="G74" s="340" t="s">
        <v>558</v>
      </c>
      <c r="I74" s="171" t="s">
        <v>526</v>
      </c>
      <c r="J74" s="176">
        <f>+K74/1.103</f>
        <v>10018.1323662738</v>
      </c>
      <c r="K74" s="174">
        <f>10100+100+200+400+550-200-100</f>
        <v>11050</v>
      </c>
    </row>
    <row r="75" spans="1:11" s="363" customFormat="1">
      <c r="A75" s="358" t="s">
        <v>67</v>
      </c>
      <c r="B75" s="359" t="s">
        <v>51</v>
      </c>
      <c r="C75" s="360">
        <v>1008</v>
      </c>
      <c r="D75" s="361" t="s">
        <v>514</v>
      </c>
      <c r="E75" s="362" t="str">
        <f t="shared" si="6"/>
        <v>WR-1008-6.5 - 9.5</v>
      </c>
      <c r="F75" s="359">
        <f t="shared" si="7"/>
        <v>17</v>
      </c>
      <c r="G75" s="363" t="s">
        <v>539</v>
      </c>
      <c r="I75" s="171" t="s">
        <v>526</v>
      </c>
      <c r="J75" s="364">
        <f t="shared" si="8"/>
        <v>10018.1323662738</v>
      </c>
      <c r="K75" s="285">
        <f>+K74</f>
        <v>11050</v>
      </c>
    </row>
    <row r="76" spans="1:11" s="340" customFormat="1">
      <c r="A76" s="253" t="s">
        <v>430</v>
      </c>
      <c r="B76" s="253" t="s">
        <v>51</v>
      </c>
      <c r="C76" s="281">
        <v>1008</v>
      </c>
      <c r="D76" s="352" t="s">
        <v>540</v>
      </c>
      <c r="E76" s="362" t="str">
        <f t="shared" si="6"/>
        <v>WR-1008-11-12</v>
      </c>
      <c r="F76" s="253"/>
      <c r="G76" s="340" t="s">
        <v>541</v>
      </c>
      <c r="I76" s="171" t="s">
        <v>526</v>
      </c>
      <c r="J76" s="176">
        <f>+K76/1.103</f>
        <v>10018.1323662738</v>
      </c>
      <c r="K76" s="285">
        <f>+K74</f>
        <v>11050</v>
      </c>
    </row>
    <row r="77" spans="1:11" s="340" customFormat="1">
      <c r="A77" s="253" t="s">
        <v>507</v>
      </c>
      <c r="B77" s="253" t="s">
        <v>51</v>
      </c>
      <c r="C77" s="281">
        <v>1008</v>
      </c>
      <c r="D77" s="352" t="s">
        <v>520</v>
      </c>
      <c r="E77" s="362" t="str">
        <f t="shared" si="6"/>
        <v>WR-1008-17-22</v>
      </c>
      <c r="F77" s="253"/>
      <c r="G77" s="340" t="s">
        <v>542</v>
      </c>
      <c r="I77" s="171" t="s">
        <v>524</v>
      </c>
      <c r="J77" s="176">
        <f>+K77/1.103</f>
        <v>10108.794197642792</v>
      </c>
      <c r="K77" s="285">
        <f>+$K$74+100</f>
        <v>11150</v>
      </c>
    </row>
    <row r="78" spans="1:11" s="340" customFormat="1">
      <c r="A78" s="253" t="s">
        <v>568</v>
      </c>
      <c r="B78" s="253" t="s">
        <v>51</v>
      </c>
      <c r="C78" s="281">
        <v>1008</v>
      </c>
      <c r="D78" s="352" t="s">
        <v>62</v>
      </c>
      <c r="E78" s="362" t="str">
        <f t="shared" si="6"/>
        <v>WR-1008-10</v>
      </c>
      <c r="F78" s="253"/>
      <c r="G78" s="340" t="s">
        <v>543</v>
      </c>
      <c r="I78" s="171" t="s">
        <v>526</v>
      </c>
      <c r="J78" s="176">
        <f>+K78/1.103</f>
        <v>10018.1323662738</v>
      </c>
      <c r="K78" s="285">
        <f>+K74</f>
        <v>11050</v>
      </c>
    </row>
    <row r="79" spans="1:11" s="340" customFormat="1">
      <c r="A79" s="253" t="s">
        <v>569</v>
      </c>
      <c r="B79" s="253" t="s">
        <v>51</v>
      </c>
      <c r="C79" s="281">
        <v>1008</v>
      </c>
      <c r="D79" s="353" t="s">
        <v>518</v>
      </c>
      <c r="E79" s="362" t="str">
        <f t="shared" si="6"/>
        <v>WR-1008-10.5</v>
      </c>
      <c r="F79" s="253"/>
      <c r="G79" s="340" t="s">
        <v>544</v>
      </c>
      <c r="I79" s="171" t="s">
        <v>525</v>
      </c>
      <c r="J79" s="176">
        <f t="shared" ref="J79:J80" si="13">+K79/1.103</f>
        <v>10063.463281958295</v>
      </c>
      <c r="K79" s="285">
        <f>+$K$74+50</f>
        <v>11100</v>
      </c>
    </row>
    <row r="80" spans="1:11" s="340" customFormat="1">
      <c r="A80" s="253" t="s">
        <v>570</v>
      </c>
      <c r="B80" s="253" t="s">
        <v>51</v>
      </c>
      <c r="C80" s="281">
        <v>1008</v>
      </c>
      <c r="D80" s="353" t="s">
        <v>519</v>
      </c>
      <c r="E80" s="362" t="str">
        <f t="shared" si="6"/>
        <v>WR-1008-12.5 - 16</v>
      </c>
      <c r="F80" s="253"/>
      <c r="G80" s="340" t="s">
        <v>545</v>
      </c>
      <c r="I80" s="171" t="s">
        <v>525</v>
      </c>
      <c r="J80" s="176">
        <f t="shared" si="13"/>
        <v>10063.463281958295</v>
      </c>
      <c r="K80" s="285">
        <f>+$K$74+50</f>
        <v>11100</v>
      </c>
    </row>
    <row r="81" spans="1:11" s="340" customFormat="1">
      <c r="A81" s="356" t="s">
        <v>68</v>
      </c>
      <c r="B81" s="253" t="s">
        <v>51</v>
      </c>
      <c r="C81" s="281" t="s">
        <v>300</v>
      </c>
      <c r="D81" s="257" t="s">
        <v>52</v>
      </c>
      <c r="E81" s="357" t="str">
        <f t="shared" si="6"/>
        <v>WR-1017/SWRM17-All</v>
      </c>
      <c r="F81" s="253">
        <f t="shared" si="7"/>
        <v>18</v>
      </c>
      <c r="G81" s="340" t="s">
        <v>191</v>
      </c>
      <c r="I81" s="171" t="s">
        <v>526</v>
      </c>
      <c r="J81" s="284">
        <f t="shared" si="8"/>
        <v>10018.1323662738</v>
      </c>
      <c r="K81" s="169">
        <f>K74</f>
        <v>11050</v>
      </c>
    </row>
    <row r="82" spans="1:11" s="340" customFormat="1">
      <c r="A82" s="356" t="s">
        <v>69</v>
      </c>
      <c r="B82" s="253" t="s">
        <v>51</v>
      </c>
      <c r="C82" s="281">
        <v>1018</v>
      </c>
      <c r="D82" s="257" t="s">
        <v>52</v>
      </c>
      <c r="E82" s="357" t="str">
        <f t="shared" si="6"/>
        <v>WR-1018-All</v>
      </c>
      <c r="F82" s="253">
        <f t="shared" si="7"/>
        <v>11</v>
      </c>
      <c r="G82" s="340" t="s">
        <v>192</v>
      </c>
      <c r="I82" s="171" t="s">
        <v>526</v>
      </c>
      <c r="J82" s="284">
        <f t="shared" si="8"/>
        <v>9836.8087035358112</v>
      </c>
      <c r="K82" s="169">
        <f>+K84</f>
        <v>10850</v>
      </c>
    </row>
    <row r="83" spans="1:11" s="340" customFormat="1" ht="13.5" customHeight="1">
      <c r="A83" s="356" t="s">
        <v>70</v>
      </c>
      <c r="B83" s="253" t="s">
        <v>51</v>
      </c>
      <c r="C83" s="281" t="s">
        <v>302</v>
      </c>
      <c r="D83" s="257">
        <v>5.0999999999999996</v>
      </c>
      <c r="E83" s="357" t="str">
        <f t="shared" si="6"/>
        <v>WR-1010/12/15-5.1</v>
      </c>
      <c r="F83" s="253">
        <f t="shared" si="7"/>
        <v>17</v>
      </c>
      <c r="G83" s="340" t="s">
        <v>193</v>
      </c>
      <c r="I83" s="171" t="s">
        <v>526</v>
      </c>
      <c r="J83" s="284">
        <f t="shared" si="8"/>
        <v>9836.8087035358112</v>
      </c>
      <c r="K83" s="169">
        <f>+K84</f>
        <v>10850</v>
      </c>
    </row>
    <row r="84" spans="1:11" s="340" customFormat="1" ht="13.5" customHeight="1">
      <c r="A84" s="356" t="s">
        <v>71</v>
      </c>
      <c r="B84" s="253" t="s">
        <v>51</v>
      </c>
      <c r="C84" s="281" t="s">
        <v>302</v>
      </c>
      <c r="D84" s="257">
        <v>5.5</v>
      </c>
      <c r="E84" s="357" t="str">
        <f t="shared" si="6"/>
        <v>WR-1010/12/15-5.5</v>
      </c>
      <c r="F84" s="253">
        <f t="shared" si="7"/>
        <v>17</v>
      </c>
      <c r="G84" s="340" t="s">
        <v>194</v>
      </c>
      <c r="I84" s="171" t="s">
        <v>526</v>
      </c>
      <c r="J84" s="284">
        <f t="shared" si="8"/>
        <v>9836.8087035358112</v>
      </c>
      <c r="K84" s="174">
        <f>+K49</f>
        <v>10850</v>
      </c>
    </row>
    <row r="85" spans="1:11" s="340" customFormat="1" ht="13.5" customHeight="1">
      <c r="A85" s="356" t="s">
        <v>72</v>
      </c>
      <c r="B85" s="253" t="s">
        <v>51</v>
      </c>
      <c r="C85" s="281" t="s">
        <v>302</v>
      </c>
      <c r="D85" s="257">
        <v>5.4</v>
      </c>
      <c r="E85" s="357" t="str">
        <f t="shared" si="6"/>
        <v>WR-1010/12/15-5.4</v>
      </c>
      <c r="F85" s="253">
        <f t="shared" si="7"/>
        <v>17</v>
      </c>
      <c r="G85" s="340" t="s">
        <v>195</v>
      </c>
      <c r="I85" s="171" t="s">
        <v>526</v>
      </c>
      <c r="J85" s="284">
        <f t="shared" si="8"/>
        <v>9836.8087035358112</v>
      </c>
      <c r="K85" s="169">
        <f>+K84</f>
        <v>10850</v>
      </c>
    </row>
    <row r="86" spans="1:11" s="340" customFormat="1" ht="13.5" customHeight="1">
      <c r="A86" s="356" t="s">
        <v>73</v>
      </c>
      <c r="B86" s="253" t="s">
        <v>51</v>
      </c>
      <c r="C86" s="281" t="s">
        <v>302</v>
      </c>
      <c r="D86" s="257">
        <v>5.65</v>
      </c>
      <c r="E86" s="357" t="str">
        <f t="shared" si="6"/>
        <v>WR-1010/12/15-5.65</v>
      </c>
      <c r="F86" s="253">
        <f>LEN(E86)</f>
        <v>18</v>
      </c>
      <c r="G86" s="340" t="s">
        <v>196</v>
      </c>
      <c r="I86" s="171" t="s">
        <v>526</v>
      </c>
      <c r="J86" s="284">
        <f t="shared" si="8"/>
        <v>9836.8087035358112</v>
      </c>
      <c r="K86" s="169">
        <f>+K85</f>
        <v>10850</v>
      </c>
    </row>
    <row r="87" spans="1:11" s="340" customFormat="1" ht="13.5" customHeight="1">
      <c r="A87" s="356" t="s">
        <v>74</v>
      </c>
      <c r="B87" s="253" t="s">
        <v>51</v>
      </c>
      <c r="C87" s="281" t="s">
        <v>302</v>
      </c>
      <c r="D87" s="257" t="s">
        <v>546</v>
      </c>
      <c r="E87" s="357" t="str">
        <f t="shared" si="6"/>
        <v>WR-1010/12/15-5.8-6.4</v>
      </c>
      <c r="F87" s="253">
        <f t="shared" si="7"/>
        <v>21</v>
      </c>
      <c r="G87" s="340" t="s">
        <v>559</v>
      </c>
      <c r="I87" s="171" t="s">
        <v>526</v>
      </c>
      <c r="J87" s="284">
        <f t="shared" si="8"/>
        <v>9836.8087035358112</v>
      </c>
      <c r="K87" s="169">
        <f>+K84</f>
        <v>10850</v>
      </c>
    </row>
    <row r="88" spans="1:11" s="340" customFormat="1" ht="13.5" customHeight="1">
      <c r="A88" s="356" t="s">
        <v>75</v>
      </c>
      <c r="B88" s="253" t="s">
        <v>51</v>
      </c>
      <c r="C88" s="281" t="s">
        <v>302</v>
      </c>
      <c r="D88" s="257" t="s">
        <v>547</v>
      </c>
      <c r="E88" s="357" t="str">
        <f t="shared" si="6"/>
        <v>WR-1010/12/15-6.5-9.5</v>
      </c>
      <c r="F88" s="253">
        <f t="shared" si="7"/>
        <v>21</v>
      </c>
      <c r="G88" s="340" t="s">
        <v>548</v>
      </c>
      <c r="I88" s="171" t="s">
        <v>526</v>
      </c>
      <c r="J88" s="284">
        <f t="shared" si="8"/>
        <v>9836.8087035358112</v>
      </c>
      <c r="K88" s="169">
        <f>+K84</f>
        <v>10850</v>
      </c>
    </row>
    <row r="89" spans="1:11" s="340" customFormat="1" ht="13.5" customHeight="1">
      <c r="A89" s="356" t="s">
        <v>76</v>
      </c>
      <c r="B89" s="253" t="s">
        <v>51</v>
      </c>
      <c r="C89" s="281" t="s">
        <v>302</v>
      </c>
      <c r="D89" s="257">
        <v>10</v>
      </c>
      <c r="E89" s="357" t="str">
        <f t="shared" si="6"/>
        <v>WR-1010/12/15-10</v>
      </c>
      <c r="F89" s="253">
        <f t="shared" si="7"/>
        <v>16</v>
      </c>
      <c r="G89" s="340" t="s">
        <v>549</v>
      </c>
      <c r="I89" s="171" t="s">
        <v>525</v>
      </c>
      <c r="J89" s="284">
        <f t="shared" si="8"/>
        <v>9882.1396192203083</v>
      </c>
      <c r="K89" s="169">
        <f>+$K$84+50</f>
        <v>10900</v>
      </c>
    </row>
    <row r="90" spans="1:11" s="340" customFormat="1">
      <c r="A90" s="301" t="s">
        <v>431</v>
      </c>
      <c r="B90" s="301" t="s">
        <v>51</v>
      </c>
      <c r="C90" s="365" t="s">
        <v>302</v>
      </c>
      <c r="D90" s="352" t="s">
        <v>518</v>
      </c>
      <c r="E90" s="357" t="str">
        <f t="shared" si="6"/>
        <v>WR-1010/12/15-10.5</v>
      </c>
      <c r="F90" s="301"/>
      <c r="G90" s="340" t="s">
        <v>550</v>
      </c>
      <c r="I90" s="194" t="s">
        <v>526</v>
      </c>
      <c r="J90" s="366">
        <f>+K90/1.103</f>
        <v>9836.8087035358112</v>
      </c>
      <c r="K90" s="351">
        <f>+K84</f>
        <v>10850</v>
      </c>
    </row>
    <row r="91" spans="1:11" s="340" customFormat="1">
      <c r="A91" s="301" t="s">
        <v>508</v>
      </c>
      <c r="B91" s="301" t="s">
        <v>51</v>
      </c>
      <c r="C91" s="365" t="s">
        <v>302</v>
      </c>
      <c r="D91" s="257" t="s">
        <v>520</v>
      </c>
      <c r="E91" s="357" t="str">
        <f t="shared" si="6"/>
        <v>WR-1010/12/15-17-22</v>
      </c>
      <c r="F91" s="301"/>
      <c r="G91" s="340" t="s">
        <v>551</v>
      </c>
      <c r="I91" s="194" t="s">
        <v>524</v>
      </c>
      <c r="J91" s="366">
        <f t="shared" ref="J91:J93" si="14">+K91/1.103</f>
        <v>9927.4705349048054</v>
      </c>
      <c r="K91" s="351">
        <f>+$K$84+100</f>
        <v>10950</v>
      </c>
    </row>
    <row r="92" spans="1:11" s="340" customFormat="1">
      <c r="A92" s="301" t="s">
        <v>560</v>
      </c>
      <c r="B92" s="301" t="s">
        <v>51</v>
      </c>
      <c r="C92" s="365" t="s">
        <v>302</v>
      </c>
      <c r="D92" s="257" t="s">
        <v>540</v>
      </c>
      <c r="E92" s="357" t="str">
        <f t="shared" si="6"/>
        <v>WR-1010/12/15-11-12</v>
      </c>
      <c r="F92" s="301"/>
      <c r="G92" s="340" t="s">
        <v>552</v>
      </c>
      <c r="I92" s="194" t="s">
        <v>290</v>
      </c>
      <c r="J92" s="366">
        <f t="shared" si="14"/>
        <v>9836.8087035358112</v>
      </c>
      <c r="K92" s="169">
        <f>+K84</f>
        <v>10850</v>
      </c>
    </row>
    <row r="93" spans="1:11" s="340" customFormat="1">
      <c r="A93" s="301" t="s">
        <v>561</v>
      </c>
      <c r="B93" s="301" t="s">
        <v>51</v>
      </c>
      <c r="C93" s="365" t="s">
        <v>302</v>
      </c>
      <c r="D93" s="257" t="s">
        <v>519</v>
      </c>
      <c r="E93" s="357" t="str">
        <f t="shared" si="6"/>
        <v>WR-1010/12/15-12.5 - 16</v>
      </c>
      <c r="F93" s="301"/>
      <c r="G93" s="340" t="s">
        <v>553</v>
      </c>
      <c r="I93" s="171" t="s">
        <v>525</v>
      </c>
      <c r="J93" s="284">
        <f t="shared" si="14"/>
        <v>9882.1396192203083</v>
      </c>
      <c r="K93" s="169">
        <f>+$K$84+50</f>
        <v>10900</v>
      </c>
    </row>
    <row r="94" spans="1:11" s="261" customFormat="1">
      <c r="A94" s="279" t="s">
        <v>77</v>
      </c>
      <c r="B94" s="258" t="s">
        <v>51</v>
      </c>
      <c r="C94" s="259" t="s">
        <v>308</v>
      </c>
      <c r="D94" s="325" t="s">
        <v>299</v>
      </c>
      <c r="E94" s="260" t="str">
        <f t="shared" si="6"/>
        <v>WR-1012 All-all</v>
      </c>
      <c r="F94" s="254">
        <f t="shared" si="7"/>
        <v>15</v>
      </c>
      <c r="G94" s="322" t="s">
        <v>200</v>
      </c>
      <c r="I94" s="100" t="str">
        <f>+I85</f>
        <v xml:space="preserve">Base </v>
      </c>
      <c r="J94" s="160">
        <f t="shared" si="8"/>
        <v>9836.8087035358112</v>
      </c>
      <c r="K94" s="101">
        <f>+K85</f>
        <v>10850</v>
      </c>
    </row>
    <row r="95" spans="1:11">
      <c r="A95" s="279" t="s">
        <v>78</v>
      </c>
      <c r="B95" s="254" t="s">
        <v>51</v>
      </c>
      <c r="C95" s="255" t="s">
        <v>309</v>
      </c>
      <c r="D95" s="263" t="s">
        <v>52</v>
      </c>
      <c r="E95" s="99" t="str">
        <f t="shared" si="6"/>
        <v>WR-1022/SWRM22-All</v>
      </c>
      <c r="F95" s="254">
        <f t="shared" si="7"/>
        <v>18</v>
      </c>
      <c r="G95" s="322" t="s">
        <v>201</v>
      </c>
      <c r="I95" s="100" t="str">
        <f>I49</f>
        <v xml:space="preserve">Base </v>
      </c>
      <c r="J95" s="160">
        <f t="shared" si="8"/>
        <v>9836.8087035358112</v>
      </c>
      <c r="K95" s="101">
        <f>K54</f>
        <v>10850</v>
      </c>
    </row>
    <row r="96" spans="1:11">
      <c r="A96" s="279" t="s">
        <v>79</v>
      </c>
      <c r="B96" s="254" t="s">
        <v>51</v>
      </c>
      <c r="C96" s="321" t="s">
        <v>102</v>
      </c>
      <c r="D96" s="326">
        <v>6</v>
      </c>
      <c r="E96" s="99" t="str">
        <f t="shared" si="6"/>
        <v>WR-1012I-6</v>
      </c>
      <c r="F96" s="254">
        <f t="shared" si="7"/>
        <v>10</v>
      </c>
      <c r="G96" s="322" t="s">
        <v>202</v>
      </c>
      <c r="I96" s="171" t="s">
        <v>526</v>
      </c>
      <c r="J96" s="160">
        <f t="shared" si="8"/>
        <v>9836.8087035358112</v>
      </c>
      <c r="K96" s="174">
        <f>+K49</f>
        <v>10850</v>
      </c>
    </row>
    <row r="97" spans="1:12">
      <c r="A97" s="279" t="s">
        <v>80</v>
      </c>
      <c r="B97" s="254" t="s">
        <v>51</v>
      </c>
      <c r="C97" s="321" t="s">
        <v>102</v>
      </c>
      <c r="D97" s="326">
        <v>8</v>
      </c>
      <c r="E97" s="99" t="str">
        <f t="shared" si="6"/>
        <v>WR-1012I-8</v>
      </c>
      <c r="F97" s="254">
        <f t="shared" si="7"/>
        <v>10</v>
      </c>
      <c r="G97" s="322" t="s">
        <v>203</v>
      </c>
      <c r="I97" s="171" t="s">
        <v>526</v>
      </c>
      <c r="J97" s="160">
        <f t="shared" si="8"/>
        <v>9836.8087035358112</v>
      </c>
      <c r="K97" s="101">
        <f>+K96</f>
        <v>10850</v>
      </c>
    </row>
    <row r="98" spans="1:12">
      <c r="A98" s="279" t="s">
        <v>81</v>
      </c>
      <c r="B98" s="254" t="s">
        <v>51</v>
      </c>
      <c r="C98" s="321" t="s">
        <v>102</v>
      </c>
      <c r="D98" s="326">
        <v>10</v>
      </c>
      <c r="E98" s="99" t="str">
        <f t="shared" si="6"/>
        <v>WR-1012I-10</v>
      </c>
      <c r="F98" s="254">
        <f t="shared" si="7"/>
        <v>11</v>
      </c>
      <c r="G98" s="322" t="s">
        <v>204</v>
      </c>
      <c r="I98" s="171" t="s">
        <v>526</v>
      </c>
      <c r="J98" s="160">
        <f t="shared" si="8"/>
        <v>9836.8087035358112</v>
      </c>
      <c r="K98" s="101">
        <f>+K96</f>
        <v>10850</v>
      </c>
    </row>
    <row r="99" spans="1:12">
      <c r="A99" s="279" t="s">
        <v>82</v>
      </c>
      <c r="B99" s="254" t="s">
        <v>51</v>
      </c>
      <c r="C99" s="321" t="s">
        <v>102</v>
      </c>
      <c r="D99" s="326">
        <v>12</v>
      </c>
      <c r="E99" s="99" t="str">
        <f t="shared" si="6"/>
        <v>WR-1012I-12</v>
      </c>
      <c r="F99" s="254">
        <f t="shared" si="7"/>
        <v>11</v>
      </c>
      <c r="G99" s="322" t="s">
        <v>205</v>
      </c>
      <c r="I99" s="171" t="s">
        <v>526</v>
      </c>
      <c r="J99" s="160">
        <f t="shared" si="8"/>
        <v>9836.8087035358112</v>
      </c>
      <c r="K99" s="101">
        <f>+K96</f>
        <v>10850</v>
      </c>
    </row>
    <row r="100" spans="1:12">
      <c r="A100" s="279" t="s">
        <v>83</v>
      </c>
      <c r="B100" s="254" t="s">
        <v>51</v>
      </c>
      <c r="C100" s="100" t="s">
        <v>125</v>
      </c>
      <c r="D100" s="263" t="s">
        <v>52</v>
      </c>
      <c r="E100" s="99" t="str">
        <f t="shared" si="6"/>
        <v>WR-SWRH27-All</v>
      </c>
      <c r="F100" s="254">
        <f t="shared" si="7"/>
        <v>13</v>
      </c>
      <c r="G100" s="322" t="s">
        <v>206</v>
      </c>
      <c r="I100" s="100" t="s">
        <v>311</v>
      </c>
      <c r="J100" s="165">
        <f t="shared" si="8"/>
        <v>10652.765185856755</v>
      </c>
      <c r="K100" s="367">
        <f>+K103+100</f>
        <v>11750</v>
      </c>
    </row>
    <row r="101" spans="1:12">
      <c r="A101" s="279" t="s">
        <v>84</v>
      </c>
      <c r="B101" s="254" t="s">
        <v>51</v>
      </c>
      <c r="C101" s="100" t="s">
        <v>127</v>
      </c>
      <c r="D101" s="263" t="s">
        <v>52</v>
      </c>
      <c r="E101" s="99" t="str">
        <f t="shared" si="6"/>
        <v>WR-SWRH32-All</v>
      </c>
      <c r="F101" s="254">
        <f t="shared" si="7"/>
        <v>13</v>
      </c>
      <c r="G101" s="322" t="s">
        <v>207</v>
      </c>
      <c r="I101" s="100" t="str">
        <f>+$I$100</f>
        <v>Base5+100</v>
      </c>
      <c r="J101" s="165">
        <f t="shared" si="8"/>
        <v>10652.765185856755</v>
      </c>
      <c r="K101" s="367">
        <f>+K103+100</f>
        <v>11750</v>
      </c>
    </row>
    <row r="102" spans="1:12">
      <c r="A102" s="253" t="s">
        <v>578</v>
      </c>
      <c r="B102" s="254" t="s">
        <v>51</v>
      </c>
      <c r="C102" s="171" t="s">
        <v>571</v>
      </c>
      <c r="D102" s="263" t="s">
        <v>52</v>
      </c>
      <c r="E102" s="99" t="str">
        <f t="shared" si="6"/>
        <v>WR-SWRH42A-All</v>
      </c>
      <c r="F102" s="254"/>
      <c r="G102" s="322" t="s">
        <v>572</v>
      </c>
      <c r="I102" s="171" t="s">
        <v>573</v>
      </c>
      <c r="J102" s="165">
        <f t="shared" si="8"/>
        <v>10970.081595648233</v>
      </c>
      <c r="K102" s="367">
        <f>+K103+450</f>
        <v>12100</v>
      </c>
    </row>
    <row r="103" spans="1:12">
      <c r="A103" s="279" t="s">
        <v>85</v>
      </c>
      <c r="B103" s="254" t="s">
        <v>51</v>
      </c>
      <c r="C103" s="171" t="s">
        <v>574</v>
      </c>
      <c r="D103" s="263" t="s">
        <v>52</v>
      </c>
      <c r="E103" s="99" t="str">
        <f t="shared" ref="E103:E126" si="15">CONCATENATE(B103,"-",C103,"-",D103)</f>
        <v>WR-SWRH67-72-All</v>
      </c>
      <c r="F103" s="254">
        <f t="shared" ref="F103:F126" si="16">LEN(E103)</f>
        <v>16</v>
      </c>
      <c r="G103" s="390" t="str">
        <f>+E103</f>
        <v>WR-SWRH67-72-All</v>
      </c>
      <c r="I103" s="100" t="s">
        <v>313</v>
      </c>
      <c r="J103" s="165">
        <f t="shared" ref="J103:J129" si="17">+K103/1.103</f>
        <v>10562.103354487761</v>
      </c>
      <c r="K103" s="251">
        <f>10900+200+200+750-100-300</f>
        <v>11650</v>
      </c>
      <c r="L103" s="256" t="s">
        <v>490</v>
      </c>
    </row>
    <row r="104" spans="1:12">
      <c r="A104" s="253" t="s">
        <v>577</v>
      </c>
      <c r="B104" s="254" t="s">
        <v>51</v>
      </c>
      <c r="C104" s="171" t="s">
        <v>575</v>
      </c>
      <c r="D104" s="263" t="s">
        <v>52</v>
      </c>
      <c r="E104" s="99" t="str">
        <f t="shared" si="15"/>
        <v>WR-SWRH52-62-All</v>
      </c>
      <c r="F104" s="254"/>
      <c r="G104" s="390" t="str">
        <f>+E104</f>
        <v>WR-SWRH52-62-All</v>
      </c>
      <c r="I104" s="171" t="s">
        <v>576</v>
      </c>
      <c r="J104" s="165">
        <f t="shared" si="17"/>
        <v>10834.088848594742</v>
      </c>
      <c r="K104" s="391">
        <f>+K103+300</f>
        <v>11950</v>
      </c>
    </row>
    <row r="105" spans="1:12">
      <c r="A105" s="279" t="s">
        <v>86</v>
      </c>
      <c r="B105" s="254" t="s">
        <v>51</v>
      </c>
      <c r="C105" s="100" t="s">
        <v>144</v>
      </c>
      <c r="D105" s="263" t="s">
        <v>52</v>
      </c>
      <c r="E105" s="99" t="str">
        <f t="shared" si="15"/>
        <v>WR-32 HiSi-All</v>
      </c>
      <c r="F105" s="254">
        <f t="shared" si="16"/>
        <v>14</v>
      </c>
      <c r="G105" s="322" t="s">
        <v>209</v>
      </c>
      <c r="I105" s="100" t="s">
        <v>311</v>
      </c>
      <c r="J105" s="165">
        <f t="shared" si="17"/>
        <v>10652.765185856755</v>
      </c>
      <c r="K105" s="367">
        <f>+$K$103+100</f>
        <v>11750</v>
      </c>
    </row>
    <row r="106" spans="1:12">
      <c r="A106" s="279" t="s">
        <v>87</v>
      </c>
      <c r="B106" s="254" t="s">
        <v>51</v>
      </c>
      <c r="C106" s="100" t="s">
        <v>314</v>
      </c>
      <c r="D106" s="263" t="s">
        <v>315</v>
      </c>
      <c r="E106" s="99" t="str">
        <f t="shared" si="15"/>
        <v>WR-SWRH77A-82B-5-7.9</v>
      </c>
      <c r="F106" s="254">
        <f t="shared" si="16"/>
        <v>20</v>
      </c>
      <c r="G106" s="322" t="s">
        <v>210</v>
      </c>
      <c r="I106" s="171" t="s">
        <v>311</v>
      </c>
      <c r="J106" s="160">
        <f t="shared" si="17"/>
        <v>10652.765185856755</v>
      </c>
      <c r="K106" s="101">
        <f>+K103+100</f>
        <v>11750</v>
      </c>
    </row>
    <row r="107" spans="1:12">
      <c r="A107" s="279" t="s">
        <v>88</v>
      </c>
      <c r="B107" s="254" t="s">
        <v>51</v>
      </c>
      <c r="C107" s="100" t="s">
        <v>314</v>
      </c>
      <c r="D107" s="368" t="s">
        <v>316</v>
      </c>
      <c r="E107" s="99" t="str">
        <f t="shared" si="15"/>
        <v>WR-SWRH77A-82B-8-12</v>
      </c>
      <c r="F107" s="254">
        <f t="shared" si="16"/>
        <v>19</v>
      </c>
      <c r="G107" s="322" t="s">
        <v>211</v>
      </c>
      <c r="I107" s="171" t="s">
        <v>437</v>
      </c>
      <c r="J107" s="160">
        <f t="shared" si="17"/>
        <v>10698.096101541252</v>
      </c>
      <c r="K107" s="101">
        <f>+K103+150</f>
        <v>11800</v>
      </c>
    </row>
    <row r="108" spans="1:12">
      <c r="A108" s="279" t="s">
        <v>89</v>
      </c>
      <c r="B108" s="254" t="s">
        <v>51</v>
      </c>
      <c r="C108" s="321" t="s">
        <v>317</v>
      </c>
      <c r="D108" s="263" t="s">
        <v>318</v>
      </c>
      <c r="E108" s="99" t="str">
        <f t="shared" si="15"/>
        <v>WR-SWRH77-82-12.5-16</v>
      </c>
      <c r="F108" s="254">
        <f t="shared" si="16"/>
        <v>20</v>
      </c>
      <c r="G108" s="322" t="s">
        <v>212</v>
      </c>
      <c r="I108" s="171" t="s">
        <v>437</v>
      </c>
      <c r="J108" s="160">
        <f t="shared" si="17"/>
        <v>10698.096101541252</v>
      </c>
      <c r="K108" s="101">
        <f>+K107</f>
        <v>11800</v>
      </c>
    </row>
    <row r="109" spans="1:12">
      <c r="A109" s="279" t="s">
        <v>90</v>
      </c>
      <c r="B109" s="254" t="s">
        <v>51</v>
      </c>
      <c r="C109" s="255" t="s">
        <v>319</v>
      </c>
      <c r="D109" s="263" t="s">
        <v>320</v>
      </c>
      <c r="E109" s="99" t="str">
        <f t="shared" si="15"/>
        <v>WR-SWRY-11-ALL</v>
      </c>
      <c r="F109" s="254">
        <f t="shared" si="16"/>
        <v>14</v>
      </c>
      <c r="G109" s="322" t="s">
        <v>213</v>
      </c>
      <c r="I109" s="100" t="s">
        <v>321</v>
      </c>
      <c r="J109" s="160">
        <f t="shared" si="17"/>
        <v>10562.103354487761</v>
      </c>
      <c r="K109" s="174">
        <f>10900+200+200+750-100-300</f>
        <v>11650</v>
      </c>
      <c r="L109" s="256" t="s">
        <v>490</v>
      </c>
    </row>
    <row r="110" spans="1:12">
      <c r="A110" s="279" t="s">
        <v>91</v>
      </c>
      <c r="B110" s="254" t="s">
        <v>51</v>
      </c>
      <c r="C110" s="280" t="s">
        <v>322</v>
      </c>
      <c r="D110" s="263" t="s">
        <v>320</v>
      </c>
      <c r="E110" s="99" t="str">
        <f t="shared" si="15"/>
        <v>WR-SWRY-17-ALL</v>
      </c>
      <c r="F110" s="254">
        <f t="shared" si="16"/>
        <v>14</v>
      </c>
      <c r="G110" s="322" t="s">
        <v>214</v>
      </c>
      <c r="I110" s="100" t="s">
        <v>321</v>
      </c>
      <c r="J110" s="160">
        <f t="shared" si="17"/>
        <v>10562.103354487761</v>
      </c>
      <c r="K110" s="101">
        <f>+K109</f>
        <v>11650</v>
      </c>
    </row>
    <row r="111" spans="1:12">
      <c r="A111" s="279" t="s">
        <v>92</v>
      </c>
      <c r="B111" s="254" t="s">
        <v>51</v>
      </c>
      <c r="C111" s="255" t="s">
        <v>323</v>
      </c>
      <c r="D111" s="263" t="s">
        <v>320</v>
      </c>
      <c r="E111" s="99" t="str">
        <f t="shared" si="15"/>
        <v>WR-XE400P-ALL</v>
      </c>
      <c r="F111" s="254">
        <f t="shared" si="16"/>
        <v>13</v>
      </c>
      <c r="G111" s="322" t="s">
        <v>215</v>
      </c>
      <c r="I111" s="100" t="str">
        <f>+I109</f>
        <v>Base6</v>
      </c>
      <c r="J111" s="160">
        <f t="shared" si="17"/>
        <v>10562.103354487761</v>
      </c>
      <c r="K111" s="101">
        <f>+K109</f>
        <v>11650</v>
      </c>
    </row>
    <row r="112" spans="1:12">
      <c r="A112" s="279" t="s">
        <v>93</v>
      </c>
      <c r="B112" s="254" t="s">
        <v>51</v>
      </c>
      <c r="C112" s="255" t="s">
        <v>324</v>
      </c>
      <c r="D112" s="263" t="s">
        <v>320</v>
      </c>
      <c r="E112" s="99" t="str">
        <f t="shared" si="15"/>
        <v>WR-XE4000-ALL</v>
      </c>
      <c r="F112" s="254">
        <f t="shared" si="16"/>
        <v>13</v>
      </c>
      <c r="G112" s="322" t="s">
        <v>216</v>
      </c>
      <c r="I112" s="100" t="str">
        <f>+I109</f>
        <v>Base6</v>
      </c>
      <c r="J112" s="160">
        <f>+K112/1.103</f>
        <v>10562.103354487761</v>
      </c>
      <c r="K112" s="101">
        <f>+K109</f>
        <v>11650</v>
      </c>
    </row>
    <row r="113" spans="1:12">
      <c r="A113" s="279" t="s">
        <v>94</v>
      </c>
      <c r="B113" s="254" t="s">
        <v>51</v>
      </c>
      <c r="C113" s="255" t="s">
        <v>325</v>
      </c>
      <c r="D113" s="263" t="s">
        <v>320</v>
      </c>
      <c r="E113" s="99" t="str">
        <f t="shared" si="15"/>
        <v>WR-XE4100-ALL</v>
      </c>
      <c r="F113" s="254">
        <f t="shared" si="16"/>
        <v>13</v>
      </c>
      <c r="G113" s="322" t="s">
        <v>217</v>
      </c>
      <c r="I113" s="100" t="str">
        <f>+I109</f>
        <v>Base6</v>
      </c>
      <c r="J113" s="160">
        <f t="shared" si="17"/>
        <v>10562.103354487761</v>
      </c>
      <c r="K113" s="101">
        <f>+K109</f>
        <v>11650</v>
      </c>
    </row>
    <row r="114" spans="1:12">
      <c r="A114" s="279" t="s">
        <v>95</v>
      </c>
      <c r="B114" s="254" t="s">
        <v>51</v>
      </c>
      <c r="C114" s="280">
        <v>1210</v>
      </c>
      <c r="D114" s="263" t="s">
        <v>320</v>
      </c>
      <c r="E114" s="99" t="str">
        <f t="shared" si="15"/>
        <v>WR-1210-ALL</v>
      </c>
      <c r="F114" s="254">
        <f t="shared" si="16"/>
        <v>11</v>
      </c>
      <c r="G114" s="322" t="s">
        <v>218</v>
      </c>
      <c r="I114" s="100" t="s">
        <v>326</v>
      </c>
      <c r="J114" s="160">
        <f t="shared" si="17"/>
        <v>10834.088848594742</v>
      </c>
      <c r="K114" s="101">
        <f>+K109+300</f>
        <v>11950</v>
      </c>
    </row>
    <row r="115" spans="1:12">
      <c r="A115" s="279" t="s">
        <v>96</v>
      </c>
      <c r="B115" s="254" t="s">
        <v>51</v>
      </c>
      <c r="C115" s="280">
        <v>1222</v>
      </c>
      <c r="D115" s="263" t="s">
        <v>320</v>
      </c>
      <c r="E115" s="99" t="str">
        <f t="shared" si="15"/>
        <v>WR-1222-ALL</v>
      </c>
      <c r="F115" s="254">
        <f t="shared" si="16"/>
        <v>11</v>
      </c>
      <c r="G115" s="322" t="s">
        <v>219</v>
      </c>
      <c r="I115" s="100" t="str">
        <f>+I114</f>
        <v>Base6+300</v>
      </c>
      <c r="J115" s="160">
        <f t="shared" si="17"/>
        <v>10834.088848594742</v>
      </c>
      <c r="K115" s="101">
        <f>+K114</f>
        <v>11950</v>
      </c>
    </row>
    <row r="116" spans="1:12">
      <c r="A116" s="279" t="s">
        <v>97</v>
      </c>
      <c r="B116" s="254" t="s">
        <v>51</v>
      </c>
      <c r="C116" s="255" t="s">
        <v>327</v>
      </c>
      <c r="D116" s="263" t="s">
        <v>320</v>
      </c>
      <c r="E116" s="99" t="str">
        <f t="shared" si="15"/>
        <v>WR-ER70S4-ALL</v>
      </c>
      <c r="F116" s="254">
        <f t="shared" si="16"/>
        <v>13</v>
      </c>
      <c r="G116" s="322" t="s">
        <v>220</v>
      </c>
      <c r="I116" s="100" t="s">
        <v>328</v>
      </c>
      <c r="J116" s="160">
        <f t="shared" si="17"/>
        <v>11287.398005439711</v>
      </c>
      <c r="K116" s="101">
        <f>+K109+800</f>
        <v>12450</v>
      </c>
    </row>
    <row r="117" spans="1:12">
      <c r="A117" s="279" t="s">
        <v>98</v>
      </c>
      <c r="B117" s="254" t="s">
        <v>51</v>
      </c>
      <c r="C117" s="280" t="s">
        <v>329</v>
      </c>
      <c r="D117" s="263" t="s">
        <v>320</v>
      </c>
      <c r="E117" s="99" t="str">
        <f t="shared" si="15"/>
        <v>WR-ER70S6-ALL</v>
      </c>
      <c r="F117" s="254">
        <f t="shared" si="16"/>
        <v>13</v>
      </c>
      <c r="G117" s="322" t="s">
        <v>221</v>
      </c>
      <c r="I117" s="100" t="str">
        <f>+I116</f>
        <v>Base6+800</v>
      </c>
      <c r="J117" s="160">
        <f t="shared" si="17"/>
        <v>11287.398005439711</v>
      </c>
      <c r="K117" s="101">
        <f>+K116</f>
        <v>12450</v>
      </c>
    </row>
    <row r="118" spans="1:12">
      <c r="A118" s="279" t="s">
        <v>99</v>
      </c>
      <c r="B118" s="254" t="s">
        <v>51</v>
      </c>
      <c r="C118" s="255" t="s">
        <v>330</v>
      </c>
      <c r="D118" s="263" t="s">
        <v>320</v>
      </c>
      <c r="E118" s="99" t="str">
        <f t="shared" si="15"/>
        <v>WR-EM12-ALL</v>
      </c>
      <c r="F118" s="254">
        <f t="shared" si="16"/>
        <v>11</v>
      </c>
      <c r="G118" s="322" t="s">
        <v>222</v>
      </c>
      <c r="I118" s="100" t="str">
        <f>+I116</f>
        <v>Base6+800</v>
      </c>
      <c r="J118" s="160">
        <f t="shared" si="17"/>
        <v>11287.398005439711</v>
      </c>
      <c r="K118" s="101">
        <f>+K116</f>
        <v>12450</v>
      </c>
    </row>
    <row r="119" spans="1:12">
      <c r="A119" s="279" t="s">
        <v>100</v>
      </c>
      <c r="B119" s="254" t="s">
        <v>51</v>
      </c>
      <c r="C119" s="255" t="s">
        <v>331</v>
      </c>
      <c r="D119" s="263" t="s">
        <v>320</v>
      </c>
      <c r="E119" s="99" t="str">
        <f t="shared" si="15"/>
        <v>WR-EM12K-ALL</v>
      </c>
      <c r="F119" s="254">
        <f t="shared" si="16"/>
        <v>12</v>
      </c>
      <c r="G119" s="322" t="s">
        <v>223</v>
      </c>
      <c r="I119" s="100" t="str">
        <f>+I116</f>
        <v>Base6+800</v>
      </c>
      <c r="J119" s="160">
        <f t="shared" si="17"/>
        <v>11287.398005439711</v>
      </c>
      <c r="K119" s="101">
        <f>+K116</f>
        <v>12450</v>
      </c>
    </row>
    <row r="120" spans="1:12">
      <c r="A120" s="279" t="s">
        <v>101</v>
      </c>
      <c r="B120" s="254" t="s">
        <v>51</v>
      </c>
      <c r="C120" s="321" t="s">
        <v>332</v>
      </c>
      <c r="D120" s="263" t="s">
        <v>320</v>
      </c>
      <c r="E120" s="99" t="str">
        <f t="shared" si="15"/>
        <v>WR-EH12K-ALL</v>
      </c>
      <c r="F120" s="254">
        <f t="shared" si="16"/>
        <v>12</v>
      </c>
      <c r="G120" s="322" t="s">
        <v>224</v>
      </c>
      <c r="I120" s="100" t="s">
        <v>393</v>
      </c>
      <c r="J120" s="160">
        <f t="shared" si="17"/>
        <v>11378.059836808703</v>
      </c>
      <c r="K120" s="101">
        <f>K109+900</f>
        <v>12550</v>
      </c>
    </row>
    <row r="121" spans="1:12">
      <c r="A121" s="279" t="s">
        <v>103</v>
      </c>
      <c r="B121" s="254" t="s">
        <v>51</v>
      </c>
      <c r="C121" s="321" t="s">
        <v>333</v>
      </c>
      <c r="D121" s="263" t="s">
        <v>320</v>
      </c>
      <c r="E121" s="99" t="str">
        <f t="shared" si="15"/>
        <v>WR-EH14-ALL</v>
      </c>
      <c r="F121" s="254">
        <f t="shared" si="16"/>
        <v>11</v>
      </c>
      <c r="G121" s="322" t="s">
        <v>225</v>
      </c>
      <c r="I121" s="100" t="s">
        <v>393</v>
      </c>
      <c r="J121" s="160">
        <f t="shared" si="17"/>
        <v>11378.059836808703</v>
      </c>
      <c r="K121" s="101">
        <f>+K109+900</f>
        <v>12550</v>
      </c>
    </row>
    <row r="122" spans="1:12">
      <c r="A122" s="356" t="s">
        <v>482</v>
      </c>
      <c r="B122" s="254" t="s">
        <v>51</v>
      </c>
      <c r="C122" s="355" t="s">
        <v>483</v>
      </c>
      <c r="D122" s="263" t="s">
        <v>320</v>
      </c>
      <c r="E122" s="99" t="str">
        <f t="shared" si="15"/>
        <v>WR-CHQ 8A-ALL</v>
      </c>
      <c r="F122" s="254">
        <f t="shared" si="16"/>
        <v>13</v>
      </c>
      <c r="G122" s="340" t="s">
        <v>484</v>
      </c>
      <c r="I122" s="171" t="s">
        <v>481</v>
      </c>
      <c r="J122" s="160">
        <f>+K122/1.103</f>
        <v>10562.103354487761</v>
      </c>
      <c r="K122" s="174">
        <f>10900+200+200+750-100-300</f>
        <v>11650</v>
      </c>
      <c r="L122" s="256" t="s">
        <v>490</v>
      </c>
    </row>
    <row r="123" spans="1:12">
      <c r="A123" s="369">
        <v>53</v>
      </c>
      <c r="B123" s="254" t="s">
        <v>51</v>
      </c>
      <c r="C123" s="255" t="s">
        <v>489</v>
      </c>
      <c r="D123" s="263" t="s">
        <v>320</v>
      </c>
      <c r="E123" s="99" t="str">
        <f>CONCATENATE(B123,"-",C123,"-",D123)</f>
        <v>WR-CHQ 18A-ALL</v>
      </c>
      <c r="F123" s="254">
        <f t="shared" ref="F123" si="18">LEN(E123)</f>
        <v>14</v>
      </c>
      <c r="G123" s="340" t="s">
        <v>485</v>
      </c>
      <c r="I123" s="171" t="s">
        <v>481</v>
      </c>
      <c r="J123" s="160">
        <f>+K123/1.103</f>
        <v>10562.103354487761</v>
      </c>
      <c r="K123" s="169">
        <f>+K122</f>
        <v>11650</v>
      </c>
    </row>
    <row r="124" spans="1:12">
      <c r="A124" s="253" t="s">
        <v>498</v>
      </c>
      <c r="B124" s="254" t="s">
        <v>51</v>
      </c>
      <c r="C124" s="255" t="s">
        <v>495</v>
      </c>
      <c r="D124" s="263" t="s">
        <v>320</v>
      </c>
      <c r="E124" s="99" t="str">
        <f>CONCATENATE(B124,"-",C124,"-",D124)</f>
        <v>WR-CHQ 22A-ALL</v>
      </c>
      <c r="F124" s="254"/>
      <c r="G124" s="253" t="s">
        <v>509</v>
      </c>
      <c r="H124" s="254"/>
      <c r="I124" s="171" t="s">
        <v>496</v>
      </c>
      <c r="J124" s="160">
        <f>+K124/1.103</f>
        <v>10698.096101541252</v>
      </c>
      <c r="K124" s="169">
        <f>+K122+150</f>
        <v>11800</v>
      </c>
    </row>
    <row r="125" spans="1:12" s="261" customFormat="1">
      <c r="A125" s="279" t="s">
        <v>136</v>
      </c>
      <c r="B125" s="258" t="s">
        <v>51</v>
      </c>
      <c r="C125" s="175" t="s">
        <v>361</v>
      </c>
      <c r="D125" s="325" t="s">
        <v>320</v>
      </c>
      <c r="E125" s="260" t="str">
        <f t="shared" si="15"/>
        <v>WR-Stock Lot IQ-ALL</v>
      </c>
      <c r="F125" s="258">
        <f t="shared" si="16"/>
        <v>19</v>
      </c>
      <c r="G125" s="322" t="s">
        <v>256</v>
      </c>
      <c r="I125" s="100" t="s">
        <v>402</v>
      </c>
      <c r="J125" s="160">
        <f t="shared" si="17"/>
        <v>9088.8485947416139</v>
      </c>
      <c r="K125" s="101">
        <f>+K74-1025</f>
        <v>10025</v>
      </c>
    </row>
    <row r="126" spans="1:12" s="261" customFormat="1">
      <c r="A126" s="279" t="s">
        <v>137</v>
      </c>
      <c r="B126" s="330" t="s">
        <v>51</v>
      </c>
      <c r="C126" s="370" t="s">
        <v>362</v>
      </c>
      <c r="D126" s="328" t="s">
        <v>320</v>
      </c>
      <c r="E126" s="329" t="str">
        <f t="shared" si="15"/>
        <v>WR-Stock Lot SP-ALL</v>
      </c>
      <c r="F126" s="330">
        <f t="shared" si="16"/>
        <v>19</v>
      </c>
      <c r="G126" s="322" t="s">
        <v>257</v>
      </c>
      <c r="I126" s="100" t="s">
        <v>403</v>
      </c>
      <c r="J126" s="163">
        <f t="shared" si="17"/>
        <v>9088.8485947416139</v>
      </c>
      <c r="K126" s="101">
        <f>+K75-1025</f>
        <v>10025</v>
      </c>
    </row>
    <row r="127" spans="1:12">
      <c r="A127" s="279" t="s">
        <v>444</v>
      </c>
      <c r="B127" s="254" t="s">
        <v>51</v>
      </c>
      <c r="C127" s="321">
        <v>1006</v>
      </c>
      <c r="D127" s="325" t="s">
        <v>296</v>
      </c>
      <c r="E127" s="260"/>
      <c r="F127" s="258"/>
      <c r="G127" s="253" t="s">
        <v>447</v>
      </c>
      <c r="H127" s="258"/>
      <c r="I127" s="171" t="s">
        <v>457</v>
      </c>
      <c r="J127" s="160">
        <f t="shared" si="17"/>
        <v>10018.1323662738</v>
      </c>
      <c r="K127" s="101">
        <f>+K66</f>
        <v>11050</v>
      </c>
    </row>
    <row r="128" spans="1:12">
      <c r="A128" s="279" t="s">
        <v>445</v>
      </c>
      <c r="B128" s="254" t="s">
        <v>51</v>
      </c>
      <c r="C128" s="321">
        <v>1006</v>
      </c>
      <c r="D128" s="325" t="s">
        <v>297</v>
      </c>
      <c r="E128" s="260"/>
      <c r="F128" s="258"/>
      <c r="G128" s="282" t="s">
        <v>451</v>
      </c>
      <c r="H128" s="258"/>
      <c r="I128" s="171" t="s">
        <v>457</v>
      </c>
      <c r="J128" s="160">
        <f t="shared" si="17"/>
        <v>10018.1323662738</v>
      </c>
      <c r="K128" s="101">
        <f>+K66</f>
        <v>11050</v>
      </c>
    </row>
    <row r="129" spans="1:11">
      <c r="A129" s="356" t="s">
        <v>453</v>
      </c>
      <c r="B129" s="254" t="s">
        <v>51</v>
      </c>
      <c r="C129" s="321" t="s">
        <v>454</v>
      </c>
      <c r="D129" s="325" t="s">
        <v>455</v>
      </c>
      <c r="E129" s="260"/>
      <c r="F129" s="258"/>
      <c r="G129" s="253" t="s">
        <v>456</v>
      </c>
      <c r="H129" s="258"/>
      <c r="I129" s="100" t="s">
        <v>452</v>
      </c>
      <c r="J129" s="160">
        <f t="shared" si="17"/>
        <v>10018.1323662738</v>
      </c>
      <c r="K129" s="101">
        <f>+K128</f>
        <v>11050</v>
      </c>
    </row>
    <row r="130" spans="1:11">
      <c r="A130" s="371"/>
      <c r="B130" s="354"/>
      <c r="C130" s="354"/>
      <c r="D130" s="372"/>
      <c r="E130" s="373"/>
      <c r="F130" s="374"/>
      <c r="G130" s="322"/>
      <c r="H130" s="261"/>
      <c r="I130" s="172"/>
      <c r="J130" s="166"/>
      <c r="K130" s="375"/>
    </row>
    <row r="131" spans="1:11">
      <c r="A131" s="371"/>
      <c r="B131" s="354"/>
      <c r="C131" s="354"/>
      <c r="D131" s="372"/>
      <c r="E131" s="373"/>
      <c r="F131" s="374"/>
      <c r="G131" s="322"/>
      <c r="H131" s="261"/>
      <c r="I131" s="172"/>
      <c r="J131" s="166"/>
      <c r="K131" s="375"/>
    </row>
    <row r="132" spans="1:11" s="292" customFormat="1">
      <c r="I132" s="293" t="s">
        <v>417</v>
      </c>
      <c r="J132" s="294">
        <f>+J1</f>
        <v>14070</v>
      </c>
      <c r="K132" s="168">
        <f>+J1</f>
        <v>14070</v>
      </c>
    </row>
    <row r="133" spans="1:11" s="292" customFormat="1">
      <c r="A133" s="378" t="s">
        <v>416</v>
      </c>
      <c r="B133" s="378"/>
      <c r="C133" s="378"/>
      <c r="I133" s="379"/>
      <c r="J133" s="380"/>
      <c r="K133" s="381"/>
    </row>
    <row r="134" spans="1:11" s="292" customFormat="1">
      <c r="A134" s="286" t="s">
        <v>104</v>
      </c>
      <c r="B134" s="287" t="s">
        <v>334</v>
      </c>
      <c r="C134" s="382" t="s">
        <v>335</v>
      </c>
      <c r="D134" s="383">
        <v>6</v>
      </c>
      <c r="E134" s="290" t="str">
        <f t="shared" ref="E134:E142" si="19">CONCATENATE(B134,"-",C134,"-",D134)</f>
        <v>DC-SD 390-6</v>
      </c>
      <c r="F134" s="287">
        <f t="shared" ref="F134:F142" si="20">LEN(E134)</f>
        <v>11</v>
      </c>
      <c r="G134" s="291" t="s">
        <v>226</v>
      </c>
      <c r="I134" s="384" t="s">
        <v>392</v>
      </c>
      <c r="J134" s="294">
        <f>+K134/1.103</f>
        <v>9814.1432456935636</v>
      </c>
      <c r="K134" s="295">
        <f>K25-(25*K132/K132)</f>
        <v>10825</v>
      </c>
    </row>
    <row r="135" spans="1:11" s="292" customFormat="1">
      <c r="A135" s="286" t="s">
        <v>105</v>
      </c>
      <c r="B135" s="287" t="s">
        <v>334</v>
      </c>
      <c r="C135" s="382" t="s">
        <v>335</v>
      </c>
      <c r="D135" s="383">
        <v>8</v>
      </c>
      <c r="E135" s="290" t="str">
        <f t="shared" si="19"/>
        <v>DC-SD 390-8</v>
      </c>
      <c r="F135" s="287">
        <f t="shared" si="20"/>
        <v>11</v>
      </c>
      <c r="G135" s="291" t="s">
        <v>227</v>
      </c>
      <c r="I135" s="384" t="str">
        <f>+I134</f>
        <v>Base8-$25</v>
      </c>
      <c r="J135" s="294">
        <f t="shared" ref="J135:J145" si="21">+K135/1.103</f>
        <v>9814.1432456935636</v>
      </c>
      <c r="K135" s="295">
        <f>+K134</f>
        <v>10825</v>
      </c>
    </row>
    <row r="136" spans="1:11" s="292" customFormat="1">
      <c r="A136" s="286" t="s">
        <v>106</v>
      </c>
      <c r="B136" s="287" t="s">
        <v>334</v>
      </c>
      <c r="C136" s="382" t="s">
        <v>335</v>
      </c>
      <c r="D136" s="383">
        <v>10</v>
      </c>
      <c r="E136" s="290" t="str">
        <f t="shared" si="19"/>
        <v>DC-SD 390-10</v>
      </c>
      <c r="F136" s="287">
        <f t="shared" si="20"/>
        <v>12</v>
      </c>
      <c r="G136" s="291" t="s">
        <v>228</v>
      </c>
      <c r="I136" s="384" t="str">
        <f>+I134</f>
        <v>Base8-$25</v>
      </c>
      <c r="J136" s="294">
        <f t="shared" si="21"/>
        <v>9814.1432456935636</v>
      </c>
      <c r="K136" s="295">
        <f>+K134</f>
        <v>10825</v>
      </c>
    </row>
    <row r="137" spans="1:11" s="292" customFormat="1">
      <c r="A137" s="286" t="s">
        <v>107</v>
      </c>
      <c r="B137" s="287" t="s">
        <v>334</v>
      </c>
      <c r="C137" s="382" t="s">
        <v>335</v>
      </c>
      <c r="D137" s="383">
        <v>12</v>
      </c>
      <c r="E137" s="290" t="str">
        <f t="shared" si="19"/>
        <v>DC-SD 390-12</v>
      </c>
      <c r="F137" s="287">
        <f t="shared" si="20"/>
        <v>12</v>
      </c>
      <c r="G137" s="291" t="s">
        <v>229</v>
      </c>
      <c r="I137" s="384" t="str">
        <f>+I134</f>
        <v>Base8-$25</v>
      </c>
      <c r="J137" s="294">
        <f t="shared" si="21"/>
        <v>9814.1432456935636</v>
      </c>
      <c r="K137" s="295">
        <f>+K134</f>
        <v>10825</v>
      </c>
    </row>
    <row r="138" spans="1:11" s="292" customFormat="1">
      <c r="A138" s="286" t="s">
        <v>108</v>
      </c>
      <c r="B138" s="287" t="s">
        <v>334</v>
      </c>
      <c r="C138" s="384" t="s">
        <v>337</v>
      </c>
      <c r="D138" s="289" t="s">
        <v>320</v>
      </c>
      <c r="E138" s="290" t="str">
        <f t="shared" si="19"/>
        <v>DC-500N/MPA-ALL</v>
      </c>
      <c r="F138" s="287">
        <f t="shared" si="20"/>
        <v>15</v>
      </c>
      <c r="G138" s="291" t="s">
        <v>230</v>
      </c>
      <c r="I138" s="384" t="s">
        <v>412</v>
      </c>
      <c r="J138" s="294">
        <f t="shared" si="21"/>
        <v>5347.4614687216681</v>
      </c>
      <c r="K138" s="295">
        <f>K20-(25*K132/1000)</f>
        <v>5898.25</v>
      </c>
    </row>
    <row r="139" spans="1:11" s="292" customFormat="1">
      <c r="A139" s="286" t="s">
        <v>109</v>
      </c>
      <c r="B139" s="287" t="s">
        <v>334</v>
      </c>
      <c r="C139" s="382" t="s">
        <v>338</v>
      </c>
      <c r="D139" s="289" t="s">
        <v>320</v>
      </c>
      <c r="E139" s="290" t="str">
        <f t="shared" si="19"/>
        <v>DC-300E-ALL</v>
      </c>
      <c r="F139" s="287">
        <f t="shared" si="20"/>
        <v>11</v>
      </c>
      <c r="G139" s="291" t="s">
        <v>231</v>
      </c>
      <c r="I139" s="384" t="s">
        <v>413</v>
      </c>
      <c r="J139" s="294">
        <f t="shared" si="21"/>
        <v>4368.3136899365372</v>
      </c>
      <c r="K139" s="295">
        <f>K21-(25*K132/1000)</f>
        <v>4818.25</v>
      </c>
    </row>
    <row r="140" spans="1:11" s="292" customFormat="1">
      <c r="A140" s="286" t="s">
        <v>110</v>
      </c>
      <c r="B140" s="287" t="s">
        <v>334</v>
      </c>
      <c r="C140" s="382" t="s">
        <v>339</v>
      </c>
      <c r="D140" s="289" t="s">
        <v>320</v>
      </c>
      <c r="E140" s="290" t="str">
        <f t="shared" si="19"/>
        <v>DC-SD 490-ALL</v>
      </c>
      <c r="F140" s="287">
        <f t="shared" si="20"/>
        <v>13</v>
      </c>
      <c r="G140" s="291" t="s">
        <v>232</v>
      </c>
      <c r="I140" s="384" t="s">
        <v>414</v>
      </c>
      <c r="J140" s="294">
        <f t="shared" si="21"/>
        <v>4413.6446056210334</v>
      </c>
      <c r="K140" s="295">
        <f>K22-(25*K132/1000)</f>
        <v>4868.25</v>
      </c>
    </row>
    <row r="141" spans="1:11" s="292" customFormat="1">
      <c r="A141" s="286" t="s">
        <v>111</v>
      </c>
      <c r="B141" s="287" t="s">
        <v>334</v>
      </c>
      <c r="C141" s="382" t="s">
        <v>340</v>
      </c>
      <c r="D141" s="289" t="s">
        <v>320</v>
      </c>
      <c r="E141" s="290" t="str">
        <f t="shared" si="19"/>
        <v>DC-Grade 40-ALL</v>
      </c>
      <c r="F141" s="287">
        <f t="shared" si="20"/>
        <v>15</v>
      </c>
      <c r="G141" s="291" t="s">
        <v>233</v>
      </c>
      <c r="I141" s="384" t="s">
        <v>415</v>
      </c>
      <c r="J141" s="294">
        <f t="shared" si="21"/>
        <v>4458.9755213055305</v>
      </c>
      <c r="K141" s="295">
        <f>K23-(25*K132/1000)</f>
        <v>4918.25</v>
      </c>
    </row>
    <row r="142" spans="1:11" s="292" customFormat="1">
      <c r="A142" s="286" t="s">
        <v>112</v>
      </c>
      <c r="B142" s="287" t="s">
        <v>334</v>
      </c>
      <c r="C142" s="382" t="s">
        <v>341</v>
      </c>
      <c r="D142" s="289" t="s">
        <v>320</v>
      </c>
      <c r="E142" s="290" t="str">
        <f t="shared" si="19"/>
        <v>DC-Grade 60-ALL</v>
      </c>
      <c r="F142" s="287">
        <f t="shared" si="20"/>
        <v>15</v>
      </c>
      <c r="G142" s="291" t="s">
        <v>234</v>
      </c>
      <c r="I142" s="384" t="s">
        <v>414</v>
      </c>
      <c r="J142" s="294">
        <f t="shared" si="21"/>
        <v>4368.3136899365372</v>
      </c>
      <c r="K142" s="295">
        <f>K24-(25*K132/1000)</f>
        <v>4818.25</v>
      </c>
    </row>
    <row r="143" spans="1:11" s="292" customFormat="1" ht="12" customHeight="1">
      <c r="A143" s="286" t="s">
        <v>62</v>
      </c>
      <c r="B143" s="287" t="s">
        <v>51</v>
      </c>
      <c r="C143" s="385">
        <v>1005</v>
      </c>
      <c r="D143" s="289" t="s">
        <v>52</v>
      </c>
      <c r="E143" s="290" t="str">
        <f t="shared" ref="E143:E159" si="22">CONCATENATE(B143,"-",C143,"-",D143)</f>
        <v>WR-1005-All</v>
      </c>
      <c r="F143" s="287">
        <f t="shared" ref="F143:F159" si="23">LEN(E143)</f>
        <v>11</v>
      </c>
      <c r="G143" s="291" t="s">
        <v>185</v>
      </c>
      <c r="I143" s="384" t="s">
        <v>380</v>
      </c>
      <c r="J143" s="294">
        <f t="shared" si="21"/>
        <v>9789.8912058023579</v>
      </c>
      <c r="K143" s="295">
        <f>+(K65)-(25*K132/1000)</f>
        <v>10798.25</v>
      </c>
    </row>
    <row r="144" spans="1:11" s="292" customFormat="1">
      <c r="A144" s="286" t="s">
        <v>63</v>
      </c>
      <c r="B144" s="296" t="s">
        <v>51</v>
      </c>
      <c r="C144" s="297">
        <v>1006</v>
      </c>
      <c r="D144" s="298" t="s">
        <v>296</v>
      </c>
      <c r="E144" s="299" t="str">
        <f t="shared" si="22"/>
        <v>WR-1006-5.5-5.8</v>
      </c>
      <c r="F144" s="296">
        <f t="shared" si="23"/>
        <v>15</v>
      </c>
      <c r="G144" s="291" t="s">
        <v>186</v>
      </c>
      <c r="I144" s="384" t="s">
        <v>381</v>
      </c>
      <c r="J144" s="294">
        <f>+K144/1.103</f>
        <v>9699.2293744333638</v>
      </c>
      <c r="K144" s="295">
        <f>+(K66)-(25*K132/1000)</f>
        <v>10698.25</v>
      </c>
    </row>
    <row r="145" spans="1:11" s="292" customFormat="1">
      <c r="A145" s="286" t="s">
        <v>64</v>
      </c>
      <c r="B145" s="296" t="s">
        <v>51</v>
      </c>
      <c r="C145" s="297">
        <v>1006</v>
      </c>
      <c r="D145" s="300" t="s">
        <v>297</v>
      </c>
      <c r="E145" s="299" t="str">
        <f t="shared" si="22"/>
        <v>WR-1006-6.0 - 17</v>
      </c>
      <c r="F145" s="296">
        <f t="shared" si="23"/>
        <v>16</v>
      </c>
      <c r="G145" s="291" t="s">
        <v>187</v>
      </c>
      <c r="I145" s="384" t="s">
        <v>382</v>
      </c>
      <c r="J145" s="294">
        <f t="shared" si="21"/>
        <v>9699.2293744333638</v>
      </c>
      <c r="K145" s="295">
        <f>+(K67)-(25*K132/1000)</f>
        <v>10698.25</v>
      </c>
    </row>
    <row r="146" spans="1:11" s="292" customFormat="1">
      <c r="A146" s="286" t="s">
        <v>65</v>
      </c>
      <c r="B146" s="296" t="s">
        <v>51</v>
      </c>
      <c r="C146" s="297" t="s">
        <v>298</v>
      </c>
      <c r="D146" s="298" t="s">
        <v>299</v>
      </c>
      <c r="E146" s="299" t="str">
        <f t="shared" si="22"/>
        <v>WR-1008 All size-all</v>
      </c>
      <c r="F146" s="296">
        <f t="shared" si="23"/>
        <v>20</v>
      </c>
      <c r="G146" s="291" t="s">
        <v>188</v>
      </c>
      <c r="I146" s="384" t="str">
        <f>+I147</f>
        <v>Base2-$25</v>
      </c>
      <c r="J146" s="294">
        <f t="shared" ref="J146:J159" si="24">+K146/1.103</f>
        <v>9699.2293744333638</v>
      </c>
      <c r="K146" s="295">
        <f>+(K73)-(25*K132/1000)</f>
        <v>10698.25</v>
      </c>
    </row>
    <row r="147" spans="1:11" s="292" customFormat="1">
      <c r="A147" s="286" t="s">
        <v>66</v>
      </c>
      <c r="B147" s="287" t="s">
        <v>51</v>
      </c>
      <c r="C147" s="386">
        <v>1008</v>
      </c>
      <c r="D147" s="289" t="s">
        <v>296</v>
      </c>
      <c r="E147" s="290" t="str">
        <f t="shared" si="22"/>
        <v>WR-1008-5.5-5.8</v>
      </c>
      <c r="F147" s="287">
        <f t="shared" si="23"/>
        <v>15</v>
      </c>
      <c r="G147" s="291" t="s">
        <v>189</v>
      </c>
      <c r="I147" s="384" t="s">
        <v>383</v>
      </c>
      <c r="J147" s="294">
        <f t="shared" si="24"/>
        <v>9699.2293744333638</v>
      </c>
      <c r="K147" s="295">
        <f>+(K74)-(25*K132/1000)</f>
        <v>10698.25</v>
      </c>
    </row>
    <row r="148" spans="1:11" s="292" customFormat="1">
      <c r="A148" s="286" t="s">
        <v>67</v>
      </c>
      <c r="B148" s="296" t="s">
        <v>51</v>
      </c>
      <c r="C148" s="297">
        <v>1008</v>
      </c>
      <c r="D148" s="300" t="s">
        <v>297</v>
      </c>
      <c r="E148" s="299" t="str">
        <f t="shared" si="22"/>
        <v>WR-1008-6.0 - 17</v>
      </c>
      <c r="F148" s="296">
        <f t="shared" si="23"/>
        <v>16</v>
      </c>
      <c r="G148" s="291" t="s">
        <v>190</v>
      </c>
      <c r="I148" s="384" t="s">
        <v>384</v>
      </c>
      <c r="J148" s="294">
        <f>+K148/1.103</f>
        <v>9699.2293744333638</v>
      </c>
      <c r="K148" s="295">
        <f>+(K75)-(25*K132/1000)</f>
        <v>10698.25</v>
      </c>
    </row>
    <row r="149" spans="1:11" s="292" customFormat="1">
      <c r="A149" s="286" t="s">
        <v>68</v>
      </c>
      <c r="B149" s="287" t="s">
        <v>51</v>
      </c>
      <c r="C149" s="288" t="s">
        <v>300</v>
      </c>
      <c r="D149" s="289" t="s">
        <v>52</v>
      </c>
      <c r="E149" s="290" t="str">
        <f t="shared" si="22"/>
        <v>WR-1017/SWRM17-All</v>
      </c>
      <c r="F149" s="287">
        <f t="shared" si="23"/>
        <v>18</v>
      </c>
      <c r="G149" s="291" t="s">
        <v>191</v>
      </c>
      <c r="I149" s="384" t="s">
        <v>385</v>
      </c>
      <c r="J149" s="294">
        <f t="shared" si="24"/>
        <v>9699.2293744333638</v>
      </c>
      <c r="K149" s="295">
        <f>+(K81)-(25*K132/1000)</f>
        <v>10698.25</v>
      </c>
    </row>
    <row r="150" spans="1:11" s="292" customFormat="1">
      <c r="A150" s="286" t="s">
        <v>69</v>
      </c>
      <c r="B150" s="287" t="s">
        <v>51</v>
      </c>
      <c r="C150" s="288">
        <v>1018</v>
      </c>
      <c r="D150" s="289" t="s">
        <v>52</v>
      </c>
      <c r="E150" s="290" t="str">
        <f t="shared" si="22"/>
        <v>WR-1018-All</v>
      </c>
      <c r="F150" s="287">
        <f t="shared" si="23"/>
        <v>11</v>
      </c>
      <c r="G150" s="291" t="s">
        <v>192</v>
      </c>
      <c r="I150" s="384" t="str">
        <f>+I149</f>
        <v>Base2+25-$25</v>
      </c>
      <c r="J150" s="294">
        <f t="shared" si="24"/>
        <v>9517.9057116953772</v>
      </c>
      <c r="K150" s="295">
        <f>+(K82)-(25*K132/1000)</f>
        <v>10498.25</v>
      </c>
    </row>
    <row r="151" spans="1:11" s="292" customFormat="1">
      <c r="A151" s="286" t="s">
        <v>70</v>
      </c>
      <c r="B151" s="296" t="s">
        <v>51</v>
      </c>
      <c r="C151" s="297" t="s">
        <v>302</v>
      </c>
      <c r="D151" s="298">
        <v>5.0999999999999996</v>
      </c>
      <c r="E151" s="299" t="str">
        <f t="shared" si="22"/>
        <v>WR-1010/12/15-5.1</v>
      </c>
      <c r="F151" s="287">
        <f t="shared" si="23"/>
        <v>17</v>
      </c>
      <c r="G151" s="291" t="s">
        <v>193</v>
      </c>
      <c r="I151" s="384" t="s">
        <v>386</v>
      </c>
      <c r="J151" s="294">
        <f t="shared" si="24"/>
        <v>9517.9057116953772</v>
      </c>
      <c r="K151" s="295">
        <f>+K83-(25*K132/1000)</f>
        <v>10498.25</v>
      </c>
    </row>
    <row r="152" spans="1:11" s="292" customFormat="1">
      <c r="A152" s="286" t="s">
        <v>71</v>
      </c>
      <c r="B152" s="296" t="s">
        <v>51</v>
      </c>
      <c r="C152" s="297" t="s">
        <v>302</v>
      </c>
      <c r="D152" s="298">
        <v>5.5</v>
      </c>
      <c r="E152" s="299" t="str">
        <f t="shared" si="22"/>
        <v>WR-1010/12/15-5.5</v>
      </c>
      <c r="F152" s="287">
        <f>LEN(E152)</f>
        <v>17</v>
      </c>
      <c r="G152" s="291" t="s">
        <v>194</v>
      </c>
      <c r="I152" s="384" t="s">
        <v>387</v>
      </c>
      <c r="J152" s="294">
        <f t="shared" si="24"/>
        <v>9517.9057116953772</v>
      </c>
      <c r="K152" s="295">
        <f>+K84-(25*K132/1000)</f>
        <v>10498.25</v>
      </c>
    </row>
    <row r="153" spans="1:11" s="292" customFormat="1">
      <c r="A153" s="286" t="s">
        <v>72</v>
      </c>
      <c r="B153" s="296" t="s">
        <v>51</v>
      </c>
      <c r="C153" s="297" t="s">
        <v>302</v>
      </c>
      <c r="D153" s="298">
        <v>5.4</v>
      </c>
      <c r="E153" s="299" t="str">
        <f t="shared" si="22"/>
        <v>WR-1010/12/15-5.4</v>
      </c>
      <c r="F153" s="287">
        <f t="shared" si="23"/>
        <v>17</v>
      </c>
      <c r="G153" s="291" t="s">
        <v>195</v>
      </c>
      <c r="I153" s="384" t="str">
        <f>+I152</f>
        <v>Base3-$25</v>
      </c>
      <c r="J153" s="294">
        <f t="shared" si="24"/>
        <v>9517.9057116953772</v>
      </c>
      <c r="K153" s="295">
        <f>+K85-(25*K132/1000)</f>
        <v>10498.25</v>
      </c>
    </row>
    <row r="154" spans="1:11" s="292" customFormat="1">
      <c r="A154" s="286" t="s">
        <v>73</v>
      </c>
      <c r="B154" s="296" t="s">
        <v>51</v>
      </c>
      <c r="C154" s="297" t="s">
        <v>302</v>
      </c>
      <c r="D154" s="298">
        <v>5.65</v>
      </c>
      <c r="E154" s="299" t="str">
        <f t="shared" si="22"/>
        <v>WR-1010/12/15-5.65</v>
      </c>
      <c r="F154" s="287">
        <f t="shared" si="23"/>
        <v>18</v>
      </c>
      <c r="G154" s="291" t="s">
        <v>196</v>
      </c>
      <c r="I154" s="384" t="str">
        <f>+I153</f>
        <v>Base3-$25</v>
      </c>
      <c r="J154" s="294">
        <f t="shared" si="24"/>
        <v>9517.9057116953772</v>
      </c>
      <c r="K154" s="295">
        <f>+K86-(25*K132/1000)</f>
        <v>10498.25</v>
      </c>
    </row>
    <row r="155" spans="1:11" s="292" customFormat="1">
      <c r="A155" s="286" t="s">
        <v>74</v>
      </c>
      <c r="B155" s="296" t="s">
        <v>51</v>
      </c>
      <c r="C155" s="297" t="s">
        <v>304</v>
      </c>
      <c r="D155" s="298" t="s">
        <v>305</v>
      </c>
      <c r="E155" s="299" t="str">
        <f t="shared" si="22"/>
        <v>WR-1010/2/5-5.8-6.2</v>
      </c>
      <c r="F155" s="287">
        <f t="shared" si="23"/>
        <v>19</v>
      </c>
      <c r="G155" s="291" t="s">
        <v>197</v>
      </c>
      <c r="I155" s="384" t="s">
        <v>388</v>
      </c>
      <c r="J155" s="294">
        <f t="shared" si="24"/>
        <v>9517.9057116953772</v>
      </c>
      <c r="K155" s="295">
        <f>+K87-(25*K132/1000)</f>
        <v>10498.25</v>
      </c>
    </row>
    <row r="156" spans="1:11" s="292" customFormat="1">
      <c r="A156" s="286" t="s">
        <v>75</v>
      </c>
      <c r="B156" s="296" t="s">
        <v>51</v>
      </c>
      <c r="C156" s="297" t="s">
        <v>304</v>
      </c>
      <c r="D156" s="298" t="s">
        <v>306</v>
      </c>
      <c r="E156" s="299" t="str">
        <f t="shared" si="22"/>
        <v>WR-1010/2/5-6.4-7.2</v>
      </c>
      <c r="F156" s="287">
        <f t="shared" si="23"/>
        <v>19</v>
      </c>
      <c r="G156" s="291" t="s">
        <v>198</v>
      </c>
      <c r="I156" s="384" t="s">
        <v>389</v>
      </c>
      <c r="J156" s="294">
        <f t="shared" si="24"/>
        <v>9517.9057116953772</v>
      </c>
      <c r="K156" s="295">
        <f>+K88-(25*K132/1000)</f>
        <v>10498.25</v>
      </c>
    </row>
    <row r="157" spans="1:11" s="292" customFormat="1">
      <c r="A157" s="286" t="s">
        <v>76</v>
      </c>
      <c r="B157" s="296" t="s">
        <v>51</v>
      </c>
      <c r="C157" s="297" t="s">
        <v>304</v>
      </c>
      <c r="D157" s="298" t="s">
        <v>307</v>
      </c>
      <c r="E157" s="299" t="str">
        <f t="shared" si="22"/>
        <v>WR-1010/2/5-7.4 - 17</v>
      </c>
      <c r="F157" s="287">
        <f t="shared" si="23"/>
        <v>20</v>
      </c>
      <c r="G157" s="291" t="s">
        <v>199</v>
      </c>
      <c r="I157" s="384" t="s">
        <v>390</v>
      </c>
      <c r="J157" s="294">
        <f t="shared" si="24"/>
        <v>9563.2366273798725</v>
      </c>
      <c r="K157" s="295">
        <f>+K89-(25*K132/1000)</f>
        <v>10548.25</v>
      </c>
    </row>
    <row r="158" spans="1:11" s="292" customFormat="1">
      <c r="A158" s="286" t="s">
        <v>77</v>
      </c>
      <c r="B158" s="296" t="s">
        <v>51</v>
      </c>
      <c r="C158" s="297" t="s">
        <v>308</v>
      </c>
      <c r="D158" s="298" t="s">
        <v>299</v>
      </c>
      <c r="E158" s="299" t="str">
        <f t="shared" si="22"/>
        <v>WR-1012 All-all</v>
      </c>
      <c r="F158" s="287">
        <f t="shared" si="23"/>
        <v>15</v>
      </c>
      <c r="G158" s="291" t="s">
        <v>200</v>
      </c>
      <c r="I158" s="384" t="str">
        <f>+I153</f>
        <v>Base3-$25</v>
      </c>
      <c r="J158" s="294">
        <f t="shared" si="24"/>
        <v>9517.9057116953772</v>
      </c>
      <c r="K158" s="295">
        <f>+K94-(25*K132/1000)</f>
        <v>10498.25</v>
      </c>
    </row>
    <row r="159" spans="1:11" s="292" customFormat="1">
      <c r="A159" s="286" t="s">
        <v>90</v>
      </c>
      <c r="B159" s="287" t="s">
        <v>51</v>
      </c>
      <c r="C159" s="288" t="s">
        <v>319</v>
      </c>
      <c r="D159" s="289" t="s">
        <v>320</v>
      </c>
      <c r="E159" s="290" t="str">
        <f t="shared" si="22"/>
        <v>WR-SWRY-11-ALL</v>
      </c>
      <c r="F159" s="287">
        <f t="shared" si="23"/>
        <v>14</v>
      </c>
      <c r="G159" s="291" t="s">
        <v>213</v>
      </c>
      <c r="I159" s="384" t="s">
        <v>391</v>
      </c>
      <c r="J159" s="294">
        <f t="shared" si="24"/>
        <v>10243.200362647325</v>
      </c>
      <c r="K159" s="295">
        <f>+K109-25/1000*K132</f>
        <v>11298.25</v>
      </c>
    </row>
    <row r="161" spans="1:16">
      <c r="A161" s="331" t="s">
        <v>466</v>
      </c>
    </row>
    <row r="162" spans="1:16">
      <c r="A162" s="376" t="s">
        <v>467</v>
      </c>
      <c r="B162" s="332" t="s">
        <v>51</v>
      </c>
      <c r="C162" s="377" t="s">
        <v>55</v>
      </c>
      <c r="D162" s="338">
        <v>5.0999999999999996</v>
      </c>
      <c r="E162" s="339" t="str">
        <f t="shared" ref="E162:E170" si="25">CONCATENATE(B162,"-",C162,"-",D162)</f>
        <v>WR-1012B-5.1</v>
      </c>
      <c r="F162" s="332">
        <f t="shared" ref="F162:F170" si="26">LEN(E162)</f>
        <v>12</v>
      </c>
      <c r="G162" s="340" t="s">
        <v>443</v>
      </c>
      <c r="I162" s="171" t="s">
        <v>487</v>
      </c>
      <c r="J162" s="160">
        <f>+K162/1.103</f>
        <v>9882.1396192203083</v>
      </c>
      <c r="K162" s="169">
        <f>+K164+25+25</f>
        <v>10900</v>
      </c>
    </row>
    <row r="163" spans="1:16">
      <c r="A163" s="253" t="s">
        <v>468</v>
      </c>
      <c r="B163" s="254" t="s">
        <v>51</v>
      </c>
      <c r="C163" s="255" t="s">
        <v>55</v>
      </c>
      <c r="D163" s="342">
        <v>5.5</v>
      </c>
      <c r="E163" s="99" t="str">
        <f t="shared" si="25"/>
        <v>WR-1012B-5.5</v>
      </c>
      <c r="F163" s="254">
        <f t="shared" si="26"/>
        <v>12</v>
      </c>
      <c r="G163" s="322" t="s">
        <v>180</v>
      </c>
      <c r="I163" s="171" t="s">
        <v>291</v>
      </c>
      <c r="J163" s="160">
        <f t="shared" ref="J163:J171" si="27">+K163/1.103</f>
        <v>9836.8087035358112</v>
      </c>
      <c r="K163" s="101">
        <f>+K164</f>
        <v>10850</v>
      </c>
    </row>
    <row r="164" spans="1:16">
      <c r="A164" s="253" t="s">
        <v>469</v>
      </c>
      <c r="B164" s="254" t="s">
        <v>51</v>
      </c>
      <c r="C164" s="255" t="s">
        <v>55</v>
      </c>
      <c r="D164" s="342">
        <v>5.4</v>
      </c>
      <c r="E164" s="99" t="str">
        <f t="shared" si="25"/>
        <v>WR-1012B-5.4</v>
      </c>
      <c r="F164" s="254">
        <f t="shared" si="26"/>
        <v>12</v>
      </c>
      <c r="G164" s="322" t="s">
        <v>181</v>
      </c>
      <c r="I164" s="171" t="s">
        <v>291</v>
      </c>
      <c r="J164" s="160">
        <f t="shared" si="27"/>
        <v>9836.8087035358112</v>
      </c>
      <c r="K164" s="327">
        <f>+K25</f>
        <v>10850</v>
      </c>
    </row>
    <row r="165" spans="1:16">
      <c r="A165" s="253" t="s">
        <v>471</v>
      </c>
      <c r="B165" s="254" t="s">
        <v>51</v>
      </c>
      <c r="C165" s="255" t="s">
        <v>55</v>
      </c>
      <c r="D165" s="342" t="s">
        <v>294</v>
      </c>
      <c r="E165" s="99" t="str">
        <f t="shared" si="25"/>
        <v>WR-1012B-5.65-5.8</v>
      </c>
      <c r="F165" s="254">
        <f t="shared" si="26"/>
        <v>17</v>
      </c>
      <c r="G165" s="340" t="s">
        <v>470</v>
      </c>
      <c r="I165" s="171" t="s">
        <v>441</v>
      </c>
      <c r="J165" s="160">
        <f t="shared" si="27"/>
        <v>9836.8087035358112</v>
      </c>
      <c r="K165" s="101">
        <f>+K164</f>
        <v>10850</v>
      </c>
    </row>
    <row r="166" spans="1:16">
      <c r="A166" s="253" t="s">
        <v>472</v>
      </c>
      <c r="B166" s="254" t="s">
        <v>51</v>
      </c>
      <c r="C166" s="255" t="s">
        <v>55</v>
      </c>
      <c r="D166" s="343" t="s">
        <v>460</v>
      </c>
      <c r="E166" s="99" t="str">
        <f t="shared" si="25"/>
        <v>WR-1012B-6.0-6.8</v>
      </c>
      <c r="F166" s="254">
        <f t="shared" si="26"/>
        <v>16</v>
      </c>
      <c r="G166" s="340" t="s">
        <v>461</v>
      </c>
      <c r="I166" s="171" t="s">
        <v>293</v>
      </c>
      <c r="J166" s="160">
        <f t="shared" si="27"/>
        <v>9814.1432456935636</v>
      </c>
      <c r="K166" s="101">
        <f>+K164-25</f>
        <v>10825</v>
      </c>
    </row>
    <row r="167" spans="1:16">
      <c r="A167" s="253" t="s">
        <v>473</v>
      </c>
      <c r="B167" s="254" t="s">
        <v>51</v>
      </c>
      <c r="C167" s="255" t="s">
        <v>55</v>
      </c>
      <c r="D167" s="342" t="s">
        <v>295</v>
      </c>
      <c r="E167" s="99" t="str">
        <f t="shared" si="25"/>
        <v>WR-1012B-7.2 - 17</v>
      </c>
      <c r="F167" s="254">
        <f t="shared" si="26"/>
        <v>17</v>
      </c>
      <c r="G167" s="322" t="s">
        <v>182</v>
      </c>
      <c r="I167" s="171" t="s">
        <v>442</v>
      </c>
      <c r="J167" s="160">
        <f t="shared" si="27"/>
        <v>9791.4777878513141</v>
      </c>
      <c r="K167" s="101">
        <f>+K164-50</f>
        <v>10800</v>
      </c>
    </row>
    <row r="168" spans="1:16">
      <c r="A168" s="253" t="s">
        <v>474</v>
      </c>
      <c r="B168" s="254" t="s">
        <v>51</v>
      </c>
      <c r="C168" s="255" t="s">
        <v>55</v>
      </c>
      <c r="D168" s="342">
        <v>4.9000000000000004</v>
      </c>
      <c r="E168" s="99" t="str">
        <f t="shared" si="25"/>
        <v>WR-1012B-4.9</v>
      </c>
      <c r="F168" s="254">
        <f t="shared" si="26"/>
        <v>12</v>
      </c>
      <c r="G168" s="322" t="s">
        <v>183</v>
      </c>
      <c r="I168" s="171" t="s">
        <v>458</v>
      </c>
      <c r="J168" s="160">
        <f t="shared" si="27"/>
        <v>9904.8050770625559</v>
      </c>
      <c r="K168" s="101">
        <f>+K164+75-50+25+25</f>
        <v>10925</v>
      </c>
    </row>
    <row r="169" spans="1:16">
      <c r="A169" s="253" t="s">
        <v>475</v>
      </c>
      <c r="B169" s="254" t="s">
        <v>51</v>
      </c>
      <c r="C169" s="255" t="s">
        <v>55</v>
      </c>
      <c r="D169" s="342">
        <v>4.7</v>
      </c>
      <c r="E169" s="99" t="str">
        <f t="shared" si="25"/>
        <v>WR-1012B-4.7</v>
      </c>
      <c r="F169" s="254">
        <f t="shared" si="26"/>
        <v>12</v>
      </c>
      <c r="G169" s="340" t="s">
        <v>184</v>
      </c>
      <c r="I169" s="171" t="s">
        <v>459</v>
      </c>
      <c r="J169" s="160">
        <f t="shared" si="27"/>
        <v>9972.8014505893025</v>
      </c>
      <c r="K169" s="101">
        <f>+K164+150-50+25+25</f>
        <v>11000</v>
      </c>
    </row>
    <row r="170" spans="1:16">
      <c r="A170" s="376" t="s">
        <v>476</v>
      </c>
      <c r="B170" s="332" t="s">
        <v>51</v>
      </c>
      <c r="C170" s="337" t="s">
        <v>55</v>
      </c>
      <c r="D170" s="338">
        <v>7</v>
      </c>
      <c r="E170" s="339" t="str">
        <f t="shared" si="25"/>
        <v>WR-1012B-7</v>
      </c>
      <c r="F170" s="332">
        <f t="shared" si="26"/>
        <v>10</v>
      </c>
      <c r="G170" s="340" t="s">
        <v>462</v>
      </c>
      <c r="I170" s="341" t="s">
        <v>442</v>
      </c>
      <c r="J170" s="164">
        <f t="shared" si="27"/>
        <v>9791.4777878513141</v>
      </c>
      <c r="K170" s="169">
        <f>+K164-50</f>
        <v>10800</v>
      </c>
    </row>
    <row r="171" spans="1:16">
      <c r="A171" s="253" t="s">
        <v>478</v>
      </c>
      <c r="B171" s="254" t="s">
        <v>51</v>
      </c>
      <c r="C171" s="255" t="s">
        <v>55</v>
      </c>
      <c r="D171" s="342">
        <v>4.2</v>
      </c>
      <c r="E171" s="99" t="s">
        <v>421</v>
      </c>
      <c r="F171" s="254"/>
      <c r="G171" s="340" t="s">
        <v>421</v>
      </c>
      <c r="I171" s="171" t="s">
        <v>439</v>
      </c>
      <c r="J171" s="160">
        <f t="shared" si="27"/>
        <v>10199.456029011786</v>
      </c>
      <c r="K171" s="101">
        <f>+K164+400-50+25+25</f>
        <v>11250</v>
      </c>
      <c r="O171" s="268">
        <f t="shared" ref="O171:P172" si="28">+J171-M171</f>
        <v>10199.456029011786</v>
      </c>
      <c r="P171" s="269">
        <f t="shared" si="28"/>
        <v>11250</v>
      </c>
    </row>
    <row r="172" spans="1:16">
      <c r="A172" s="253" t="s">
        <v>479</v>
      </c>
      <c r="B172" s="254" t="s">
        <v>51</v>
      </c>
      <c r="C172" s="255" t="s">
        <v>55</v>
      </c>
      <c r="D172" s="257">
        <v>4.5</v>
      </c>
      <c r="E172" s="99" t="s">
        <v>424</v>
      </c>
      <c r="F172" s="254"/>
      <c r="G172" s="340" t="s">
        <v>424</v>
      </c>
      <c r="I172" s="171" t="s">
        <v>440</v>
      </c>
      <c r="J172" s="160">
        <f>+K172/1.103</f>
        <v>10108.794197642792</v>
      </c>
      <c r="K172" s="101">
        <f>+K164+300-50+25+25</f>
        <v>11150</v>
      </c>
      <c r="O172" s="268">
        <f t="shared" si="28"/>
        <v>10108.794197642792</v>
      </c>
      <c r="P172" s="269">
        <f t="shared" si="28"/>
        <v>11150</v>
      </c>
    </row>
  </sheetData>
  <conditionalFormatting sqref="F162:F172 F4:F159">
    <cfRule type="cellIs" dxfId="1" priority="21" stopIfTrue="1" operator="lessThanOrEqual">
      <formula>20</formula>
    </cfRule>
    <cfRule type="cellIs" dxfId="0" priority="22" stopIfTrue="1" operator="greaterThan">
      <formula>20</formula>
    </cfRule>
  </conditionalFormatting>
  <pageMargins left="0.5" right="0.25" top="0.5" bottom="0.25" header="0.5" footer="0.5"/>
  <pageSetup scale="70" fitToWidth="2" fitToHeight="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</sheetPr>
  <dimension ref="A1:E15"/>
  <sheetViews>
    <sheetView view="pageBreakPreview" zoomScaleSheetLayoutView="100" workbookViewId="0">
      <pane xSplit="1" topLeftCell="B1" activePane="topRight" state="frozen"/>
      <selection activeCell="L158" sqref="L158"/>
      <selection pane="topRight" activeCell="E8" sqref="E8:E10"/>
    </sheetView>
  </sheetViews>
  <sheetFormatPr defaultColWidth="9.140625" defaultRowHeight="12.75"/>
  <cols>
    <col min="1" max="1" width="10.42578125" style="54" customWidth="1"/>
    <col min="2" max="2" width="13.28515625" style="54" customWidth="1"/>
    <col min="3" max="3" width="15.7109375" style="54" customWidth="1"/>
    <col min="4" max="4" width="9.85546875" style="54" customWidth="1"/>
    <col min="5" max="5" width="24.7109375" style="54" customWidth="1"/>
    <col min="6" max="16384" width="9.140625" style="54"/>
  </cols>
  <sheetData>
    <row r="1" spans="1:5" ht="20.25" customHeight="1"/>
    <row r="2" spans="1:5" s="71" customFormat="1" ht="39.75" customHeight="1">
      <c r="A2" s="264" t="s">
        <v>45</v>
      </c>
      <c r="B2" s="121" t="s">
        <v>46</v>
      </c>
      <c r="C2" s="122" t="s">
        <v>47</v>
      </c>
      <c r="D2" s="123" t="s">
        <v>48</v>
      </c>
      <c r="E2" s="267" t="s">
        <v>49</v>
      </c>
    </row>
    <row r="3" spans="1:5" s="71" customFormat="1" ht="18" customHeight="1">
      <c r="A3" s="265"/>
      <c r="B3" s="133"/>
      <c r="C3" s="134"/>
      <c r="D3" s="135"/>
      <c r="E3" s="136"/>
    </row>
    <row r="4" spans="1:5" s="256" customFormat="1">
      <c r="A4" s="253" t="s">
        <v>429</v>
      </c>
      <c r="B4" s="254" t="s">
        <v>51</v>
      </c>
      <c r="C4" s="255">
        <v>1006</v>
      </c>
      <c r="D4" s="283" t="s">
        <v>505</v>
      </c>
      <c r="E4" s="99" t="s">
        <v>502</v>
      </c>
    </row>
    <row r="5" spans="1:5" s="256" customFormat="1">
      <c r="A5" s="253" t="s">
        <v>430</v>
      </c>
      <c r="B5" s="253" t="s">
        <v>51</v>
      </c>
      <c r="C5" s="255">
        <v>1008</v>
      </c>
      <c r="D5" s="283" t="s">
        <v>505</v>
      </c>
      <c r="E5" s="99" t="s">
        <v>503</v>
      </c>
    </row>
    <row r="6" spans="1:5" s="256" customFormat="1">
      <c r="A6" s="253" t="s">
        <v>431</v>
      </c>
      <c r="B6" s="254" t="s">
        <v>51</v>
      </c>
      <c r="C6" s="255">
        <v>1012</v>
      </c>
      <c r="D6" s="283" t="s">
        <v>505</v>
      </c>
      <c r="E6" s="99" t="s">
        <v>504</v>
      </c>
    </row>
    <row r="7" spans="1:5" s="256" customFormat="1">
      <c r="A7" s="253"/>
      <c r="B7" s="254"/>
      <c r="C7" s="255"/>
      <c r="D7" s="257"/>
      <c r="E7" s="99"/>
    </row>
    <row r="8" spans="1:5" s="256" customFormat="1">
      <c r="A8" s="253"/>
      <c r="B8" s="254" t="s">
        <v>51</v>
      </c>
      <c r="C8" s="255">
        <v>1006</v>
      </c>
      <c r="D8" s="283" t="s">
        <v>492</v>
      </c>
      <c r="E8" s="99" t="s">
        <v>499</v>
      </c>
    </row>
    <row r="9" spans="1:5" s="256" customFormat="1">
      <c r="A9" s="253"/>
      <c r="B9" s="253" t="s">
        <v>51</v>
      </c>
      <c r="C9" s="255">
        <v>1008</v>
      </c>
      <c r="D9" s="283" t="s">
        <v>492</v>
      </c>
      <c r="E9" s="99" t="s">
        <v>500</v>
      </c>
    </row>
    <row r="10" spans="1:5" s="256" customFormat="1">
      <c r="A10" s="253"/>
      <c r="B10" s="254" t="s">
        <v>51</v>
      </c>
      <c r="C10" s="255">
        <v>1012</v>
      </c>
      <c r="D10" s="283" t="s">
        <v>492</v>
      </c>
      <c r="E10" s="99" t="s">
        <v>501</v>
      </c>
    </row>
    <row r="11" spans="1:5" s="256" customFormat="1">
      <c r="A11" s="253"/>
      <c r="B11" s="254"/>
      <c r="C11" s="255"/>
      <c r="D11" s="257"/>
      <c r="E11" s="99"/>
    </row>
    <row r="12" spans="1:5" s="256" customFormat="1">
      <c r="A12" s="253"/>
      <c r="B12" s="254"/>
      <c r="C12" s="255"/>
      <c r="D12" s="257"/>
      <c r="E12" s="99"/>
    </row>
    <row r="13" spans="1:5" s="261" customFormat="1">
      <c r="A13" s="253"/>
      <c r="B13" s="254"/>
      <c r="C13" s="255"/>
      <c r="D13" s="257"/>
      <c r="E13" s="99"/>
    </row>
    <row r="14" spans="1:5" s="261" customFormat="1">
      <c r="A14" s="253"/>
      <c r="B14" s="258"/>
      <c r="C14" s="259"/>
      <c r="D14" s="262"/>
      <c r="E14" s="260"/>
    </row>
    <row r="15" spans="1:5" s="256" customFormat="1">
      <c r="A15" s="253"/>
      <c r="B15" s="254"/>
      <c r="C15" s="255"/>
      <c r="D15" s="263"/>
      <c r="E15" s="99"/>
    </row>
  </sheetData>
  <pageMargins left="0.5" right="0.25" top="0.5" bottom="0.25" header="0.5" footer="0.5"/>
  <pageSetup scale="70" fitToWidth="2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Cover Sheet</vt:lpstr>
      <vt:lpstr>Revision History</vt:lpstr>
      <vt:lpstr>Table of content</vt:lpstr>
      <vt:lpstr>Price Master</vt:lpstr>
      <vt:lpstr>Material Pricing Group OUTHER</vt:lpstr>
      <vt:lpstr>Material Pricing Group SOLO</vt:lpstr>
      <vt:lpstr>Material Pricing Group JKT</vt:lpstr>
      <vt:lpstr>Material Pricing Group SBY</vt:lpstr>
      <vt:lpstr>ADD price code</vt:lpstr>
      <vt:lpstr>Sales Organization</vt:lpstr>
      <vt:lpstr>Division</vt:lpstr>
      <vt:lpstr>Distribution Channel</vt:lpstr>
      <vt:lpstr>Sheet1</vt:lpstr>
      <vt:lpstr>'ADD price code'!Print_Area</vt:lpstr>
      <vt:lpstr>'Material Pricing Group JKT'!Print_Area</vt:lpstr>
      <vt:lpstr>'Material Pricing Group OUTHER'!Print_Area</vt:lpstr>
      <vt:lpstr>'Material Pricing Group SBY'!Print_Area</vt:lpstr>
      <vt:lpstr>'Material Pricing Group SOLO'!Print_Area</vt:lpstr>
      <vt:lpstr>'ADD price code'!Print_Titles</vt:lpstr>
      <vt:lpstr>'Material Pricing Group JKT'!Print_Titles</vt:lpstr>
      <vt:lpstr>'Material Pricing Group OUTHER'!Print_Titles</vt:lpstr>
      <vt:lpstr>'Material Pricing Group SBY'!Print_Titles</vt:lpstr>
      <vt:lpstr>'Material Pricing Group SOLO'!Print_Titles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10404</dc:creator>
  <cp:lastModifiedBy>Ibu Amalia Safitri (MKT)</cp:lastModifiedBy>
  <cp:lastPrinted>2020-06-25T03:36:42Z</cp:lastPrinted>
  <dcterms:created xsi:type="dcterms:W3CDTF">2011-08-16T13:10:48Z</dcterms:created>
  <dcterms:modified xsi:type="dcterms:W3CDTF">2021-01-21T07:00:16Z</dcterms:modified>
</cp:coreProperties>
</file>