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vag02-my.sharepoint.com/personal/dennis_etzel_dvag_de/Documents/Data-Analyst Projekt/"/>
    </mc:Choice>
  </mc:AlternateContent>
  <xr:revisionPtr revIDLastSave="3439" documentId="13_ncr:1_{8099CE4A-91D9-4067-BC10-B1C25B586658}" xr6:coauthVersionLast="47" xr6:coauthVersionMax="47" xr10:uidLastSave="{D1BB635D-1834-4752-BF77-3405471489E6}"/>
  <bookViews>
    <workbookView xWindow="-98" yWindow="-98" windowWidth="22695" windowHeight="14595" activeTab="5" xr2:uid="{E5900D56-2F4C-497C-9247-316A5F7EA2B0}"/>
  </bookViews>
  <sheets>
    <sheet name="Explanation" sheetId="30" r:id="rId1"/>
    <sheet name="Raw Data" sheetId="18" r:id="rId2"/>
    <sheet name="Working Sheet" sheetId="25" r:id="rId3"/>
    <sheet name="Pivot Table" sheetId="26" state="hidden" r:id="rId4"/>
    <sheet name="Demographics" sheetId="28" r:id="rId5"/>
    <sheet name="Dashboard" sheetId="24" r:id="rId6"/>
  </sheets>
  <definedNames>
    <definedName name="_xlnm._FilterDatabase" localSheetId="1" hidden="1">'Raw Data'!$A$1:$W$50</definedName>
    <definedName name="_xlnm._FilterDatabase" localSheetId="2" hidden="1">'Working Sheet'!$A$1:$Y$154</definedName>
    <definedName name="Datenschnitt_Draft_Class">#N/A</definedName>
    <definedName name="Datenschnitt_Draft_Class1">#N/A</definedName>
    <definedName name="Datenschnitt_Position">#N/A</definedName>
    <definedName name="Datenschnitt_Position1">#N/A</definedName>
    <definedName name="Datenschnitt_Round">#N/A</definedName>
    <definedName name="Datenschnitt_Round1">#N/A</definedName>
  </definedNames>
  <calcPr calcId="191029"/>
  <pivotCaches>
    <pivotCache cacheId="24"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54" i="25" l="1"/>
  <c r="T154" i="25"/>
  <c r="S154" i="25"/>
  <c r="P154" i="25"/>
  <c r="U153" i="25"/>
  <c r="T153" i="25"/>
  <c r="S153" i="25"/>
  <c r="U152" i="25"/>
  <c r="T152" i="25"/>
  <c r="S152" i="25"/>
  <c r="U151" i="25"/>
  <c r="T151" i="25"/>
  <c r="S151" i="25"/>
  <c r="Q151" i="25"/>
  <c r="P151" i="25"/>
  <c r="U150" i="25"/>
  <c r="T150" i="25"/>
  <c r="S150" i="25"/>
  <c r="R150" i="25"/>
  <c r="Q150" i="25"/>
  <c r="P150" i="25"/>
  <c r="U149" i="25"/>
  <c r="T149" i="25"/>
  <c r="S149" i="25"/>
  <c r="R149" i="25"/>
  <c r="Q149" i="25"/>
  <c r="P149" i="25"/>
  <c r="U148" i="25"/>
  <c r="T148" i="25"/>
  <c r="S148" i="25"/>
  <c r="U147" i="25"/>
  <c r="T147" i="25"/>
  <c r="S147" i="25"/>
  <c r="V146" i="25"/>
  <c r="U146" i="25"/>
  <c r="T146" i="25"/>
  <c r="S146" i="25"/>
  <c r="R146" i="25"/>
  <c r="Q146" i="25"/>
  <c r="P146" i="25"/>
  <c r="U145" i="25"/>
  <c r="T145" i="25"/>
  <c r="S145" i="25"/>
  <c r="R145" i="25"/>
  <c r="Q145" i="25"/>
  <c r="P145" i="25"/>
  <c r="U144" i="25"/>
  <c r="T144" i="25"/>
  <c r="S144" i="25"/>
  <c r="R144" i="25"/>
  <c r="Q144" i="25"/>
  <c r="P144" i="25"/>
  <c r="U143" i="25"/>
  <c r="T143" i="25"/>
  <c r="S143" i="25"/>
  <c r="R143" i="25"/>
  <c r="Q143" i="25"/>
  <c r="P143" i="25"/>
  <c r="U142" i="25"/>
  <c r="T142" i="25"/>
  <c r="S142" i="25"/>
  <c r="R142" i="25"/>
  <c r="Q142" i="25"/>
  <c r="P142" i="25"/>
  <c r="U141" i="25"/>
  <c r="T141" i="25"/>
  <c r="S141" i="25"/>
  <c r="U140" i="25"/>
  <c r="T140" i="25"/>
  <c r="S140" i="25"/>
  <c r="R140" i="25"/>
  <c r="Q140" i="25"/>
  <c r="P140" i="25"/>
  <c r="U139" i="25"/>
  <c r="T139" i="25"/>
  <c r="S139" i="25"/>
  <c r="R139" i="25"/>
  <c r="Q139" i="25"/>
  <c r="P139" i="25"/>
  <c r="U138" i="25"/>
  <c r="T138" i="25"/>
  <c r="S138" i="25"/>
  <c r="U137" i="25"/>
  <c r="T137" i="25"/>
  <c r="S137" i="25"/>
  <c r="Q137" i="25"/>
  <c r="P137" i="25"/>
  <c r="U136" i="25"/>
  <c r="T136" i="25"/>
  <c r="S136" i="25"/>
  <c r="R136" i="25"/>
  <c r="Q136" i="25"/>
  <c r="P136" i="25"/>
  <c r="U135" i="25"/>
  <c r="T135" i="25"/>
  <c r="S135" i="25"/>
  <c r="Q135" i="25"/>
  <c r="P135" i="25"/>
  <c r="U134" i="25"/>
  <c r="T134" i="25"/>
  <c r="S134" i="25"/>
  <c r="P134" i="25"/>
  <c r="U133" i="25"/>
  <c r="T133" i="25"/>
  <c r="S133" i="25"/>
  <c r="R133" i="25"/>
  <c r="Q133" i="25"/>
  <c r="P133" i="25"/>
  <c r="U132" i="25"/>
  <c r="T132" i="25"/>
  <c r="S132" i="25"/>
  <c r="Q132" i="25"/>
  <c r="P132" i="25"/>
  <c r="U131" i="25"/>
  <c r="T131" i="25"/>
  <c r="S131" i="25"/>
  <c r="R131" i="25"/>
  <c r="Q131" i="25"/>
  <c r="P131" i="25"/>
  <c r="U130" i="25"/>
  <c r="T130" i="25"/>
  <c r="S130" i="25"/>
  <c r="R130" i="25"/>
  <c r="Q130" i="25"/>
  <c r="P130" i="25"/>
  <c r="T129" i="25"/>
  <c r="S129" i="25"/>
  <c r="R129" i="25"/>
  <c r="Q129" i="25"/>
  <c r="P129" i="25"/>
  <c r="S128" i="25"/>
  <c r="W128" i="25" s="1"/>
  <c r="P128" i="25"/>
  <c r="U127" i="25"/>
  <c r="T127" i="25"/>
  <c r="S127" i="25"/>
  <c r="R127" i="25"/>
  <c r="Q127" i="25"/>
  <c r="P127" i="25"/>
  <c r="H127" i="25"/>
  <c r="U126" i="25"/>
  <c r="T126" i="25"/>
  <c r="S126" i="25"/>
  <c r="R126" i="25"/>
  <c r="Q126" i="25"/>
  <c r="P126" i="25"/>
  <c r="V125" i="25"/>
  <c r="U125" i="25"/>
  <c r="T125" i="25"/>
  <c r="S125" i="25"/>
  <c r="R125" i="25"/>
  <c r="Q125" i="25"/>
  <c r="P125" i="25"/>
  <c r="U124" i="25"/>
  <c r="T124" i="25"/>
  <c r="S124" i="25"/>
  <c r="R124" i="25"/>
  <c r="Q124" i="25"/>
  <c r="P124" i="25"/>
  <c r="T123" i="25"/>
  <c r="S123" i="25"/>
  <c r="R123" i="25"/>
  <c r="Q123" i="25"/>
  <c r="P123" i="25"/>
  <c r="V122" i="25"/>
  <c r="U122" i="25"/>
  <c r="T122" i="25"/>
  <c r="S122" i="25"/>
  <c r="R122" i="25"/>
  <c r="Q122" i="25"/>
  <c r="P122" i="25"/>
  <c r="V121" i="25"/>
  <c r="U121" i="25"/>
  <c r="T121" i="25"/>
  <c r="S121" i="25"/>
  <c r="R121" i="25"/>
  <c r="Q121" i="25"/>
  <c r="P121" i="25"/>
  <c r="U120" i="25"/>
  <c r="T120" i="25"/>
  <c r="S120" i="25"/>
  <c r="R120" i="25"/>
  <c r="Q120" i="25"/>
  <c r="P120" i="25"/>
  <c r="V119" i="25"/>
  <c r="U119" i="25"/>
  <c r="T119" i="25"/>
  <c r="S119" i="25"/>
  <c r="R119" i="25"/>
  <c r="Q119" i="25"/>
  <c r="P119" i="25"/>
  <c r="R118" i="25"/>
  <c r="Q118" i="25"/>
  <c r="P118" i="25"/>
  <c r="O118" i="25"/>
  <c r="N118" i="25"/>
  <c r="M118" i="25"/>
  <c r="L118" i="25"/>
  <c r="K118" i="25"/>
  <c r="H118" i="25"/>
  <c r="R117" i="25"/>
  <c r="Q117" i="25"/>
  <c r="P117" i="25"/>
  <c r="O117" i="25"/>
  <c r="N117" i="25"/>
  <c r="M117" i="25"/>
  <c r="L117" i="25"/>
  <c r="K117" i="25"/>
  <c r="R116" i="25"/>
  <c r="Q116" i="25"/>
  <c r="P116" i="25"/>
  <c r="O116" i="25"/>
  <c r="N116" i="25"/>
  <c r="M116" i="25"/>
  <c r="L116" i="25"/>
  <c r="K116" i="25"/>
  <c r="R115" i="25"/>
  <c r="Q115" i="25"/>
  <c r="P115" i="25"/>
  <c r="O115" i="25"/>
  <c r="N115" i="25"/>
  <c r="M115" i="25"/>
  <c r="L115" i="25"/>
  <c r="K115" i="25"/>
  <c r="R114" i="25"/>
  <c r="Q114" i="25"/>
  <c r="P114" i="25"/>
  <c r="O114" i="25"/>
  <c r="N114" i="25"/>
  <c r="M114" i="25"/>
  <c r="L114" i="25"/>
  <c r="K114" i="25"/>
  <c r="R113" i="25"/>
  <c r="Q113" i="25"/>
  <c r="P113" i="25"/>
  <c r="O113" i="25"/>
  <c r="N113" i="25"/>
  <c r="M113" i="25"/>
  <c r="L113" i="25"/>
  <c r="K113" i="25"/>
  <c r="U112" i="25"/>
  <c r="T112" i="25"/>
  <c r="S112" i="25"/>
  <c r="U111" i="25"/>
  <c r="T111" i="25"/>
  <c r="S111" i="25"/>
  <c r="H111" i="25"/>
  <c r="U110" i="25"/>
  <c r="T110" i="25"/>
  <c r="S110" i="25"/>
  <c r="Q110" i="25"/>
  <c r="P110" i="25"/>
  <c r="U109" i="25"/>
  <c r="T109" i="25"/>
  <c r="S109" i="25"/>
  <c r="Q109" i="25"/>
  <c r="P109" i="25"/>
  <c r="U108" i="25"/>
  <c r="T108" i="25"/>
  <c r="S108" i="25"/>
  <c r="U107" i="25"/>
  <c r="T107" i="25"/>
  <c r="S107" i="25"/>
  <c r="Q107" i="25"/>
  <c r="P107" i="25"/>
  <c r="U106" i="25"/>
  <c r="T106" i="25"/>
  <c r="S106" i="25"/>
  <c r="U105" i="25"/>
  <c r="T105" i="25"/>
  <c r="S105" i="25"/>
  <c r="U104" i="25"/>
  <c r="T104" i="25"/>
  <c r="S104" i="25"/>
  <c r="Q104" i="25"/>
  <c r="P104" i="25"/>
  <c r="U103" i="25"/>
  <c r="T103" i="25"/>
  <c r="S103" i="25"/>
  <c r="R103" i="25"/>
  <c r="Q103" i="25"/>
  <c r="P103" i="25"/>
  <c r="U102" i="25"/>
  <c r="T102" i="25"/>
  <c r="S102" i="25"/>
  <c r="R102" i="25"/>
  <c r="Q102" i="25"/>
  <c r="P102" i="25"/>
  <c r="U101" i="25"/>
  <c r="T101" i="25"/>
  <c r="S101" i="25"/>
  <c r="Q101" i="25"/>
  <c r="P101" i="25"/>
  <c r="U100" i="25"/>
  <c r="T100" i="25"/>
  <c r="S100" i="25"/>
  <c r="Q100" i="25"/>
  <c r="P100" i="25"/>
  <c r="U99" i="25"/>
  <c r="T99" i="25"/>
  <c r="S99" i="25"/>
  <c r="U98" i="25"/>
  <c r="T98" i="25"/>
  <c r="S98" i="25"/>
  <c r="R98" i="25"/>
  <c r="Q98" i="25"/>
  <c r="P98" i="25"/>
  <c r="U97" i="25"/>
  <c r="T97" i="25"/>
  <c r="S97" i="25"/>
  <c r="Q97" i="25"/>
  <c r="P97" i="25"/>
  <c r="U96" i="25"/>
  <c r="T96" i="25"/>
  <c r="S96" i="25"/>
  <c r="Q96" i="25"/>
  <c r="P96" i="25"/>
  <c r="U95" i="25"/>
  <c r="T95" i="25"/>
  <c r="S95" i="25"/>
  <c r="R95" i="25"/>
  <c r="Q95" i="25"/>
  <c r="P95" i="25"/>
  <c r="U94" i="25"/>
  <c r="T94" i="25"/>
  <c r="S94" i="25"/>
  <c r="U93" i="25"/>
  <c r="T93" i="25"/>
  <c r="S93" i="25"/>
  <c r="U92" i="25"/>
  <c r="T92" i="25"/>
  <c r="S92" i="25"/>
  <c r="U91" i="25"/>
  <c r="T91" i="25"/>
  <c r="S91" i="25"/>
  <c r="R91" i="25"/>
  <c r="Q91" i="25"/>
  <c r="P91" i="25"/>
  <c r="U90" i="25"/>
  <c r="T90" i="25"/>
  <c r="S90" i="25"/>
  <c r="R90" i="25"/>
  <c r="Q90" i="25"/>
  <c r="P90" i="25"/>
  <c r="U89" i="25"/>
  <c r="T89" i="25"/>
  <c r="S89" i="25"/>
  <c r="Q89" i="25"/>
  <c r="P89" i="25"/>
  <c r="U88" i="25"/>
  <c r="T88" i="25"/>
  <c r="S88" i="25"/>
  <c r="Q88" i="25"/>
  <c r="P88" i="25"/>
  <c r="U87" i="25"/>
  <c r="T87" i="25"/>
  <c r="S87" i="25"/>
  <c r="U86" i="25"/>
  <c r="T86" i="25"/>
  <c r="S86" i="25"/>
  <c r="U85" i="25"/>
  <c r="T85" i="25"/>
  <c r="S85" i="25"/>
  <c r="Q85" i="25"/>
  <c r="P85" i="25"/>
  <c r="T84" i="25"/>
  <c r="S84" i="25"/>
  <c r="R84" i="25"/>
  <c r="Q84" i="25"/>
  <c r="P84" i="25"/>
  <c r="U83" i="25"/>
  <c r="T83" i="25"/>
  <c r="S83" i="25"/>
  <c r="R83" i="25"/>
  <c r="Q83" i="25"/>
  <c r="P83" i="25"/>
  <c r="U82" i="25"/>
  <c r="T82" i="25"/>
  <c r="S82" i="25"/>
  <c r="T81" i="25"/>
  <c r="S81" i="25"/>
  <c r="R81" i="25"/>
  <c r="Q81" i="25"/>
  <c r="P81" i="25"/>
  <c r="U80" i="25"/>
  <c r="T80" i="25"/>
  <c r="S80" i="25"/>
  <c r="R80" i="25"/>
  <c r="Q80" i="25"/>
  <c r="P80" i="25"/>
  <c r="U79" i="25"/>
  <c r="T79" i="25"/>
  <c r="S79" i="25"/>
  <c r="R79" i="25"/>
  <c r="Q79" i="25"/>
  <c r="P79" i="25"/>
  <c r="T78" i="25"/>
  <c r="S78" i="25"/>
  <c r="R78" i="25"/>
  <c r="Q78" i="25"/>
  <c r="P78" i="25"/>
  <c r="T77" i="25"/>
  <c r="S77" i="25"/>
  <c r="R77" i="25"/>
  <c r="Q77" i="25"/>
  <c r="P77" i="25"/>
  <c r="T76" i="25"/>
  <c r="W76" i="25" s="1"/>
  <c r="U75" i="25"/>
  <c r="T75" i="25"/>
  <c r="S75" i="25"/>
  <c r="R75" i="25"/>
  <c r="Q75" i="25"/>
  <c r="P75" i="25"/>
  <c r="U74" i="25"/>
  <c r="T74" i="25"/>
  <c r="S74" i="25"/>
  <c r="R74" i="25"/>
  <c r="Q74" i="25"/>
  <c r="P74" i="25"/>
  <c r="T73" i="25"/>
  <c r="S73" i="25"/>
  <c r="R73" i="25"/>
  <c r="Q73" i="25"/>
  <c r="P73" i="25"/>
  <c r="T72" i="25"/>
  <c r="Q72" i="25"/>
  <c r="P72" i="25"/>
  <c r="U71" i="25"/>
  <c r="T71" i="25"/>
  <c r="S71" i="25"/>
  <c r="R71" i="25"/>
  <c r="Q71" i="25"/>
  <c r="P71" i="25"/>
  <c r="U70" i="25"/>
  <c r="T70" i="25"/>
  <c r="S70" i="25"/>
  <c r="R70" i="25"/>
  <c r="Q70" i="25"/>
  <c r="P70" i="25"/>
  <c r="U69" i="25"/>
  <c r="T69" i="25"/>
  <c r="S69" i="25"/>
  <c r="R69" i="25"/>
  <c r="Q69" i="25"/>
  <c r="P69" i="25"/>
  <c r="T68" i="25"/>
  <c r="Q68" i="25"/>
  <c r="P68" i="25"/>
  <c r="T67" i="25"/>
  <c r="S67" i="25"/>
  <c r="Q67" i="25"/>
  <c r="P67" i="25"/>
  <c r="U66" i="25"/>
  <c r="T66" i="25"/>
  <c r="S66" i="25"/>
  <c r="R66" i="25"/>
  <c r="Q66" i="25"/>
  <c r="P66" i="25"/>
  <c r="U65" i="25"/>
  <c r="T65" i="25"/>
  <c r="S65" i="25"/>
  <c r="R65" i="25"/>
  <c r="Q65" i="25"/>
  <c r="P65" i="25"/>
  <c r="T64" i="25"/>
  <c r="S64" i="25"/>
  <c r="R64" i="25"/>
  <c r="Q64" i="25"/>
  <c r="P64" i="25"/>
  <c r="T63" i="25"/>
  <c r="S63" i="25"/>
  <c r="Q63" i="25"/>
  <c r="P63" i="25"/>
  <c r="T62" i="25"/>
  <c r="R62" i="25"/>
  <c r="Q62" i="25"/>
  <c r="P62" i="25"/>
  <c r="T61" i="25"/>
  <c r="Q61" i="25"/>
  <c r="P61" i="25"/>
  <c r="T60" i="25"/>
  <c r="S60" i="25"/>
  <c r="Q60" i="25"/>
  <c r="P60" i="25"/>
  <c r="T59" i="25"/>
  <c r="S59" i="25"/>
  <c r="Q59" i="25"/>
  <c r="P59" i="25"/>
  <c r="T58" i="25"/>
  <c r="Q58" i="25"/>
  <c r="P58" i="25"/>
  <c r="P57" i="25"/>
  <c r="O57" i="25"/>
  <c r="M57" i="25"/>
  <c r="L57" i="25"/>
  <c r="K57" i="25"/>
  <c r="Q56" i="25"/>
  <c r="P56" i="25"/>
  <c r="O56" i="25"/>
  <c r="M56" i="25"/>
  <c r="L56" i="25"/>
  <c r="K56" i="25"/>
  <c r="R55" i="25"/>
  <c r="Q55" i="25"/>
  <c r="P55" i="25"/>
  <c r="O55" i="25"/>
  <c r="N55" i="25"/>
  <c r="M55" i="25"/>
  <c r="L55" i="25"/>
  <c r="K55" i="25"/>
  <c r="Q54" i="25"/>
  <c r="P54" i="25"/>
  <c r="O54" i="25"/>
  <c r="M54" i="25"/>
  <c r="L54" i="25"/>
  <c r="K54" i="25"/>
  <c r="Q53" i="25"/>
  <c r="P53" i="25"/>
  <c r="O53" i="25"/>
  <c r="M53" i="25"/>
  <c r="L53" i="25"/>
  <c r="K53" i="25"/>
  <c r="Q52" i="25"/>
  <c r="P52" i="25"/>
  <c r="O52" i="25"/>
  <c r="L52" i="25"/>
  <c r="K52" i="25"/>
  <c r="W51" i="25"/>
  <c r="O50" i="25"/>
  <c r="L50" i="25"/>
  <c r="W50" i="25" s="1"/>
  <c r="K50" i="25"/>
  <c r="U49" i="25"/>
  <c r="T49" i="25"/>
  <c r="S49" i="25"/>
  <c r="U48" i="25"/>
  <c r="T48" i="25"/>
  <c r="S48" i="25"/>
  <c r="R48" i="25"/>
  <c r="Q48" i="25"/>
  <c r="P48" i="25"/>
  <c r="U47" i="25"/>
  <c r="T47" i="25"/>
  <c r="S47" i="25"/>
  <c r="U46" i="25"/>
  <c r="T46" i="25"/>
  <c r="S46" i="25"/>
  <c r="U45" i="25"/>
  <c r="T45" i="25"/>
  <c r="S45" i="25"/>
  <c r="P45" i="25"/>
  <c r="U44" i="25"/>
  <c r="T44" i="25"/>
  <c r="S44" i="25"/>
  <c r="U43" i="25"/>
  <c r="T43" i="25"/>
  <c r="S43" i="25"/>
  <c r="U42" i="25"/>
  <c r="T42" i="25"/>
  <c r="S42" i="25"/>
  <c r="U41" i="25"/>
  <c r="T41" i="25"/>
  <c r="S41" i="25"/>
  <c r="R41" i="25"/>
  <c r="Q41" i="25"/>
  <c r="P41" i="25"/>
  <c r="U40" i="25"/>
  <c r="T40" i="25"/>
  <c r="S40" i="25"/>
  <c r="U39" i="25"/>
  <c r="T39" i="25"/>
  <c r="S39" i="25"/>
  <c r="R39" i="25"/>
  <c r="Q39" i="25"/>
  <c r="P39" i="25"/>
  <c r="U38" i="25"/>
  <c r="T38" i="25"/>
  <c r="S38" i="25"/>
  <c r="U37" i="25"/>
  <c r="T37" i="25"/>
  <c r="S37" i="25"/>
  <c r="Q37" i="25"/>
  <c r="P37" i="25"/>
  <c r="U36" i="25"/>
  <c r="T36" i="25"/>
  <c r="S36" i="25"/>
  <c r="Q36" i="25"/>
  <c r="P36" i="25"/>
  <c r="U35" i="25"/>
  <c r="T35" i="25"/>
  <c r="S35" i="25"/>
  <c r="U34" i="25"/>
  <c r="T34" i="25"/>
  <c r="S34" i="25"/>
  <c r="U33" i="25"/>
  <c r="T33" i="25"/>
  <c r="S33" i="25"/>
  <c r="Q33" i="25"/>
  <c r="P33" i="25"/>
  <c r="U32" i="25"/>
  <c r="T32" i="25"/>
  <c r="S32" i="25"/>
  <c r="P32" i="25"/>
  <c r="U31" i="25"/>
  <c r="T31" i="25"/>
  <c r="S31" i="25"/>
  <c r="R31" i="25"/>
  <c r="Q31" i="25"/>
  <c r="P31" i="25"/>
  <c r="U30" i="25"/>
  <c r="T30" i="25"/>
  <c r="S30" i="25"/>
  <c r="R30" i="25"/>
  <c r="Q30" i="25"/>
  <c r="P30" i="25"/>
  <c r="U29" i="25"/>
  <c r="T29" i="25"/>
  <c r="S29" i="25"/>
  <c r="R29" i="25"/>
  <c r="Q29" i="25"/>
  <c r="P29" i="25"/>
  <c r="U28" i="25"/>
  <c r="T28" i="25"/>
  <c r="S28" i="25"/>
  <c r="R28" i="25"/>
  <c r="Q28" i="25"/>
  <c r="P28" i="25"/>
  <c r="U27" i="25"/>
  <c r="T27" i="25"/>
  <c r="S27" i="25"/>
  <c r="R27" i="25"/>
  <c r="Q27" i="25"/>
  <c r="P27" i="25"/>
  <c r="U26" i="25"/>
  <c r="T26" i="25"/>
  <c r="S26" i="25"/>
  <c r="Q26" i="25"/>
  <c r="P26" i="25"/>
  <c r="U25" i="25"/>
  <c r="T25" i="25"/>
  <c r="S25" i="25"/>
  <c r="R25" i="25"/>
  <c r="Q25" i="25"/>
  <c r="P25" i="25"/>
  <c r="U24" i="25"/>
  <c r="T24" i="25"/>
  <c r="S24" i="25"/>
  <c r="U23" i="25"/>
  <c r="T23" i="25"/>
  <c r="S23" i="25"/>
  <c r="R23" i="25"/>
  <c r="Q23" i="25"/>
  <c r="P23" i="25"/>
  <c r="U22" i="25"/>
  <c r="T22" i="25"/>
  <c r="S22" i="25"/>
  <c r="R22" i="25"/>
  <c r="Q22" i="25"/>
  <c r="P22" i="25"/>
  <c r="U21" i="25"/>
  <c r="T21" i="25"/>
  <c r="S21" i="25"/>
  <c r="R21" i="25"/>
  <c r="Q21" i="25"/>
  <c r="P21" i="25"/>
  <c r="T20" i="25"/>
  <c r="S20" i="25"/>
  <c r="R20" i="25"/>
  <c r="Q20" i="25"/>
  <c r="P20" i="25"/>
  <c r="T19" i="25"/>
  <c r="S19" i="25"/>
  <c r="R19" i="25"/>
  <c r="Q19" i="25"/>
  <c r="P19" i="25"/>
  <c r="T18" i="25"/>
  <c r="S18" i="25"/>
  <c r="R18" i="25"/>
  <c r="Q18" i="25"/>
  <c r="P18" i="25"/>
  <c r="U17" i="25"/>
  <c r="T17" i="25"/>
  <c r="S17" i="25"/>
  <c r="R17" i="25"/>
  <c r="Q17" i="25"/>
  <c r="P17" i="25"/>
  <c r="U16" i="25"/>
  <c r="T16" i="25"/>
  <c r="S16" i="25"/>
  <c r="R16" i="25"/>
  <c r="Q16" i="25"/>
  <c r="P16" i="25"/>
  <c r="U15" i="25"/>
  <c r="T15" i="25"/>
  <c r="S15" i="25"/>
  <c r="R15" i="25"/>
  <c r="Q15" i="25"/>
  <c r="P15" i="25"/>
  <c r="U14" i="25"/>
  <c r="T14" i="25"/>
  <c r="S14" i="25"/>
  <c r="R14" i="25"/>
  <c r="Q14" i="25"/>
  <c r="P14" i="25"/>
  <c r="U13" i="25"/>
  <c r="T13" i="25"/>
  <c r="S13" i="25"/>
  <c r="R13" i="25"/>
  <c r="Q13" i="25"/>
  <c r="P13" i="25"/>
  <c r="U12" i="25"/>
  <c r="T12" i="25"/>
  <c r="S12" i="25"/>
  <c r="R12" i="25"/>
  <c r="Q12" i="25"/>
  <c r="P12" i="25"/>
  <c r="U11" i="25"/>
  <c r="T11" i="25"/>
  <c r="S11" i="25"/>
  <c r="R11" i="25"/>
  <c r="Q11" i="25"/>
  <c r="P11" i="25"/>
  <c r="U10" i="25"/>
  <c r="T10" i="25"/>
  <c r="S10" i="25"/>
  <c r="R10" i="25"/>
  <c r="Q10" i="25"/>
  <c r="P10" i="25"/>
  <c r="U9" i="25"/>
  <c r="T9" i="25"/>
  <c r="S9" i="25"/>
  <c r="R9" i="25"/>
  <c r="Q9" i="25"/>
  <c r="P9" i="25"/>
  <c r="U8" i="25"/>
  <c r="T8" i="25"/>
  <c r="S8" i="25"/>
  <c r="R8" i="25"/>
  <c r="Q8" i="25"/>
  <c r="P8" i="25"/>
  <c r="R7" i="25"/>
  <c r="Q7" i="25"/>
  <c r="P7" i="25"/>
  <c r="O7" i="25"/>
  <c r="N7" i="25"/>
  <c r="M7" i="25"/>
  <c r="L7" i="25"/>
  <c r="K7" i="25"/>
  <c r="R6" i="25"/>
  <c r="Q6" i="25"/>
  <c r="P6" i="25"/>
  <c r="O6" i="25"/>
  <c r="N6" i="25"/>
  <c r="M6" i="25"/>
  <c r="L6" i="25"/>
  <c r="K6" i="25"/>
  <c r="R5" i="25"/>
  <c r="Q5" i="25"/>
  <c r="P5" i="25"/>
  <c r="O5" i="25"/>
  <c r="N5" i="25"/>
  <c r="M5" i="25"/>
  <c r="L5" i="25"/>
  <c r="K5" i="25"/>
  <c r="R4" i="25"/>
  <c r="Q4" i="25"/>
  <c r="P4" i="25"/>
  <c r="O4" i="25"/>
  <c r="N4" i="25"/>
  <c r="M4" i="25"/>
  <c r="L4" i="25"/>
  <c r="K4" i="25"/>
  <c r="R3" i="25"/>
  <c r="Q3" i="25"/>
  <c r="P3" i="25"/>
  <c r="O3" i="25"/>
  <c r="N3" i="25"/>
  <c r="M3" i="25"/>
  <c r="L3" i="25"/>
  <c r="K3" i="25"/>
  <c r="R2" i="25"/>
  <c r="Q2" i="25"/>
  <c r="P2" i="25"/>
  <c r="O2" i="25"/>
  <c r="N2" i="25"/>
  <c r="M2" i="25"/>
  <c r="L2" i="25"/>
  <c r="K2" i="25"/>
  <c r="S87" i="18"/>
  <c r="R87" i="18"/>
  <c r="Q87" i="18"/>
  <c r="P87" i="18"/>
  <c r="O87" i="18"/>
  <c r="S62" i="18"/>
  <c r="R62" i="18"/>
  <c r="P62" i="18"/>
  <c r="O62" i="18"/>
  <c r="T46" i="18"/>
  <c r="S46" i="18"/>
  <c r="R46" i="18"/>
  <c r="O46" i="18"/>
  <c r="T157" i="18"/>
  <c r="S157" i="18"/>
  <c r="R157" i="18"/>
  <c r="R132" i="18"/>
  <c r="O132" i="18"/>
  <c r="T131" i="18"/>
  <c r="S131" i="18"/>
  <c r="R131" i="18"/>
  <c r="Q131" i="18"/>
  <c r="P131" i="18"/>
  <c r="O131" i="18"/>
  <c r="G131" i="18"/>
  <c r="T116" i="18"/>
  <c r="S116" i="18"/>
  <c r="R116" i="18"/>
  <c r="T115" i="18"/>
  <c r="S115" i="18"/>
  <c r="R115" i="18"/>
  <c r="T114" i="18"/>
  <c r="S114" i="18"/>
  <c r="R114" i="18"/>
  <c r="P114" i="18"/>
  <c r="O114" i="18"/>
  <c r="S113" i="18"/>
  <c r="R113" i="18"/>
  <c r="P113" i="18"/>
  <c r="O113" i="18"/>
  <c r="S112" i="18"/>
  <c r="R112" i="18"/>
  <c r="S111" i="18"/>
  <c r="R111" i="18"/>
  <c r="P111" i="18"/>
  <c r="O111" i="18"/>
  <c r="T110" i="18"/>
  <c r="S110" i="18"/>
  <c r="R110" i="18"/>
  <c r="T109" i="18"/>
  <c r="S109" i="18"/>
  <c r="R109" i="18"/>
  <c r="T108" i="18"/>
  <c r="S108" i="18"/>
  <c r="R108" i="18"/>
  <c r="T107" i="18"/>
  <c r="S107" i="18"/>
  <c r="R107" i="18"/>
  <c r="P107" i="18"/>
  <c r="O107" i="18"/>
  <c r="T106" i="18"/>
  <c r="S106" i="18"/>
  <c r="R106" i="18"/>
  <c r="Q106" i="18"/>
  <c r="P106" i="18"/>
  <c r="O106" i="18"/>
  <c r="Q105" i="18"/>
  <c r="P105" i="18"/>
  <c r="O105" i="18"/>
  <c r="T105" i="18"/>
  <c r="S105" i="18"/>
  <c r="R105" i="18"/>
  <c r="T104" i="18"/>
  <c r="S104" i="18"/>
  <c r="R104" i="18"/>
  <c r="P104" i="18"/>
  <c r="O104" i="18"/>
  <c r="T103" i="18"/>
  <c r="S103" i="18"/>
  <c r="R103" i="18"/>
  <c r="P103" i="18"/>
  <c r="O103" i="18"/>
  <c r="T102" i="18"/>
  <c r="S102" i="18"/>
  <c r="R102" i="18"/>
  <c r="T101" i="18"/>
  <c r="S101" i="18"/>
  <c r="R101" i="18"/>
  <c r="Q101" i="18"/>
  <c r="P101" i="18"/>
  <c r="O101" i="18"/>
  <c r="T100" i="18"/>
  <c r="S100" i="18"/>
  <c r="R100" i="18"/>
  <c r="P100" i="18"/>
  <c r="O100" i="18"/>
  <c r="T99" i="18"/>
  <c r="S99" i="18"/>
  <c r="R99" i="18"/>
  <c r="P99" i="18"/>
  <c r="O99" i="18"/>
  <c r="S98" i="18"/>
  <c r="R98" i="18"/>
  <c r="Q98" i="18"/>
  <c r="P98" i="18"/>
  <c r="O98" i="18"/>
  <c r="T97" i="18"/>
  <c r="S97" i="18"/>
  <c r="R97" i="18"/>
  <c r="T96" i="18"/>
  <c r="S96" i="18"/>
  <c r="R96" i="18"/>
  <c r="R95" i="18"/>
  <c r="Q94" i="18"/>
  <c r="P94" i="18"/>
  <c r="O94" i="18"/>
  <c r="S93" i="18"/>
  <c r="R93" i="18"/>
  <c r="Q93" i="18"/>
  <c r="P93" i="18"/>
  <c r="O93" i="18"/>
  <c r="S92" i="18"/>
  <c r="R92" i="18"/>
  <c r="P92" i="18"/>
  <c r="O92" i="18"/>
  <c r="P91" i="18"/>
  <c r="O91" i="18"/>
  <c r="T90" i="18"/>
  <c r="S90" i="18"/>
  <c r="R90" i="18"/>
  <c r="T89" i="18"/>
  <c r="S89" i="18"/>
  <c r="R89" i="18"/>
  <c r="T88" i="18"/>
  <c r="S88" i="18"/>
  <c r="R88" i="18"/>
  <c r="P88" i="18"/>
  <c r="O88" i="18"/>
  <c r="Q86" i="18"/>
  <c r="P86" i="18"/>
  <c r="O86" i="18"/>
  <c r="Q85" i="18"/>
  <c r="P85" i="18"/>
  <c r="O85" i="18"/>
  <c r="Q83" i="18"/>
  <c r="P83" i="18"/>
  <c r="O83" i="18"/>
  <c r="Q82" i="18"/>
  <c r="P82" i="18"/>
  <c r="O82" i="18"/>
  <c r="Q81" i="18"/>
  <c r="P81" i="18"/>
  <c r="O81" i="18"/>
  <c r="Q80" i="18"/>
  <c r="P80" i="18"/>
  <c r="O80" i="18"/>
  <c r="Q79" i="18"/>
  <c r="P79" i="18"/>
  <c r="O79" i="18"/>
  <c r="Q56" i="18"/>
  <c r="P56" i="18"/>
  <c r="O56" i="18"/>
  <c r="N56" i="18"/>
  <c r="M56" i="18"/>
  <c r="L56" i="18"/>
  <c r="K56" i="18"/>
  <c r="J56" i="18"/>
  <c r="T50" i="18"/>
  <c r="S50" i="18"/>
  <c r="R50" i="18"/>
  <c r="T49" i="18"/>
  <c r="S49" i="18"/>
  <c r="R49" i="18"/>
  <c r="Q49" i="18"/>
  <c r="P49" i="18"/>
  <c r="O49" i="18"/>
  <c r="T48" i="18"/>
  <c r="S48" i="18"/>
  <c r="R48" i="18"/>
  <c r="T47" i="18"/>
  <c r="S47" i="18"/>
  <c r="R47" i="18"/>
  <c r="T45" i="18"/>
  <c r="S45" i="18"/>
  <c r="R45" i="18"/>
  <c r="O45" i="18"/>
  <c r="T44" i="18"/>
  <c r="S44" i="18"/>
  <c r="R44" i="18"/>
  <c r="T43" i="18"/>
  <c r="S43" i="18"/>
  <c r="R43" i="18"/>
  <c r="T41" i="18"/>
  <c r="S41" i="18"/>
  <c r="R41" i="18"/>
  <c r="Q41" i="18"/>
  <c r="P41" i="18"/>
  <c r="O41" i="18"/>
  <c r="S86" i="18"/>
  <c r="R86" i="18"/>
  <c r="S61" i="18"/>
  <c r="R61" i="18"/>
  <c r="P61" i="18"/>
  <c r="O61" i="18"/>
  <c r="W77" i="25" l="1"/>
  <c r="W57" i="25"/>
  <c r="W59" i="25"/>
  <c r="W105" i="25"/>
  <c r="W148" i="25"/>
  <c r="W151" i="25"/>
  <c r="W134" i="25"/>
  <c r="W62" i="25"/>
  <c r="W108" i="25"/>
  <c r="W141" i="25"/>
  <c r="W34" i="25"/>
  <c r="W55" i="25"/>
  <c r="W143" i="25"/>
  <c r="W71" i="25"/>
  <c r="W111" i="25"/>
  <c r="W150" i="25"/>
  <c r="W64" i="25"/>
  <c r="W75" i="25"/>
  <c r="W20" i="25"/>
  <c r="W23" i="25"/>
  <c r="W67" i="25"/>
  <c r="W110" i="25"/>
  <c r="W123" i="25"/>
  <c r="W138" i="25"/>
  <c r="W4" i="25"/>
  <c r="W5" i="25"/>
  <c r="W6" i="25"/>
  <c r="W7" i="25"/>
  <c r="W8" i="25"/>
  <c r="W16" i="25"/>
  <c r="W72" i="25"/>
  <c r="W96" i="25"/>
  <c r="W33" i="25"/>
  <c r="W35" i="25"/>
  <c r="W46" i="25"/>
  <c r="W83" i="25"/>
  <c r="W85" i="25"/>
  <c r="W106" i="25"/>
  <c r="W120" i="25"/>
  <c r="W125" i="25"/>
  <c r="W126" i="25"/>
  <c r="W140" i="25"/>
  <c r="W24" i="25"/>
  <c r="W26" i="25"/>
  <c r="W37" i="25"/>
  <c r="W66" i="25"/>
  <c r="W114" i="25"/>
  <c r="W116" i="25"/>
  <c r="W118" i="25"/>
  <c r="W119" i="25"/>
  <c r="W137" i="25"/>
  <c r="W153" i="25"/>
  <c r="W14" i="25"/>
  <c r="W39" i="25"/>
  <c r="W100" i="25"/>
  <c r="W53" i="25"/>
  <c r="W91" i="25"/>
  <c r="W97" i="25"/>
  <c r="W144" i="25"/>
  <c r="W31" i="25"/>
  <c r="W40" i="25"/>
  <c r="W56" i="25"/>
  <c r="W94" i="25"/>
  <c r="W130" i="25"/>
  <c r="W135" i="25"/>
  <c r="W152" i="25"/>
  <c r="W42" i="25"/>
  <c r="W52" i="25"/>
  <c r="W78" i="25"/>
  <c r="W84" i="25"/>
  <c r="W87" i="25"/>
  <c r="W127" i="25"/>
  <c r="W132" i="25"/>
  <c r="W147" i="25"/>
  <c r="W13" i="25"/>
  <c r="W30" i="25"/>
  <c r="W102" i="25"/>
  <c r="W11" i="25"/>
  <c r="W12" i="25"/>
  <c r="W15" i="25"/>
  <c r="W22" i="25"/>
  <c r="W25" i="25"/>
  <c r="W45" i="25"/>
  <c r="W54" i="25"/>
  <c r="W90" i="25"/>
  <c r="W92" i="25"/>
  <c r="W99" i="25"/>
  <c r="W112" i="25"/>
  <c r="W73" i="25"/>
  <c r="W129" i="25"/>
  <c r="W10" i="25"/>
  <c r="W19" i="25"/>
  <c r="W41" i="25"/>
  <c r="W43" i="25"/>
  <c r="W60" i="25"/>
  <c r="W63" i="25"/>
  <c r="W69" i="25"/>
  <c r="W80" i="25"/>
  <c r="W81" i="25"/>
  <c r="W89" i="25"/>
  <c r="W101" i="25"/>
  <c r="W124" i="25"/>
  <c r="W131" i="25"/>
  <c r="W149" i="25"/>
  <c r="W70" i="25"/>
  <c r="W2" i="25"/>
  <c r="W18" i="25"/>
  <c r="W28" i="25"/>
  <c r="W29" i="25"/>
  <c r="W32" i="25"/>
  <c r="W48" i="25"/>
  <c r="W58" i="25"/>
  <c r="W61" i="25"/>
  <c r="W95" i="25"/>
  <c r="W107" i="25"/>
  <c r="W109" i="25"/>
  <c r="W122" i="25"/>
  <c r="W139" i="25"/>
  <c r="W142" i="25"/>
  <c r="W145" i="25"/>
  <c r="W9" i="25"/>
  <c r="W27" i="25"/>
  <c r="W47" i="25"/>
  <c r="W74" i="25"/>
  <c r="W79" i="25"/>
  <c r="W82" i="25"/>
  <c r="W86" i="25"/>
  <c r="W88" i="25"/>
  <c r="W93" i="25"/>
  <c r="W98" i="25"/>
  <c r="W104" i="25"/>
  <c r="W117" i="25"/>
  <c r="W121" i="25"/>
  <c r="W146" i="25"/>
  <c r="W154" i="25"/>
  <c r="W3" i="25"/>
  <c r="W21" i="25"/>
  <c r="W36" i="25"/>
  <c r="W65" i="25"/>
  <c r="W17" i="25"/>
  <c r="W38" i="25"/>
  <c r="W44" i="25"/>
  <c r="W49" i="25"/>
  <c r="W68" i="25"/>
  <c r="W103" i="25"/>
  <c r="W113" i="25"/>
  <c r="W115" i="25"/>
  <c r="W133" i="25"/>
  <c r="W136" i="25"/>
  <c r="T156" i="18"/>
  <c r="S156" i="18"/>
  <c r="R156" i="18"/>
  <c r="O158" i="18"/>
  <c r="T158" i="18"/>
  <c r="S158" i="18"/>
  <c r="R158" i="18"/>
  <c r="P155" i="18"/>
  <c r="O155" i="18"/>
  <c r="T155" i="18"/>
  <c r="S155" i="18"/>
  <c r="R155" i="18"/>
  <c r="Q154" i="18"/>
  <c r="P154" i="18"/>
  <c r="O154" i="18"/>
  <c r="T154" i="18"/>
  <c r="S154" i="18"/>
  <c r="R154" i="18"/>
  <c r="Q153" i="18"/>
  <c r="P153" i="18"/>
  <c r="O153" i="18"/>
  <c r="T153" i="18"/>
  <c r="S153" i="18"/>
  <c r="R153" i="18"/>
  <c r="T152" i="18"/>
  <c r="S152" i="18"/>
  <c r="R152" i="18"/>
  <c r="T151" i="18"/>
  <c r="S151" i="18"/>
  <c r="R151" i="18"/>
  <c r="U150" i="18"/>
  <c r="Q150" i="18"/>
  <c r="P150" i="18"/>
  <c r="O150" i="18"/>
  <c r="T150" i="18"/>
  <c r="S150" i="18"/>
  <c r="R150" i="18"/>
  <c r="Q149" i="18"/>
  <c r="P149" i="18"/>
  <c r="O149" i="18"/>
  <c r="T149" i="18"/>
  <c r="S149" i="18"/>
  <c r="R149" i="18"/>
  <c r="Q148" i="18"/>
  <c r="P148" i="18"/>
  <c r="O148" i="18"/>
  <c r="T148" i="18"/>
  <c r="S148" i="18"/>
  <c r="R148" i="18"/>
  <c r="Q147" i="18"/>
  <c r="P147" i="18"/>
  <c r="O147" i="18"/>
  <c r="T147" i="18"/>
  <c r="S147" i="18"/>
  <c r="R147" i="18"/>
  <c r="Q146" i="18"/>
  <c r="P146" i="18"/>
  <c r="O146" i="18"/>
  <c r="T146" i="18"/>
  <c r="S146" i="18"/>
  <c r="R146" i="18"/>
  <c r="T145" i="18"/>
  <c r="S145" i="18"/>
  <c r="R145" i="18"/>
  <c r="Q144" i="18"/>
  <c r="P144" i="18"/>
  <c r="O144" i="18"/>
  <c r="T144" i="18"/>
  <c r="S144" i="18"/>
  <c r="R144" i="18"/>
  <c r="Q143" i="18"/>
  <c r="P143" i="18"/>
  <c r="O143" i="18"/>
  <c r="T143" i="18"/>
  <c r="S143" i="18"/>
  <c r="R143" i="18"/>
  <c r="T142" i="18"/>
  <c r="S142" i="18"/>
  <c r="R142" i="18"/>
  <c r="P141" i="18"/>
  <c r="O141" i="18"/>
  <c r="T141" i="18"/>
  <c r="S141" i="18"/>
  <c r="R141" i="18"/>
  <c r="Q140" i="18"/>
  <c r="P140" i="18"/>
  <c r="O140" i="18"/>
  <c r="T140" i="18"/>
  <c r="S140" i="18"/>
  <c r="R140" i="18"/>
  <c r="P139" i="18"/>
  <c r="O139" i="18"/>
  <c r="T139" i="18"/>
  <c r="S139" i="18"/>
  <c r="R139" i="18"/>
  <c r="O138" i="18"/>
  <c r="T138" i="18"/>
  <c r="S138" i="18"/>
  <c r="R138" i="18"/>
  <c r="Q137" i="18"/>
  <c r="P137" i="18"/>
  <c r="O137" i="18"/>
  <c r="T137" i="18"/>
  <c r="S137" i="18"/>
  <c r="R137" i="18"/>
  <c r="P136" i="18"/>
  <c r="O136" i="18"/>
  <c r="T136" i="18"/>
  <c r="S136" i="18"/>
  <c r="R136" i="18"/>
  <c r="Q135" i="18"/>
  <c r="P135" i="18"/>
  <c r="O135" i="18"/>
  <c r="T135" i="18"/>
  <c r="S135" i="18"/>
  <c r="R135" i="18"/>
  <c r="T134" i="18"/>
  <c r="S134" i="18"/>
  <c r="R134" i="18"/>
  <c r="Q134" i="18"/>
  <c r="P134" i="18"/>
  <c r="O134" i="18"/>
  <c r="S133" i="18"/>
  <c r="R133" i="18"/>
  <c r="Q133" i="18"/>
  <c r="P133" i="18"/>
  <c r="O133" i="18"/>
  <c r="T130" i="18"/>
  <c r="S130" i="18"/>
  <c r="R130" i="18"/>
  <c r="Q130" i="18"/>
  <c r="P130" i="18"/>
  <c r="O130" i="18"/>
  <c r="U129" i="18"/>
  <c r="T129" i="18"/>
  <c r="S129" i="18"/>
  <c r="R129" i="18"/>
  <c r="Q129" i="18"/>
  <c r="P129" i="18"/>
  <c r="O129" i="18"/>
  <c r="T128" i="18"/>
  <c r="S128" i="18"/>
  <c r="R128" i="18"/>
  <c r="Q128" i="18"/>
  <c r="P128" i="18"/>
  <c r="O128" i="18"/>
  <c r="S127" i="18"/>
  <c r="R127" i="18"/>
  <c r="Q127" i="18"/>
  <c r="P127" i="18"/>
  <c r="O127" i="18"/>
  <c r="U126" i="18"/>
  <c r="T126" i="18"/>
  <c r="S126" i="18"/>
  <c r="R126" i="18"/>
  <c r="Q126" i="18"/>
  <c r="P126" i="18"/>
  <c r="O126" i="18"/>
  <c r="U125" i="18"/>
  <c r="T125" i="18"/>
  <c r="S125" i="18"/>
  <c r="R125" i="18"/>
  <c r="Q125" i="18"/>
  <c r="P125" i="18"/>
  <c r="O125" i="18"/>
  <c r="T124" i="18"/>
  <c r="S124" i="18"/>
  <c r="R124" i="18"/>
  <c r="Q124" i="18"/>
  <c r="P124" i="18"/>
  <c r="O124" i="18"/>
  <c r="U123" i="18"/>
  <c r="T123" i="18"/>
  <c r="S123" i="18"/>
  <c r="R123" i="18"/>
  <c r="Q123" i="18"/>
  <c r="P123" i="18"/>
  <c r="O123" i="18"/>
  <c r="Q122" i="18"/>
  <c r="P122" i="18"/>
  <c r="O122" i="18"/>
  <c r="N122" i="18"/>
  <c r="M122" i="18"/>
  <c r="L122" i="18"/>
  <c r="K122" i="18"/>
  <c r="J122" i="18"/>
  <c r="G122" i="18"/>
  <c r="Q121" i="18"/>
  <c r="P121" i="18"/>
  <c r="O121" i="18"/>
  <c r="N121" i="18"/>
  <c r="M121" i="18"/>
  <c r="L121" i="18"/>
  <c r="K121" i="18"/>
  <c r="J121" i="18"/>
  <c r="Q120" i="18"/>
  <c r="P120" i="18"/>
  <c r="O120" i="18"/>
  <c r="N120" i="18"/>
  <c r="M120" i="18"/>
  <c r="L120" i="18"/>
  <c r="K120" i="18"/>
  <c r="J120" i="18"/>
  <c r="Q119" i="18"/>
  <c r="P119" i="18"/>
  <c r="O119" i="18"/>
  <c r="N119" i="18"/>
  <c r="M119" i="18"/>
  <c r="L119" i="18"/>
  <c r="K119" i="18"/>
  <c r="J119" i="18"/>
  <c r="Q118" i="18"/>
  <c r="P118" i="18"/>
  <c r="O118" i="18"/>
  <c r="N118" i="18"/>
  <c r="M118" i="18"/>
  <c r="L118" i="18"/>
  <c r="K118" i="18"/>
  <c r="J118" i="18"/>
  <c r="Q117" i="18"/>
  <c r="P117" i="18"/>
  <c r="O117" i="18"/>
  <c r="N117" i="18"/>
  <c r="M117" i="18"/>
  <c r="L117" i="18"/>
  <c r="K117" i="18"/>
  <c r="J117" i="18"/>
  <c r="G115" i="18"/>
  <c r="T113" i="18"/>
  <c r="T112" i="18"/>
  <c r="T111" i="18"/>
  <c r="S95" i="18"/>
  <c r="S94" i="18"/>
  <c r="R94" i="18"/>
  <c r="S91" i="18"/>
  <c r="R91" i="18"/>
  <c r="S85" i="18"/>
  <c r="R85" i="18"/>
  <c r="S84" i="18"/>
  <c r="R84" i="18"/>
  <c r="S83" i="18"/>
  <c r="R83" i="18"/>
  <c r="S82" i="18"/>
  <c r="R82" i="18"/>
  <c r="S81" i="18"/>
  <c r="R81" i="18"/>
  <c r="S80" i="18"/>
  <c r="R80" i="18"/>
  <c r="S79" i="18"/>
  <c r="R79" i="18"/>
  <c r="S78" i="18"/>
  <c r="T98" i="18"/>
  <c r="T95" i="18"/>
  <c r="T94" i="18"/>
  <c r="T93" i="18"/>
  <c r="T92" i="18"/>
  <c r="T91" i="18"/>
  <c r="T85" i="18"/>
  <c r="T84" i="18"/>
  <c r="T82" i="18"/>
  <c r="T81" i="18"/>
  <c r="T77" i="18"/>
  <c r="S77" i="18"/>
  <c r="R77" i="18"/>
  <c r="Q77" i="18"/>
  <c r="P77" i="18"/>
  <c r="O77" i="18"/>
  <c r="T76" i="18"/>
  <c r="S76" i="18"/>
  <c r="R76" i="18"/>
  <c r="Q76" i="18"/>
  <c r="P76" i="18"/>
  <c r="O76" i="18"/>
  <c r="S75" i="18"/>
  <c r="R75" i="18"/>
  <c r="Q75" i="18"/>
  <c r="P75" i="18"/>
  <c r="O75" i="18"/>
  <c r="S74" i="18"/>
  <c r="P74" i="18"/>
  <c r="O74" i="18"/>
  <c r="T73" i="18"/>
  <c r="S73" i="18"/>
  <c r="R73" i="18"/>
  <c r="Q73" i="18"/>
  <c r="P73" i="18"/>
  <c r="O73" i="18"/>
  <c r="T72" i="18"/>
  <c r="S72" i="18"/>
  <c r="R72" i="18"/>
  <c r="Q72" i="18"/>
  <c r="P72" i="18"/>
  <c r="O72" i="18"/>
  <c r="T71" i="18"/>
  <c r="S71" i="18"/>
  <c r="R71" i="18"/>
  <c r="Q71" i="18"/>
  <c r="P71" i="18"/>
  <c r="O71" i="18"/>
  <c r="S70" i="18"/>
  <c r="P70" i="18"/>
  <c r="O70" i="18"/>
  <c r="S69" i="18"/>
  <c r="R69" i="18"/>
  <c r="P69" i="18"/>
  <c r="O69" i="18"/>
  <c r="T68" i="18"/>
  <c r="S68" i="18"/>
  <c r="R68" i="18"/>
  <c r="Q68" i="18"/>
  <c r="P68" i="18"/>
  <c r="O68" i="18"/>
  <c r="T67" i="18"/>
  <c r="S67" i="18"/>
  <c r="R67" i="18"/>
  <c r="Q67" i="18"/>
  <c r="P67" i="18"/>
  <c r="O67" i="18"/>
  <c r="S66" i="18"/>
  <c r="R66" i="18"/>
  <c r="Q66" i="18"/>
  <c r="P66" i="18"/>
  <c r="O66" i="18"/>
  <c r="S65" i="18"/>
  <c r="R65" i="18"/>
  <c r="P65" i="18"/>
  <c r="O65" i="18"/>
  <c r="S64" i="18"/>
  <c r="Q64" i="18"/>
  <c r="P64" i="18"/>
  <c r="O64" i="18"/>
  <c r="S63" i="18"/>
  <c r="P63" i="18"/>
  <c r="O63" i="18"/>
  <c r="S60" i="18"/>
  <c r="R60" i="18"/>
  <c r="P60" i="18"/>
  <c r="O60" i="18"/>
  <c r="S59" i="18"/>
  <c r="P59" i="18"/>
  <c r="O59" i="18"/>
  <c r="O58" i="18"/>
  <c r="N58" i="18"/>
  <c r="L58" i="18"/>
  <c r="K58" i="18"/>
  <c r="J58" i="18"/>
  <c r="P57" i="18"/>
  <c r="O57" i="18"/>
  <c r="N57" i="18"/>
  <c r="L57" i="18"/>
  <c r="K57" i="18"/>
  <c r="J57" i="18"/>
  <c r="P55" i="18"/>
  <c r="O55" i="18"/>
  <c r="N55" i="18"/>
  <c r="L55" i="18"/>
  <c r="K55" i="18"/>
  <c r="J55" i="18"/>
  <c r="P54" i="18"/>
  <c r="O54" i="18"/>
  <c r="N54" i="18"/>
  <c r="L54" i="18"/>
  <c r="K54" i="18"/>
  <c r="J54" i="18"/>
  <c r="P53" i="18"/>
  <c r="O53" i="18"/>
  <c r="N53" i="18"/>
  <c r="K53" i="18"/>
  <c r="J53" i="18"/>
  <c r="N51" i="18"/>
  <c r="K51" i="18"/>
  <c r="J51" i="18"/>
  <c r="T42" i="18"/>
  <c r="S42" i="18"/>
  <c r="R42" i="18"/>
  <c r="T40" i="18"/>
  <c r="S40" i="18"/>
  <c r="R40" i="18"/>
  <c r="Q39" i="18"/>
  <c r="P39" i="18"/>
  <c r="O39" i="18"/>
  <c r="T39" i="18"/>
  <c r="S39" i="18"/>
  <c r="R39" i="18"/>
  <c r="T38" i="18"/>
  <c r="S38" i="18"/>
  <c r="R38" i="18"/>
  <c r="P37" i="18"/>
  <c r="O37" i="18"/>
  <c r="T37" i="18"/>
  <c r="S37" i="18"/>
  <c r="R37" i="18"/>
  <c r="P36" i="18"/>
  <c r="O36" i="18"/>
  <c r="T36" i="18"/>
  <c r="S36" i="18"/>
  <c r="R36" i="18"/>
  <c r="T35" i="18"/>
  <c r="S35" i="18"/>
  <c r="R35" i="18"/>
  <c r="T34" i="18"/>
  <c r="S34" i="18"/>
  <c r="R34" i="18"/>
  <c r="P33" i="18"/>
  <c r="O33" i="18"/>
  <c r="T33" i="18"/>
  <c r="S33" i="18"/>
  <c r="R33" i="18"/>
  <c r="O32" i="18"/>
  <c r="T32" i="18"/>
  <c r="S32" i="18"/>
  <c r="R32" i="18"/>
  <c r="Q31" i="18"/>
  <c r="P31" i="18"/>
  <c r="O31" i="18"/>
  <c r="T31" i="18"/>
  <c r="S31" i="18"/>
  <c r="R31" i="18"/>
  <c r="Q30" i="18"/>
  <c r="P30" i="18"/>
  <c r="O30" i="18"/>
  <c r="T30" i="18"/>
  <c r="S30" i="18"/>
  <c r="R30" i="18"/>
  <c r="Q29" i="18"/>
  <c r="P29" i="18"/>
  <c r="O29" i="18"/>
  <c r="T29" i="18"/>
  <c r="S29" i="18"/>
  <c r="R29" i="18"/>
  <c r="Q28" i="18"/>
  <c r="P28" i="18"/>
  <c r="O28" i="18"/>
  <c r="T28" i="18"/>
  <c r="S28" i="18"/>
  <c r="R28" i="18"/>
  <c r="Q27" i="18"/>
  <c r="P27" i="18"/>
  <c r="O27" i="18"/>
  <c r="T27" i="18"/>
  <c r="S27" i="18"/>
  <c r="R27" i="18"/>
  <c r="P26" i="18"/>
  <c r="O26" i="18"/>
  <c r="T26" i="18"/>
  <c r="S26" i="18"/>
  <c r="R26" i="18"/>
  <c r="Q25" i="18"/>
  <c r="P25" i="18"/>
  <c r="O25" i="18"/>
  <c r="T25" i="18"/>
  <c r="S25" i="18"/>
  <c r="R25" i="18"/>
  <c r="T24" i="18"/>
  <c r="S24" i="18"/>
  <c r="R24" i="18"/>
  <c r="T22" i="18"/>
  <c r="T23" i="18"/>
  <c r="S23" i="18"/>
  <c r="R23" i="18"/>
  <c r="Q23" i="18"/>
  <c r="P23" i="18"/>
  <c r="O23" i="18"/>
  <c r="S22" i="18"/>
  <c r="R22" i="18"/>
  <c r="Q22" i="18"/>
  <c r="P22" i="18"/>
  <c r="O22" i="18"/>
  <c r="T21" i="18"/>
  <c r="S21" i="18"/>
  <c r="R21" i="18"/>
  <c r="Q21" i="18"/>
  <c r="P21" i="18"/>
  <c r="O21" i="18"/>
  <c r="S20" i="18"/>
  <c r="R20" i="18"/>
  <c r="Q20" i="18"/>
  <c r="P20" i="18"/>
  <c r="O20" i="18"/>
  <c r="S19" i="18"/>
  <c r="R19" i="18"/>
  <c r="Q19" i="18"/>
  <c r="P19" i="18"/>
  <c r="O19" i="18"/>
  <c r="S18" i="18"/>
  <c r="R18" i="18"/>
  <c r="Q18" i="18"/>
  <c r="P18" i="18"/>
  <c r="O18" i="18"/>
  <c r="T17" i="18"/>
  <c r="S17" i="18"/>
  <c r="R17" i="18"/>
  <c r="Q17" i="18"/>
  <c r="P17" i="18"/>
  <c r="O17" i="18"/>
  <c r="T16" i="18"/>
  <c r="S16" i="18"/>
  <c r="R16" i="18"/>
  <c r="Q16" i="18"/>
  <c r="P16" i="18"/>
  <c r="O16" i="18"/>
  <c r="T15" i="18"/>
  <c r="S15" i="18"/>
  <c r="R15" i="18"/>
  <c r="Q15" i="18"/>
  <c r="P15" i="18"/>
  <c r="O15" i="18"/>
  <c r="T14" i="18"/>
  <c r="S14" i="18"/>
  <c r="R14" i="18"/>
  <c r="Q14" i="18"/>
  <c r="P14" i="18"/>
  <c r="O14" i="18"/>
  <c r="T13" i="18"/>
  <c r="S13" i="18"/>
  <c r="R13" i="18"/>
  <c r="Q13" i="18"/>
  <c r="P13" i="18"/>
  <c r="O13" i="18"/>
  <c r="T12" i="18"/>
  <c r="S12" i="18"/>
  <c r="R12" i="18"/>
  <c r="Q12" i="18"/>
  <c r="P12" i="18"/>
  <c r="O12" i="18"/>
  <c r="T11" i="18"/>
  <c r="S11" i="18"/>
  <c r="R11" i="18"/>
  <c r="Q11" i="18"/>
  <c r="P11" i="18"/>
  <c r="O11" i="18"/>
  <c r="T10" i="18"/>
  <c r="S10" i="18"/>
  <c r="R10" i="18"/>
  <c r="Q10" i="18"/>
  <c r="P10" i="18"/>
  <c r="O10" i="18"/>
  <c r="T9" i="18"/>
  <c r="S9" i="18"/>
  <c r="R9" i="18"/>
  <c r="Q9" i="18"/>
  <c r="P9" i="18"/>
  <c r="O9" i="18"/>
  <c r="T8" i="18"/>
  <c r="S8" i="18"/>
  <c r="R8" i="18"/>
  <c r="Q8" i="18"/>
  <c r="P8" i="18"/>
  <c r="O8" i="18"/>
  <c r="Q7" i="18"/>
  <c r="Q6" i="18"/>
  <c r="Q5" i="18"/>
  <c r="Q4" i="18"/>
  <c r="Q3" i="18"/>
  <c r="Q2" i="18"/>
  <c r="P7" i="18"/>
  <c r="O7" i="18"/>
  <c r="P6" i="18"/>
  <c r="O6" i="18"/>
  <c r="P5" i="18"/>
  <c r="O5" i="18"/>
  <c r="P4" i="18"/>
  <c r="O4" i="18"/>
  <c r="P3" i="18"/>
  <c r="O3" i="18"/>
  <c r="P2" i="18"/>
  <c r="O2" i="18"/>
  <c r="N7" i="18"/>
  <c r="N6" i="18"/>
  <c r="N5" i="18"/>
  <c r="N4" i="18"/>
  <c r="N3" i="18"/>
  <c r="N2" i="18"/>
  <c r="M7" i="18"/>
  <c r="L7" i="18"/>
  <c r="K7" i="18"/>
  <c r="M6" i="18"/>
  <c r="L6" i="18"/>
  <c r="K6" i="18"/>
  <c r="M5" i="18"/>
  <c r="L5" i="18"/>
  <c r="K5" i="18"/>
  <c r="M4" i="18"/>
  <c r="L4" i="18"/>
  <c r="K4" i="18"/>
  <c r="M3" i="18"/>
  <c r="L3" i="18"/>
  <c r="K3" i="18"/>
  <c r="M2" i="18"/>
  <c r="L2" i="18"/>
  <c r="K2" i="18"/>
  <c r="J7" i="18"/>
  <c r="J6" i="18"/>
  <c r="J5" i="18"/>
  <c r="J4" i="18"/>
  <c r="J3" i="18"/>
  <c r="J2"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88F845-DA81-4E4B-81DE-833BDF04AB09}" keepAlive="1" name="Abfrage - Table 3" description="Verbindung mit der Abfrage 'Table 3' in der Arbeitsmappe." type="5" refreshedVersion="8" background="1" saveData="1">
    <dbPr connection="Provider=Microsoft.Mashup.OleDb.1;Data Source=$Workbook$;Location=&quot;Table 3&quot;;Extended Properties=&quot;&quot;" command="SELECT * FROM [Table 3]"/>
  </connection>
</connections>
</file>

<file path=xl/sharedStrings.xml><?xml version="1.0" encoding="utf-8"?>
<sst xmlns="http://schemas.openxmlformats.org/spreadsheetml/2006/main" count="2580" uniqueCount="514">
  <si>
    <t>Denver Broncos</t>
  </si>
  <si>
    <t>6*</t>
  </si>
  <si>
    <t>5*</t>
  </si>
  <si>
    <t>MAC</t>
  </si>
  <si>
    <t>ACC</t>
  </si>
  <si>
    <t>North Carolina</t>
  </si>
  <si>
    <t>Pac-12</t>
  </si>
  <si>
    <t>Washington</t>
  </si>
  <si>
    <t>Oregon State</t>
  </si>
  <si>
    <t>TE</t>
  </si>
  <si>
    <t>RB</t>
  </si>
  <si>
    <t>MW</t>
  </si>
  <si>
    <t>Fresno State</t>
  </si>
  <si>
    <t>Big Ten</t>
  </si>
  <si>
    <t>Ind. (FBS)</t>
  </si>
  <si>
    <t>Notre Dame</t>
  </si>
  <si>
    <t>UCLA</t>
  </si>
  <si>
    <t>WR</t>
  </si>
  <si>
    <t>Sun Belt</t>
  </si>
  <si>
    <t>MVFC</t>
  </si>
  <si>
    <t>Ohio State</t>
  </si>
  <si>
    <t>The American</t>
  </si>
  <si>
    <t>Cincinnati</t>
  </si>
  <si>
    <t>SEC</t>
  </si>
  <si>
    <t>Ole Miss</t>
  </si>
  <si>
    <t>C-USA</t>
  </si>
  <si>
    <t>Big 12</t>
  </si>
  <si>
    <t>Oklahoma</t>
  </si>
  <si>
    <t>BYU</t>
  </si>
  <si>
    <t>Stanford</t>
  </si>
  <si>
    <t>Arizona State</t>
  </si>
  <si>
    <t>Kentucky</t>
  </si>
  <si>
    <t>QB</t>
  </si>
  <si>
    <t>Maryland</t>
  </si>
  <si>
    <t>4*</t>
  </si>
  <si>
    <t>Houston</t>
  </si>
  <si>
    <t>Wake Forest</t>
  </si>
  <si>
    <t>Western Kentucky</t>
  </si>
  <si>
    <t>North Dakota State</t>
  </si>
  <si>
    <t>Georgia</t>
  </si>
  <si>
    <t>Michigan</t>
  </si>
  <si>
    <t>Penn State</t>
  </si>
  <si>
    <t>Wisconsin</t>
  </si>
  <si>
    <t>Iowa State</t>
  </si>
  <si>
    <t>South Dakota State</t>
  </si>
  <si>
    <t>LSU</t>
  </si>
  <si>
    <t>Texas A&amp;M</t>
  </si>
  <si>
    <t>Alabama</t>
  </si>
  <si>
    <t>Pittsburgh</t>
  </si>
  <si>
    <t>Iowa</t>
  </si>
  <si>
    <t>Florida</t>
  </si>
  <si>
    <t>SMU</t>
  </si>
  <si>
    <t>3×</t>
  </si>
  <si>
    <t>Purdue</t>
  </si>
  <si>
    <t>3*</t>
  </si>
  <si>
    <t>Illinois</t>
  </si>
  <si>
    <t>Baylor</t>
  </si>
  <si>
    <t>South Alabama</t>
  </si>
  <si>
    <t>Liberty</t>
  </si>
  <si>
    <t>UAB</t>
  </si>
  <si>
    <t>Central Michigan</t>
  </si>
  <si>
    <t>Virginia</t>
  </si>
  <si>
    <t>Tennessee</t>
  </si>
  <si>
    <t>USC</t>
  </si>
  <si>
    <t>Nebraska</t>
  </si>
  <si>
    <t>Colorado State</t>
  </si>
  <si>
    <t>Western Michigan</t>
  </si>
  <si>
    <t>Clemson</t>
  </si>
  <si>
    <t>Michigan State</t>
  </si>
  <si>
    <t>Auburn</t>
  </si>
  <si>
    <t>Utah</t>
  </si>
  <si>
    <t>Florida State</t>
  </si>
  <si>
    <t>Arkansas</t>
  </si>
  <si>
    <t>Boston College</t>
  </si>
  <si>
    <t>Oregon</t>
  </si>
  <si>
    <t>College</t>
  </si>
  <si>
    <t>Position</t>
  </si>
  <si>
    <t>UCF</t>
  </si>
  <si>
    <t>Kansas State</t>
  </si>
  <si>
    <t>Tulane</t>
  </si>
  <si>
    <t>South Carolina</t>
  </si>
  <si>
    <t>Texas</t>
  </si>
  <si>
    <t>Arizona</t>
  </si>
  <si>
    <t>Northwestern</t>
  </si>
  <si>
    <t>TCU</t>
  </si>
  <si>
    <t>Louisville</t>
  </si>
  <si>
    <t>Tank Bigsby</t>
  </si>
  <si>
    <t>Zach Evans</t>
  </si>
  <si>
    <t>Anthony Richardson</t>
  </si>
  <si>
    <t>Zay Flowers</t>
  </si>
  <si>
    <t>Jahmyr Gibbs</t>
  </si>
  <si>
    <t>Josh Downs</t>
  </si>
  <si>
    <t>Bijan Robinson</t>
  </si>
  <si>
    <t>Kayshon Boutte</t>
  </si>
  <si>
    <t>Bryce Young</t>
  </si>
  <si>
    <t>CJ Stroud</t>
  </si>
  <si>
    <t>Will Lewis</t>
  </si>
  <si>
    <t>Jordan Addison</t>
  </si>
  <si>
    <t>Quentin Johnston</t>
  </si>
  <si>
    <t>Michael Mayer</t>
  </si>
  <si>
    <t>Stetson Bennet</t>
  </si>
  <si>
    <t>Ivy</t>
  </si>
  <si>
    <t>Conference</t>
  </si>
  <si>
    <t>INT</t>
  </si>
  <si>
    <t>Hendon Hooker</t>
  </si>
  <si>
    <t>Aidan O'Connell</t>
  </si>
  <si>
    <t>Jake Haener</t>
  </si>
  <si>
    <t>Tyjae Spears</t>
  </si>
  <si>
    <t>Zach Charbonnet</t>
  </si>
  <si>
    <t>Devon Achane</t>
  </si>
  <si>
    <t>Kendre Miller</t>
  </si>
  <si>
    <t>Chase Brown</t>
  </si>
  <si>
    <t>Israel Abanikanda</t>
  </si>
  <si>
    <t>Eric Gray</t>
  </si>
  <si>
    <t>Roschon Johnson</t>
  </si>
  <si>
    <t>Evan Hull</t>
  </si>
  <si>
    <t>Chris Rodriguez Jr.</t>
  </si>
  <si>
    <t>Kenny McIntosh</t>
  </si>
  <si>
    <t>DeWayne McBride</t>
  </si>
  <si>
    <t>Jason Smith-Njigba</t>
  </si>
  <si>
    <t>Jalin Hyatt</t>
  </si>
  <si>
    <t>Cedric Tillman</t>
  </si>
  <si>
    <t>Rashee Rice</t>
  </si>
  <si>
    <t>Marvin Mims Jr.</t>
  </si>
  <si>
    <t>Parker Washington</t>
  </si>
  <si>
    <t>Tank Dell</t>
  </si>
  <si>
    <t>Jayden Reed</t>
  </si>
  <si>
    <t>Tyler Scott</t>
  </si>
  <si>
    <t>AT Perry</t>
  </si>
  <si>
    <t>Xavier Hutchinson</t>
  </si>
  <si>
    <t>Dontayvion Wicks</t>
  </si>
  <si>
    <t>Puka Nacua</t>
  </si>
  <si>
    <t>Jonathan Mingo</t>
  </si>
  <si>
    <t>Trey Palmer</t>
  </si>
  <si>
    <t>Darnell Washington</t>
  </si>
  <si>
    <t>Dalton Kincaid</t>
  </si>
  <si>
    <t>Sam LaPorta</t>
  </si>
  <si>
    <t>Luke Musgrave</t>
  </si>
  <si>
    <t>Tucker Kraft</t>
  </si>
  <si>
    <t>Brenton Strange</t>
  </si>
  <si>
    <t>Luke Schoonmaker</t>
  </si>
  <si>
    <t>Panthers</t>
  </si>
  <si>
    <t>Texans</t>
  </si>
  <si>
    <t>Colts</t>
  </si>
  <si>
    <t>Titans</t>
  </si>
  <si>
    <t>Lions</t>
  </si>
  <si>
    <t>Falcons</t>
  </si>
  <si>
    <t>Seahawks</t>
  </si>
  <si>
    <t>Saints</t>
  </si>
  <si>
    <t>Dolphins</t>
  </si>
  <si>
    <t>Jaguars</t>
  </si>
  <si>
    <t>Michael Wilson</t>
  </si>
  <si>
    <t>Tre Tucker</t>
  </si>
  <si>
    <t>Chargers</t>
  </si>
  <si>
    <t>Ravens</t>
  </si>
  <si>
    <t>Vikings</t>
  </si>
  <si>
    <t>Packers</t>
  </si>
  <si>
    <t>Chiefs</t>
  </si>
  <si>
    <t>Broncos</t>
  </si>
  <si>
    <t>Giants</t>
  </si>
  <si>
    <t>Browns</t>
  </si>
  <si>
    <t>Cardinals</t>
  </si>
  <si>
    <t>Raiders</t>
  </si>
  <si>
    <t>Bills</t>
  </si>
  <si>
    <t>Cowboys</t>
  </si>
  <si>
    <t>Steelers</t>
  </si>
  <si>
    <t>49ers</t>
  </si>
  <si>
    <t>Princeton</t>
  </si>
  <si>
    <t>Deuve Vaughn</t>
  </si>
  <si>
    <t>Lew Nichols III</t>
  </si>
  <si>
    <t>Bears</t>
  </si>
  <si>
    <t>Jets</t>
  </si>
  <si>
    <t>Bengals</t>
  </si>
  <si>
    <t>Commanders</t>
  </si>
  <si>
    <t>Rams</t>
  </si>
  <si>
    <t>Eagles</t>
  </si>
  <si>
    <t>Derius Davis</t>
  </si>
  <si>
    <t>Charlie Jones</t>
  </si>
  <si>
    <t>Justin Shorter</t>
  </si>
  <si>
    <t>Elijah Higgings</t>
  </si>
  <si>
    <t>Andrei Iosivas</t>
  </si>
  <si>
    <t>Demario Douglas</t>
  </si>
  <si>
    <t>Patriots</t>
  </si>
  <si>
    <t>Buccaneers</t>
  </si>
  <si>
    <t>Jerome Ford</t>
  </si>
  <si>
    <t>Garret Wilson</t>
  </si>
  <si>
    <t>Christian Watson</t>
  </si>
  <si>
    <t>David Bell</t>
  </si>
  <si>
    <t>WanDale Robinson</t>
  </si>
  <si>
    <t>Drake London</t>
  </si>
  <si>
    <t>Dameon Pierce</t>
  </si>
  <si>
    <t>Greg Dulcich</t>
  </si>
  <si>
    <t>Jahan Dotson</t>
  </si>
  <si>
    <t>Jelani Woods</t>
  </si>
  <si>
    <t>Isaiah Spiller</t>
  </si>
  <si>
    <t>Skyy Moore</t>
  </si>
  <si>
    <t>Kenny Pickett</t>
  </si>
  <si>
    <t>Treylon Burks</t>
  </si>
  <si>
    <t>Daniel Bellinger</t>
  </si>
  <si>
    <t>Trey McBride</t>
  </si>
  <si>
    <t>Malik Willis</t>
  </si>
  <si>
    <t>Desmond Ridder</t>
  </si>
  <si>
    <t>Brian Robinson</t>
  </si>
  <si>
    <t>Tyler Allgeier</t>
  </si>
  <si>
    <t>Tyquan Thornton</t>
  </si>
  <si>
    <t>Tyrion Davis-Price</t>
  </si>
  <si>
    <t>Jalen Tolbert</t>
  </si>
  <si>
    <t>George Pickens</t>
  </si>
  <si>
    <t>Zamir White</t>
  </si>
  <si>
    <t>Jeremy Ruckert</t>
  </si>
  <si>
    <t>Hassan Haskins</t>
  </si>
  <si>
    <t>Kyren Williams</t>
  </si>
  <si>
    <t>Snoop Conner</t>
  </si>
  <si>
    <t>Sam Howell</t>
  </si>
  <si>
    <t>Jake Ferguson</t>
  </si>
  <si>
    <t>Chigoziem Okonkwo</t>
  </si>
  <si>
    <t>Isaiah Likely</t>
  </si>
  <si>
    <t>Charlie Kolar</t>
  </si>
  <si>
    <t>Ty Chandler</t>
  </si>
  <si>
    <t>Breece Hall</t>
  </si>
  <si>
    <t>Jameson Williams</t>
  </si>
  <si>
    <t>Bailey Zappe</t>
  </si>
  <si>
    <t>James Cook</t>
  </si>
  <si>
    <t>Chris Olave</t>
  </si>
  <si>
    <t>Caleb Williams</t>
  </si>
  <si>
    <t>Drake Maye</t>
  </si>
  <si>
    <t>JJ McCarthy</t>
  </si>
  <si>
    <t>Troy Franklin</t>
  </si>
  <si>
    <t>Xavier Worthy</t>
  </si>
  <si>
    <t>Rome Odunze</t>
  </si>
  <si>
    <t>Keon Coleman</t>
  </si>
  <si>
    <t>Brock Bowers</t>
  </si>
  <si>
    <t>Jayden Daniels</t>
  </si>
  <si>
    <t>Bo Nix</t>
  </si>
  <si>
    <t>Michael Penix Jr.</t>
  </si>
  <si>
    <t xml:space="preserve">Brian Thomas Jr. </t>
  </si>
  <si>
    <t>Trey Benson</t>
  </si>
  <si>
    <t>Xavier Legette</t>
  </si>
  <si>
    <t>Ladd McConkey</t>
  </si>
  <si>
    <t>Adonai Mitchell</t>
  </si>
  <si>
    <t>Braelon Allen</t>
  </si>
  <si>
    <t>Malachi Corley</t>
  </si>
  <si>
    <t>Audric Estime</t>
  </si>
  <si>
    <t>Jalen McMillan</t>
  </si>
  <si>
    <t>JataVion Sanders</t>
  </si>
  <si>
    <t>Bucky Irving</t>
  </si>
  <si>
    <t>John Metchie III</t>
  </si>
  <si>
    <t>Velus Jones Jr</t>
  </si>
  <si>
    <t>Matt Corall</t>
  </si>
  <si>
    <t>Kenneth Walker III</t>
  </si>
  <si>
    <t>Rachaad White</t>
  </si>
  <si>
    <t>Pierre Strong Jr.</t>
  </si>
  <si>
    <t xml:space="preserve">Blake Corum </t>
  </si>
  <si>
    <t>Jonathan Brooks</t>
  </si>
  <si>
    <t>Ja'Lynn Polk</t>
  </si>
  <si>
    <t>Devontez Walker</t>
  </si>
  <si>
    <t>Roman Wilson</t>
  </si>
  <si>
    <t>Will Shipley</t>
  </si>
  <si>
    <t>Ray Davis</t>
  </si>
  <si>
    <t>MarShawn Lloyd</t>
  </si>
  <si>
    <t>CUSA</t>
  </si>
  <si>
    <t>Rice</t>
  </si>
  <si>
    <t>Ricky Pearsall</t>
  </si>
  <si>
    <t>Jermaine Burton</t>
  </si>
  <si>
    <t>Luke McCaffrey</t>
  </si>
  <si>
    <t>Javon Baker</t>
  </si>
  <si>
    <t>Jacob Cowing</t>
  </si>
  <si>
    <t>Jaylen Wright</t>
  </si>
  <si>
    <t>Isaac Guerendo</t>
  </si>
  <si>
    <t>Sione Vaki</t>
  </si>
  <si>
    <t>Ben Sinnot</t>
  </si>
  <si>
    <t>Tip Reipman</t>
  </si>
  <si>
    <t xml:space="preserve">Draft Class </t>
  </si>
  <si>
    <t>Pick_No</t>
  </si>
  <si>
    <t>Player Name</t>
  </si>
  <si>
    <t>Height in m</t>
  </si>
  <si>
    <t>Weight in Kg</t>
  </si>
  <si>
    <t>Completion PCT</t>
  </si>
  <si>
    <t>Pass TDs</t>
  </si>
  <si>
    <t>Passer Rating</t>
  </si>
  <si>
    <t>Rush Attempt</t>
  </si>
  <si>
    <t>Rush Yds</t>
  </si>
  <si>
    <t>Rush TDs</t>
  </si>
  <si>
    <t>Receptions</t>
  </si>
  <si>
    <t>Receiving Yds</t>
  </si>
  <si>
    <t>Receiving TDs</t>
  </si>
  <si>
    <t>NFL Team</t>
  </si>
  <si>
    <t>Passing Yds</t>
  </si>
  <si>
    <t>Fumbles</t>
  </si>
  <si>
    <t>N/A</t>
  </si>
  <si>
    <t>Birth Year</t>
  </si>
  <si>
    <t xml:space="preserve">Marvin Harrison Jr. </t>
  </si>
  <si>
    <t xml:space="preserve">Malik Nabers </t>
  </si>
  <si>
    <t>Zeilenbeschriftungen</t>
  </si>
  <si>
    <t>Gesamtergebnis</t>
  </si>
  <si>
    <t>San Diego State</t>
  </si>
  <si>
    <t>Coastal Carolina</t>
  </si>
  <si>
    <t>Summe von FantasyPoints</t>
  </si>
  <si>
    <t>DASHBOARD</t>
  </si>
  <si>
    <t xml:space="preserve">Average College Fantasypoints </t>
  </si>
  <si>
    <t>Round</t>
  </si>
  <si>
    <t>1m96</t>
  </si>
  <si>
    <t>05/29/2001</t>
  </si>
  <si>
    <t>06/16/2001</t>
  </si>
  <si>
    <t>04/17/2000</t>
  </si>
  <si>
    <t>10/12/2001</t>
  </si>
  <si>
    <t>03/21/2002</t>
  </si>
  <si>
    <t>05/07/2002</t>
  </si>
  <si>
    <t>04/02/2001</t>
  </si>
  <si>
    <t>10/26/1999</t>
  </si>
  <si>
    <t>10/27/2000</t>
  </si>
  <si>
    <t>06/01/2000</t>
  </si>
  <si>
    <t>10/15/1999</t>
  </si>
  <si>
    <t>12/08/2000</t>
  </si>
  <si>
    <t>Cameron Latu</t>
  </si>
  <si>
    <t>10/18/1999</t>
  </si>
  <si>
    <t>01/12/2001</t>
  </si>
  <si>
    <t>07/06/2001</t>
  </si>
  <si>
    <t>09/02/2000</t>
  </si>
  <si>
    <t>09/28/1998</t>
  </si>
  <si>
    <t>27/12/2000</t>
  </si>
  <si>
    <t>11/03/2000</t>
  </si>
  <si>
    <t>08/17/2001</t>
  </si>
  <si>
    <t>02/24/2000</t>
  </si>
  <si>
    <t>06/28/2000</t>
  </si>
  <si>
    <t>07/30/2001</t>
  </si>
  <si>
    <t>06/14/2002</t>
  </si>
  <si>
    <t>09/17/2001</t>
  </si>
  <si>
    <t>07/24/2001</t>
  </si>
  <si>
    <t>07/22/2000</t>
  </si>
  <si>
    <t>06/27/2000</t>
  </si>
  <si>
    <t>03/26/2001</t>
  </si>
  <si>
    <t>03/22/2000</t>
  </si>
  <si>
    <t>03/23/2000</t>
  </si>
  <si>
    <t>05/12/1999</t>
  </si>
  <si>
    <t>01/05/2001</t>
  </si>
  <si>
    <t>07/18/2000</t>
  </si>
  <si>
    <t>08/07/2000</t>
  </si>
  <si>
    <t>03/04/2001</t>
  </si>
  <si>
    <t>Alec Pierce</t>
  </si>
  <si>
    <t>05/02/2000</t>
  </si>
  <si>
    <t>09/10/2000</t>
  </si>
  <si>
    <t>05/11/1997</t>
  </si>
  <si>
    <t>02/27/1999</t>
  </si>
  <si>
    <t>12/14/2000</t>
  </si>
  <si>
    <t>11/22/1999</t>
  </si>
  <si>
    <t>10/09/1998</t>
  </si>
  <si>
    <t>03/26/2000</t>
  </si>
  <si>
    <t>08/11/2000</t>
  </si>
  <si>
    <t>Cade Otton</t>
  </si>
  <si>
    <t>04/15/1999</t>
  </si>
  <si>
    <t>09/22/2000</t>
  </si>
  <si>
    <t>02/10/1999</t>
  </si>
  <si>
    <t>01/18/1999</t>
  </si>
  <si>
    <t>04/18/2000</t>
  </si>
  <si>
    <t>09/08/1999</t>
  </si>
  <si>
    <t>06/06/1998</t>
  </si>
  <si>
    <t>08/31/1999</t>
  </si>
  <si>
    <t>05/25/1999</t>
  </si>
  <si>
    <t>01/31/1999</t>
  </si>
  <si>
    <t>04/26/1999</t>
  </si>
  <si>
    <t>09/16/2000</t>
  </si>
  <si>
    <t>05/31/2001</t>
  </si>
  <si>
    <t>10/20/2000</t>
  </si>
  <si>
    <t>09/25/1999</t>
  </si>
  <si>
    <t>01/12/1999</t>
  </si>
  <si>
    <t>10/23/2000</t>
  </si>
  <si>
    <t>03/22/1999</t>
  </si>
  <si>
    <t>02/19/2000</t>
  </si>
  <si>
    <t>09/18/1999</t>
  </si>
  <si>
    <t>08/09/2001</t>
  </si>
  <si>
    <t>12/10/1998</t>
  </si>
  <si>
    <t>11/26/1999</t>
  </si>
  <si>
    <t>04/15/2000</t>
  </si>
  <si>
    <t>08/01/2000</t>
  </si>
  <si>
    <t>09/12/1999</t>
  </si>
  <si>
    <t>08/26/2000</t>
  </si>
  <si>
    <t>05/12/1998</t>
  </si>
  <si>
    <t>1m83</t>
  </si>
  <si>
    <t>07/25/2001</t>
  </si>
  <si>
    <t>10/03/2001</t>
  </si>
  <si>
    <t>05/22/2002</t>
  </si>
  <si>
    <t>06/27/1999</t>
  </si>
  <si>
    <t>01/13/1998</t>
  </si>
  <si>
    <t>03/10/1999</t>
  </si>
  <si>
    <t>10/28/1997</t>
  </si>
  <si>
    <t>09/01/1998</t>
  </si>
  <si>
    <t>01/30/2002</t>
  </si>
  <si>
    <t>03/20/2002</t>
  </si>
  <si>
    <t>01/08/2001</t>
  </si>
  <si>
    <t>06/11/2002</t>
  </si>
  <si>
    <t>06/15/2001</t>
  </si>
  <si>
    <t>10/13/2001</t>
  </si>
  <si>
    <t>08/30/2001</t>
  </si>
  <si>
    <t>01/31/2001</t>
  </si>
  <si>
    <t>10/05/2002</t>
  </si>
  <si>
    <t>03/21/2000</t>
  </si>
  <si>
    <t>11/04/1999</t>
  </si>
  <si>
    <t>10/26/2000</t>
  </si>
  <si>
    <t>09/26/2000</t>
  </si>
  <si>
    <t>11/02/2001</t>
  </si>
  <si>
    <t>05/30/2001</t>
  </si>
  <si>
    <t>07/08/2001</t>
  </si>
  <si>
    <t>08/16/2001</t>
  </si>
  <si>
    <t>03/03/2000</t>
  </si>
  <si>
    <t>02/14/2002</t>
  </si>
  <si>
    <t>09/06/2001</t>
  </si>
  <si>
    <t>09/11/2000</t>
  </si>
  <si>
    <t>01/27/2002</t>
  </si>
  <si>
    <t>04/20/2001</t>
  </si>
  <si>
    <t>04/28/2000</t>
  </si>
  <si>
    <t>04/22/2000</t>
  </si>
  <si>
    <t>03/19/2002</t>
  </si>
  <si>
    <t>10/29/1999</t>
  </si>
  <si>
    <t>09/25/2001</t>
  </si>
  <si>
    <t>04/19/2000</t>
  </si>
  <si>
    <t>08/12/2001</t>
  </si>
  <si>
    <t>02/23/2000</t>
  </si>
  <si>
    <t>03/08/2001</t>
  </si>
  <si>
    <t>10/29/1998</t>
  </si>
  <si>
    <t>11/18/2001</t>
  </si>
  <si>
    <t>12/18/2000</t>
  </si>
  <si>
    <t>08/30/2002</t>
  </si>
  <si>
    <t>05/08/2000</t>
  </si>
  <si>
    <t>01/20/2003</t>
  </si>
  <si>
    <t>02/25/2000</t>
  </si>
  <si>
    <t>07/21/2003</t>
  </si>
  <si>
    <t>07/23/2002</t>
  </si>
  <si>
    <t>11/25/2000</t>
  </si>
  <si>
    <t>04/01/2003</t>
  </si>
  <si>
    <t>08/19/2002</t>
  </si>
  <si>
    <t>08/29/2002</t>
  </si>
  <si>
    <t>11/11/1999</t>
  </si>
  <si>
    <t>01/20/2004</t>
  </si>
  <si>
    <t>09/06/2003</t>
  </si>
  <si>
    <t>12/13/2002</t>
  </si>
  <si>
    <t>03/27/2003</t>
  </si>
  <si>
    <t>08/11/2002</t>
  </si>
  <si>
    <t>07/28/2003</t>
  </si>
  <si>
    <t>06/03/2002</t>
  </si>
  <si>
    <t>10/08/2002</t>
  </si>
  <si>
    <t>04/27/2003</t>
  </si>
  <si>
    <t>09/09/2000</t>
  </si>
  <si>
    <t>01/29/2001</t>
  </si>
  <si>
    <t>05/17/2003</t>
  </si>
  <si>
    <t>11/11/2001</t>
  </si>
  <si>
    <t>04/11/2002</t>
  </si>
  <si>
    <t>06/28/2001</t>
  </si>
  <si>
    <t>06/19/2001</t>
  </si>
  <si>
    <t>12/07/2001</t>
  </si>
  <si>
    <t>02/06/2003</t>
  </si>
  <si>
    <t>02/18/2002</t>
  </si>
  <si>
    <t>02/04/2001</t>
  </si>
  <si>
    <t>Pittsburgh Steelers</t>
  </si>
  <si>
    <t>New York Jets</t>
  </si>
  <si>
    <t>Miami Dolphins</t>
  </si>
  <si>
    <t>Baltimore Ravens</t>
  </si>
  <si>
    <t>Atlanta Falcons</t>
  </si>
  <si>
    <t>Tennessee Titans</t>
  </si>
  <si>
    <t>New England Patriots</t>
  </si>
  <si>
    <t>Carolina Panthers</t>
  </si>
  <si>
    <t>Washington Commanders</t>
  </si>
  <si>
    <t>Seattle Seahawks</t>
  </si>
  <si>
    <t xml:space="preserve">Buffalo Bills </t>
  </si>
  <si>
    <t>Arizona Cardinals</t>
  </si>
  <si>
    <t>San Francisco 49ers</t>
  </si>
  <si>
    <t>Houston Texans</t>
  </si>
  <si>
    <t>Tampa Bay Buccaneers</t>
  </si>
  <si>
    <t>Las Vegas Raiders</t>
  </si>
  <si>
    <t>Los Angeles Chargers</t>
  </si>
  <si>
    <t>Jacksonville Jaguars</t>
  </si>
  <si>
    <t>Cleveland Browns</t>
  </si>
  <si>
    <t>Los Angeles Rams</t>
  </si>
  <si>
    <t>Minnesota Vikings</t>
  </si>
  <si>
    <t>New Orleans Saints</t>
  </si>
  <si>
    <t>Detroit Lions</t>
  </si>
  <si>
    <t>Green Bay Packers</t>
  </si>
  <si>
    <t>New York Giants</t>
  </si>
  <si>
    <t>Indianapolis Colts</t>
  </si>
  <si>
    <t>Kansas City Chiefs</t>
  </si>
  <si>
    <t>Chicago Bears</t>
  </si>
  <si>
    <t>Dallas Cowboys</t>
  </si>
  <si>
    <t>Cincinnati Bengals</t>
  </si>
  <si>
    <t>Philadelphia Eagles</t>
  </si>
  <si>
    <t>NFL Team*</t>
  </si>
  <si>
    <t>Round *</t>
  </si>
  <si>
    <t>Birth Year*</t>
  </si>
  <si>
    <t>Age at Draft</t>
  </si>
  <si>
    <t>Height in m*</t>
  </si>
  <si>
    <t>Completion PCT*</t>
  </si>
  <si>
    <t>Passing Yds*</t>
  </si>
  <si>
    <t>Pass TDs*</t>
  </si>
  <si>
    <t>INT*</t>
  </si>
  <si>
    <t>Passer Rating*</t>
  </si>
  <si>
    <t>Receptions*</t>
  </si>
  <si>
    <t>Receiving Yds*</t>
  </si>
  <si>
    <t>Receiving TDs*</t>
  </si>
  <si>
    <t>Conference*</t>
  </si>
  <si>
    <t>Anzahl von Position</t>
  </si>
  <si>
    <t>Average Age</t>
  </si>
  <si>
    <t>Min. Age</t>
  </si>
  <si>
    <t>Max. Age</t>
  </si>
  <si>
    <t>Min. Height</t>
  </si>
  <si>
    <t>Average Height</t>
  </si>
  <si>
    <t>Max. Height</t>
  </si>
  <si>
    <t>Min. Weight</t>
  </si>
  <si>
    <t>Average Weight</t>
  </si>
  <si>
    <t>Max. Weight</t>
  </si>
  <si>
    <t>Anzahl von College</t>
  </si>
  <si>
    <t>DEMOGRAPHICS</t>
  </si>
  <si>
    <t>FantasyPoints*</t>
  </si>
  <si>
    <r>
      <t xml:space="preserve">In this Excel project I wanted to summarize my preparation for my dynasty fantasy football drafts for the last three years (2022-2024). 
</t>
    </r>
    <r>
      <rPr>
        <u/>
        <sz val="11"/>
        <color theme="1"/>
        <rFont val="Calibri"/>
        <family val="2"/>
        <scheme val="minor"/>
      </rPr>
      <t xml:space="preserve">Background: What is fantasy football? 
</t>
    </r>
    <r>
      <rPr>
        <sz val="11"/>
        <color theme="1"/>
        <rFont val="Calibri"/>
        <family val="2"/>
        <scheme val="minor"/>
      </rPr>
      <t xml:space="preserve">Fantasy Football is a competition in which participants select imaginary teams from among the real players in a league (National Football League, NFL) and score points according to the actual performance of their players. 
In a standard league, each player drafts a new team each year. In the dynasty format, each player keeps his team instead and can only strenghten his team for the next season by trading existing players or draft picks with other players, or using these draft picks to draft rookies (i.e. newly eligible players). 
Rookies in dynasty are usually drafted after the annual NFL Draft, where each NFL franchise choses rookies to add to their teams. 
In the dynasty fantasy football these rookies are extremely important and can make or break one's fantasy season. So in preperation of the dynasty fantasy football draft, I analyze which rookies are more likely to succeed than others, and get an understanding of which rookies I should target. </t>
    </r>
  </si>
  <si>
    <r>
      <t xml:space="preserve">Reason for this project
</t>
    </r>
    <r>
      <rPr>
        <sz val="11"/>
        <color theme="1"/>
        <rFont val="Calibri"/>
        <family val="2"/>
        <scheme val="minor"/>
      </rPr>
      <t xml:space="preserve">In the past I created a new Excel sheet for my analysis. To practise my Excel skills, I figuered it would be a nice and quick project to summarize my data in one sheet and use pivot tables to create intruiging dashboards. 
The data used here is copied by hand from my pre-existing Excel sheets. All the information is publicy available and can be pulled from wikipedia, ESPN and the official NFL Website. Therefore web scraping could be used to further expand this project. However I decided against web scraping because I wanted a dataset, that was too big to navigate by hand and I find the underlying dataset sufficient. 
</t>
    </r>
  </si>
  <si>
    <r>
      <rPr>
        <u/>
        <sz val="11"/>
        <color theme="1"/>
        <rFont val="Calibri"/>
        <family val="2"/>
        <scheme val="minor"/>
      </rPr>
      <t>Overview Data Cleaning</t>
    </r>
    <r>
      <rPr>
        <sz val="11"/>
        <color theme="1"/>
        <rFont val="Calibri"/>
        <family val="2"/>
        <scheme val="minor"/>
      </rPr>
      <t xml:space="preserve"> 
Fixed columns are marked with "*" ; Removed all duplicates; Standardized colum "Round";  Transformed the US-Date format in the column"Birthdate" into the Europpean format, changed the datatype; Created a new column "Age at Draft" to calculate the age of each player at draft day, based of their birthdates in decimals; Changed the NFL Teams names into their full names; Transformed "N/A" in the production metrics to "0"; Created a new column "FantasyPoints" where I calculate the average fantasypoints one player would have scored in the last two seasons of college, if I had the player in my dynasty league. 
For explanation our current league settings are: 1point for 25 passing yards, 10 rushing yards and 10 receiving yards. 4 points for a passing touchdown, 6 for a rushing or receiving touchdown. 0.5 points for each pass caught, except for the tight end position, which receives 0,75 points for each caught pass. -2 points for each interception or fumble.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</si>
</sst>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sz val="11"/>
      <name val="Calibri"/>
      <family val="2"/>
      <scheme val="minor"/>
    </font>
    <font>
      <b/>
      <sz val="28"/>
      <color theme="0"/>
      <name val="Calibri"/>
      <family val="2"/>
      <scheme val="minor"/>
    </font>
    <font>
      <u/>
      <sz val="11"/>
      <color theme="1"/>
      <name val="Calibri"/>
      <family val="2"/>
      <scheme val="minor"/>
    </font>
  </fonts>
  <fills count="3">
    <fill>
      <patternFill patternType="none"/>
    </fill>
    <fill>
      <patternFill patternType="gray125"/>
    </fill>
    <fill>
      <patternFill patternType="solid">
        <fgColor rgb="FF00206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xf numFmtId="0" fontId="1" fillId="2" borderId="0" xfId="0" applyFont="1" applyFill="1"/>
    <xf numFmtId="0" fontId="0" fillId="0" borderId="1" xfId="0" applyBorder="1"/>
    <xf numFmtId="0" fontId="0" fillId="0" borderId="1" xfId="0" applyBorder="1" applyAlignment="1">
      <alignment horizontal="center"/>
    </xf>
    <xf numFmtId="0" fontId="0" fillId="0" borderId="2" xfId="0" applyBorder="1"/>
    <xf numFmtId="0" fontId="0" fillId="0" borderId="2" xfId="0" applyBorder="1" applyAlignment="1">
      <alignment horizontal="center"/>
    </xf>
    <xf numFmtId="0" fontId="2" fillId="0" borderId="1" xfId="0" applyFont="1" applyBorder="1" applyAlignment="1">
      <alignment horizontal="center"/>
    </xf>
    <xf numFmtId="0" fontId="2" fillId="0" borderId="1" xfId="0" applyFont="1" applyBorder="1"/>
    <xf numFmtId="0" fontId="0" fillId="0" borderId="0" xfId="0" pivotButton="1"/>
    <xf numFmtId="0" fontId="0" fillId="0" borderId="0" xfId="0" applyAlignment="1">
      <alignment horizontal="left"/>
    </xf>
    <xf numFmtId="2" fontId="0" fillId="0" borderId="0" xfId="0" applyNumberFormat="1"/>
    <xf numFmtId="0" fontId="0" fillId="2" borderId="0" xfId="0" applyFill="1"/>
    <xf numFmtId="49" fontId="0" fillId="0" borderId="1" xfId="0" applyNumberFormat="1" applyBorder="1"/>
    <xf numFmtId="49" fontId="0" fillId="0" borderId="2" xfId="0" applyNumberFormat="1" applyBorder="1"/>
    <xf numFmtId="49" fontId="2" fillId="0" borderId="1" xfId="0" applyNumberFormat="1" applyFont="1" applyBorder="1"/>
    <xf numFmtId="0" fontId="3" fillId="2" borderId="0" xfId="0" applyFont="1" applyFill="1" applyAlignment="1">
      <alignment horizontal="center" vertical="center"/>
    </xf>
    <xf numFmtId="0" fontId="1" fillId="2" borderId="0" xfId="0" applyFont="1" applyFill="1" applyAlignment="1">
      <alignment horizontal="left"/>
    </xf>
    <xf numFmtId="14" fontId="1" fillId="2" borderId="0" xfId="0" applyNumberFormat="1" applyFont="1" applyFill="1"/>
    <xf numFmtId="14" fontId="0" fillId="0" borderId="1" xfId="0" applyNumberFormat="1" applyBorder="1"/>
    <xf numFmtId="14" fontId="0" fillId="0" borderId="2" xfId="0" applyNumberFormat="1" applyBorder="1"/>
    <xf numFmtId="14" fontId="2" fillId="0" borderId="1" xfId="0" applyNumberFormat="1" applyFont="1" applyBorder="1"/>
    <xf numFmtId="14" fontId="0" fillId="0" borderId="0" xfId="0" applyNumberFormat="1"/>
    <xf numFmtId="0" fontId="0" fillId="0" borderId="1" xfId="0" applyNumberFormat="1" applyBorder="1"/>
    <xf numFmtId="0" fontId="1" fillId="2" borderId="0" xfId="0" applyNumberFormat="1" applyFont="1" applyFill="1"/>
    <xf numFmtId="0" fontId="0" fillId="0" borderId="2" xfId="0" applyNumberFormat="1" applyBorder="1"/>
    <xf numFmtId="0" fontId="2" fillId="0" borderId="1" xfId="0" applyNumberFormat="1" applyFont="1" applyBorder="1"/>
    <xf numFmtId="0" fontId="0" fillId="0" borderId="0" xfId="0" applyNumberFormat="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xf>
    <xf numFmtId="0" fontId="4" fillId="0" borderId="0" xfId="0" applyFont="1" applyAlignment="1">
      <alignment horizontal="left" vertical="top" wrapText="1"/>
    </xf>
    <xf numFmtId="0" fontId="0" fillId="0" borderId="0" xfId="0" applyFill="1"/>
  </cellXfs>
  <cellStyles count="1">
    <cellStyle name="Standard" xfId="0" builtinId="0"/>
  </cellStyles>
  <dxfs count="12">
    <dxf>
      <numFmt numFmtId="2" formatCode="0.00"/>
    </dxf>
    <dxf>
      <numFmt numFmtId="165" formatCode="0.0000000"/>
    </dxf>
    <dxf>
      <numFmt numFmtId="2" formatCode="0.00"/>
    </dxf>
    <dxf>
      <numFmt numFmtId="2" formatCode="0.00"/>
    </dxf>
    <dxf>
      <numFmt numFmtId="2" formatCode="0.00"/>
    </dxf>
    <dxf>
      <numFmt numFmtId="165" formatCode="0.0000000"/>
    </dxf>
    <dxf>
      <numFmt numFmtId="2" formatCode="0.00"/>
    </dxf>
    <dxf>
      <numFmt numFmtId="2" formatCode="0.00"/>
    </dxf>
    <dxf>
      <numFmt numFmtId="2" formatCode="0.00"/>
    </dxf>
    <dxf>
      <numFmt numFmtId="165" formatCode="0.0000000"/>
    </dxf>
    <dxf>
      <numFmt numFmtId="2" formatCode="0.00"/>
    </dxf>
    <dxf>
      <numFmt numFmtId="2" formatCode="0.00"/>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3.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 Excel-Projekt Fantasy.xlsx]Pivot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Ergebnis</c:v>
                </c:pt>
              </c:strCache>
            </c:strRef>
          </c:tx>
          <c:spPr>
            <a:solidFill>
              <a:schemeClr val="accent1"/>
            </a:solidFill>
            <a:ln>
              <a:noFill/>
            </a:ln>
            <a:effectLst/>
          </c:spPr>
          <c:invertIfNegative val="0"/>
          <c:cat>
            <c:strRef>
              <c:f>'Pivot Table'!$A$4:$A$11</c:f>
              <c:strCache>
                <c:ptCount val="7"/>
                <c:pt idx="0">
                  <c:v>Brian Thomas Jr. </c:v>
                </c:pt>
                <c:pt idx="1">
                  <c:v>Malik Nabers </c:v>
                </c:pt>
                <c:pt idx="2">
                  <c:v>Marvin Harrison Jr. </c:v>
                </c:pt>
                <c:pt idx="3">
                  <c:v>Ricky Pearsall</c:v>
                </c:pt>
                <c:pt idx="4">
                  <c:v>Rome Odunze</c:v>
                </c:pt>
                <c:pt idx="5">
                  <c:v>Xavier Legette</c:v>
                </c:pt>
                <c:pt idx="6">
                  <c:v>Xavier Worthy</c:v>
                </c:pt>
              </c:strCache>
            </c:strRef>
          </c:cat>
          <c:val>
            <c:numRef>
              <c:f>'Pivot Table'!$B$4:$B$11</c:f>
              <c:numCache>
                <c:formatCode>General</c:formatCode>
                <c:ptCount val="7"/>
                <c:pt idx="0">
                  <c:v>167.65</c:v>
                </c:pt>
                <c:pt idx="1">
                  <c:v>220.85000000000002</c:v>
                </c:pt>
                <c:pt idx="2">
                  <c:v>243.6</c:v>
                </c:pt>
                <c:pt idx="3">
                  <c:v>150.55000000000001</c:v>
                </c:pt>
                <c:pt idx="4">
                  <c:v>249.15</c:v>
                </c:pt>
                <c:pt idx="5">
                  <c:v>123.94999999999999</c:v>
                </c:pt>
                <c:pt idx="6">
                  <c:v>166.9</c:v>
                </c:pt>
              </c:numCache>
            </c:numRef>
          </c:val>
          <c:extLst>
            <c:ext xmlns:c16="http://schemas.microsoft.com/office/drawing/2014/chart" uri="{C3380CC4-5D6E-409C-BE32-E72D297353CC}">
              <c16:uniqueId val="{00000000-0827-4BF1-902A-FE3D6E23B292}"/>
            </c:ext>
          </c:extLst>
        </c:ser>
        <c:dLbls>
          <c:showLegendKey val="0"/>
          <c:showVal val="0"/>
          <c:showCatName val="0"/>
          <c:showSerName val="0"/>
          <c:showPercent val="0"/>
          <c:showBubbleSize val="0"/>
        </c:dLbls>
        <c:gapWidth val="182"/>
        <c:axId val="720693776"/>
        <c:axId val="720690416"/>
      </c:barChart>
      <c:catAx>
        <c:axId val="72069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20690416"/>
        <c:crosses val="autoZero"/>
        <c:auto val="1"/>
        <c:lblAlgn val="ctr"/>
        <c:lblOffset val="100"/>
        <c:noMultiLvlLbl val="0"/>
      </c:catAx>
      <c:valAx>
        <c:axId val="72069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2069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 Excel-Projekt Fantasy.xlsx]Pivot Table!PivotTable6</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de-DE" b="1">
                <a:solidFill>
                  <a:sysClr val="windowText" lastClr="000000"/>
                </a:solidFill>
              </a:rPr>
              <a:t>Weight</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de-D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Table'!$B$89</c:f>
              <c:strCache>
                <c:ptCount val="1"/>
                <c:pt idx="0">
                  <c:v>Min. Weight</c:v>
                </c:pt>
              </c:strCache>
            </c:strRef>
          </c:tx>
          <c:spPr>
            <a:solidFill>
              <a:schemeClr val="accent6"/>
            </a:solidFill>
            <a:ln>
              <a:noFill/>
            </a:ln>
            <a:effectLst/>
          </c:spPr>
          <c:invertIfNegative val="0"/>
          <c:cat>
            <c:strRef>
              <c:f>'Pivot Table'!$A$90:$A$94</c:f>
              <c:strCache>
                <c:ptCount val="4"/>
                <c:pt idx="0">
                  <c:v>QB</c:v>
                </c:pt>
                <c:pt idx="1">
                  <c:v>RB</c:v>
                </c:pt>
                <c:pt idx="2">
                  <c:v>TE</c:v>
                </c:pt>
                <c:pt idx="3">
                  <c:v>WR</c:v>
                </c:pt>
              </c:strCache>
            </c:strRef>
          </c:cat>
          <c:val>
            <c:numRef>
              <c:f>'Pivot Table'!$B$90:$B$94</c:f>
              <c:numCache>
                <c:formatCode>General</c:formatCode>
                <c:ptCount val="4"/>
                <c:pt idx="0">
                  <c:v>92</c:v>
                </c:pt>
                <c:pt idx="1">
                  <c:v>88</c:v>
                </c:pt>
                <c:pt idx="2">
                  <c:v>109</c:v>
                </c:pt>
                <c:pt idx="3">
                  <c:v>78</c:v>
                </c:pt>
              </c:numCache>
            </c:numRef>
          </c:val>
          <c:extLst>
            <c:ext xmlns:c16="http://schemas.microsoft.com/office/drawing/2014/chart" uri="{C3380CC4-5D6E-409C-BE32-E72D297353CC}">
              <c16:uniqueId val="{00000000-1A11-4E8E-BC65-A474159DA4A7}"/>
            </c:ext>
          </c:extLst>
        </c:ser>
        <c:ser>
          <c:idx val="1"/>
          <c:order val="1"/>
          <c:tx>
            <c:strRef>
              <c:f>'Pivot Table'!$C$89</c:f>
              <c:strCache>
                <c:ptCount val="1"/>
                <c:pt idx="0">
                  <c:v>Average Weight</c:v>
                </c:pt>
              </c:strCache>
            </c:strRef>
          </c:tx>
          <c:spPr>
            <a:solidFill>
              <a:schemeClr val="accent5"/>
            </a:solidFill>
            <a:ln>
              <a:noFill/>
            </a:ln>
            <a:effectLst/>
          </c:spPr>
          <c:invertIfNegative val="0"/>
          <c:cat>
            <c:strRef>
              <c:f>'Pivot Table'!$A$90:$A$94</c:f>
              <c:strCache>
                <c:ptCount val="4"/>
                <c:pt idx="0">
                  <c:v>QB</c:v>
                </c:pt>
                <c:pt idx="1">
                  <c:v>RB</c:v>
                </c:pt>
                <c:pt idx="2">
                  <c:v>TE</c:v>
                </c:pt>
                <c:pt idx="3">
                  <c:v>WR</c:v>
                </c:pt>
              </c:strCache>
            </c:strRef>
          </c:cat>
          <c:val>
            <c:numRef>
              <c:f>'Pivot Table'!$C$90:$C$94</c:f>
              <c:numCache>
                <c:formatCode>0.00</c:formatCode>
                <c:ptCount val="4"/>
                <c:pt idx="0">
                  <c:v>97.333333333333329</c:v>
                </c:pt>
                <c:pt idx="1">
                  <c:v>97.583333333333329</c:v>
                </c:pt>
                <c:pt idx="2">
                  <c:v>114.25</c:v>
                </c:pt>
                <c:pt idx="3">
                  <c:v>90</c:v>
                </c:pt>
              </c:numCache>
            </c:numRef>
          </c:val>
          <c:extLst>
            <c:ext xmlns:c16="http://schemas.microsoft.com/office/drawing/2014/chart" uri="{C3380CC4-5D6E-409C-BE32-E72D297353CC}">
              <c16:uniqueId val="{00000001-1A11-4E8E-BC65-A474159DA4A7}"/>
            </c:ext>
          </c:extLst>
        </c:ser>
        <c:ser>
          <c:idx val="2"/>
          <c:order val="2"/>
          <c:tx>
            <c:strRef>
              <c:f>'Pivot Table'!$D$89</c:f>
              <c:strCache>
                <c:ptCount val="1"/>
                <c:pt idx="0">
                  <c:v>Max. Weight</c:v>
                </c:pt>
              </c:strCache>
            </c:strRef>
          </c:tx>
          <c:spPr>
            <a:solidFill>
              <a:schemeClr val="accent4"/>
            </a:solidFill>
            <a:ln>
              <a:noFill/>
            </a:ln>
            <a:effectLst/>
          </c:spPr>
          <c:invertIfNegative val="0"/>
          <c:cat>
            <c:strRef>
              <c:f>'Pivot Table'!$A$90:$A$94</c:f>
              <c:strCache>
                <c:ptCount val="4"/>
                <c:pt idx="0">
                  <c:v>QB</c:v>
                </c:pt>
                <c:pt idx="1">
                  <c:v>RB</c:v>
                </c:pt>
                <c:pt idx="2">
                  <c:v>TE</c:v>
                </c:pt>
                <c:pt idx="3">
                  <c:v>WR</c:v>
                </c:pt>
              </c:strCache>
            </c:strRef>
          </c:cat>
          <c:val>
            <c:numRef>
              <c:f>'Pivot Table'!$D$90:$D$94</c:f>
              <c:numCache>
                <c:formatCode>0.00</c:formatCode>
                <c:ptCount val="4"/>
                <c:pt idx="0">
                  <c:v>104</c:v>
                </c:pt>
                <c:pt idx="1">
                  <c:v>108</c:v>
                </c:pt>
                <c:pt idx="2">
                  <c:v>126</c:v>
                </c:pt>
                <c:pt idx="3">
                  <c:v>103</c:v>
                </c:pt>
              </c:numCache>
            </c:numRef>
          </c:val>
          <c:extLst>
            <c:ext xmlns:c16="http://schemas.microsoft.com/office/drawing/2014/chart" uri="{C3380CC4-5D6E-409C-BE32-E72D297353CC}">
              <c16:uniqueId val="{00000002-1A11-4E8E-BC65-A474159DA4A7}"/>
            </c:ext>
          </c:extLst>
        </c:ser>
        <c:dLbls>
          <c:showLegendKey val="0"/>
          <c:showVal val="0"/>
          <c:showCatName val="0"/>
          <c:showSerName val="0"/>
          <c:showPercent val="0"/>
          <c:showBubbleSize val="0"/>
        </c:dLbls>
        <c:gapWidth val="219"/>
        <c:overlap val="-27"/>
        <c:axId val="855853584"/>
        <c:axId val="855855024"/>
      </c:barChart>
      <c:catAx>
        <c:axId val="855853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55855024"/>
        <c:crosses val="autoZero"/>
        <c:auto val="1"/>
        <c:lblAlgn val="ctr"/>
        <c:lblOffset val="100"/>
        <c:noMultiLvlLbl val="0"/>
      </c:catAx>
      <c:valAx>
        <c:axId val="85585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55853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002060"/>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pivotSource>
    <c:name>[! Excel-Projekt Fantasy.xlsx]Pivot Table!PivotTable7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College</a:t>
            </a:r>
            <a:r>
              <a:rPr lang="en-US" b="1" baseline="0">
                <a:solidFill>
                  <a:sysClr val="windowText" lastClr="000000"/>
                </a:solidFill>
              </a:rPr>
              <a:t> Conference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Table'!$B$108</c:f>
              <c:strCache>
                <c:ptCount val="1"/>
                <c:pt idx="0">
                  <c:v>Ergebnis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Table'!$A$109:$A$117</c:f>
              <c:strCache>
                <c:ptCount val="8"/>
                <c:pt idx="0">
                  <c:v>ACC</c:v>
                </c:pt>
                <c:pt idx="1">
                  <c:v>Big 12</c:v>
                </c:pt>
                <c:pt idx="2">
                  <c:v>Big Ten</c:v>
                </c:pt>
                <c:pt idx="3">
                  <c:v>C-USA</c:v>
                </c:pt>
                <c:pt idx="4">
                  <c:v>Ind. (FBS)</c:v>
                </c:pt>
                <c:pt idx="5">
                  <c:v>Pac-12</c:v>
                </c:pt>
                <c:pt idx="6">
                  <c:v>SEC</c:v>
                </c:pt>
                <c:pt idx="7">
                  <c:v>The American</c:v>
                </c:pt>
              </c:strCache>
            </c:strRef>
          </c:cat>
          <c:val>
            <c:numRef>
              <c:f>'Pivot Table'!$B$109:$B$117</c:f>
              <c:numCache>
                <c:formatCode>General</c:formatCode>
                <c:ptCount val="8"/>
                <c:pt idx="0">
                  <c:v>6</c:v>
                </c:pt>
                <c:pt idx="1">
                  <c:v>6</c:v>
                </c:pt>
                <c:pt idx="2">
                  <c:v>6</c:v>
                </c:pt>
                <c:pt idx="3">
                  <c:v>1</c:v>
                </c:pt>
                <c:pt idx="4">
                  <c:v>1</c:v>
                </c:pt>
                <c:pt idx="5">
                  <c:v>11</c:v>
                </c:pt>
                <c:pt idx="6">
                  <c:v>10</c:v>
                </c:pt>
                <c:pt idx="7">
                  <c:v>1</c:v>
                </c:pt>
              </c:numCache>
            </c:numRef>
          </c:val>
          <c:extLst>
            <c:ext xmlns:c16="http://schemas.microsoft.com/office/drawing/2014/chart" uri="{C3380CC4-5D6E-409C-BE32-E72D297353CC}">
              <c16:uniqueId val="{00000000-B62E-4C7C-8BA3-5219AE216943}"/>
            </c:ext>
          </c:extLst>
        </c:ser>
        <c:dLbls>
          <c:dLblPos val="outEnd"/>
          <c:showLegendKey val="0"/>
          <c:showVal val="1"/>
          <c:showCatName val="0"/>
          <c:showSerName val="0"/>
          <c:showPercent val="0"/>
          <c:showBubbleSize val="0"/>
        </c:dLbls>
        <c:gapWidth val="182"/>
        <c:axId val="756360704"/>
        <c:axId val="756361184"/>
      </c:barChart>
      <c:catAx>
        <c:axId val="7563607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56361184"/>
        <c:crosses val="autoZero"/>
        <c:auto val="1"/>
        <c:lblAlgn val="ctr"/>
        <c:lblOffset val="100"/>
        <c:noMultiLvlLbl val="0"/>
      </c:catAx>
      <c:valAx>
        <c:axId val="756361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5636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002060"/>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 Excel-Projekt Fantasy.xlsx]Pivot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College Fantasypoints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Ergebnis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Table'!$A$4:$A$11</c:f>
              <c:strCache>
                <c:ptCount val="7"/>
                <c:pt idx="0">
                  <c:v>Brian Thomas Jr. </c:v>
                </c:pt>
                <c:pt idx="1">
                  <c:v>Malik Nabers </c:v>
                </c:pt>
                <c:pt idx="2">
                  <c:v>Marvin Harrison Jr. </c:v>
                </c:pt>
                <c:pt idx="3">
                  <c:v>Ricky Pearsall</c:v>
                </c:pt>
                <c:pt idx="4">
                  <c:v>Rome Odunze</c:v>
                </c:pt>
                <c:pt idx="5">
                  <c:v>Xavier Legette</c:v>
                </c:pt>
                <c:pt idx="6">
                  <c:v>Xavier Worthy</c:v>
                </c:pt>
              </c:strCache>
            </c:strRef>
          </c:cat>
          <c:val>
            <c:numRef>
              <c:f>'Pivot Table'!$B$4:$B$11</c:f>
              <c:numCache>
                <c:formatCode>General</c:formatCode>
                <c:ptCount val="7"/>
                <c:pt idx="0">
                  <c:v>167.65</c:v>
                </c:pt>
                <c:pt idx="1">
                  <c:v>220.85000000000002</c:v>
                </c:pt>
                <c:pt idx="2">
                  <c:v>243.6</c:v>
                </c:pt>
                <c:pt idx="3">
                  <c:v>150.55000000000001</c:v>
                </c:pt>
                <c:pt idx="4">
                  <c:v>249.15</c:v>
                </c:pt>
                <c:pt idx="5">
                  <c:v>123.94999999999999</c:v>
                </c:pt>
                <c:pt idx="6">
                  <c:v>166.9</c:v>
                </c:pt>
              </c:numCache>
            </c:numRef>
          </c:val>
          <c:extLst>
            <c:ext xmlns:c16="http://schemas.microsoft.com/office/drawing/2014/chart" uri="{C3380CC4-5D6E-409C-BE32-E72D297353CC}">
              <c16:uniqueId val="{00000000-45A5-483E-B0D5-C7ECCF66B6E3}"/>
            </c:ext>
          </c:extLst>
        </c:ser>
        <c:dLbls>
          <c:dLblPos val="outEnd"/>
          <c:showLegendKey val="0"/>
          <c:showVal val="1"/>
          <c:showCatName val="0"/>
          <c:showSerName val="0"/>
          <c:showPercent val="0"/>
          <c:showBubbleSize val="0"/>
        </c:dLbls>
        <c:gapWidth val="182"/>
        <c:axId val="720693776"/>
        <c:axId val="720690416"/>
      </c:barChart>
      <c:catAx>
        <c:axId val="72069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20690416"/>
        <c:crosses val="autoZero"/>
        <c:auto val="1"/>
        <c:lblAlgn val="ctr"/>
        <c:lblOffset val="100"/>
        <c:noMultiLvlLbl val="0"/>
      </c:catAx>
      <c:valAx>
        <c:axId val="72069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2069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rgbClr val="002060"/>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 Excel-Projekt Fantasy.xlsx]Pivot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c:f>
              <c:strCache>
                <c:ptCount val="1"/>
                <c:pt idx="0">
                  <c:v>Ergebnis</c:v>
                </c:pt>
              </c:strCache>
            </c:strRef>
          </c:tx>
          <c:spPr>
            <a:solidFill>
              <a:schemeClr val="accent1"/>
            </a:solidFill>
            <a:ln>
              <a:noFill/>
            </a:ln>
            <a:effectLst/>
          </c:spPr>
          <c:invertIfNegative val="0"/>
          <c:cat>
            <c:strRef>
              <c:f>'Pivot Table'!$A$43:$A$47</c:f>
              <c:strCache>
                <c:ptCount val="4"/>
                <c:pt idx="0">
                  <c:v>QB</c:v>
                </c:pt>
                <c:pt idx="1">
                  <c:v>RB</c:v>
                </c:pt>
                <c:pt idx="2">
                  <c:v>TE</c:v>
                </c:pt>
                <c:pt idx="3">
                  <c:v>WR</c:v>
                </c:pt>
              </c:strCache>
            </c:strRef>
          </c:cat>
          <c:val>
            <c:numRef>
              <c:f>'Pivot Table'!$B$43:$B$47</c:f>
              <c:numCache>
                <c:formatCode>General</c:formatCode>
                <c:ptCount val="4"/>
                <c:pt idx="0">
                  <c:v>6</c:v>
                </c:pt>
                <c:pt idx="1">
                  <c:v>12</c:v>
                </c:pt>
                <c:pt idx="2">
                  <c:v>4</c:v>
                </c:pt>
                <c:pt idx="3">
                  <c:v>20</c:v>
                </c:pt>
              </c:numCache>
            </c:numRef>
          </c:val>
          <c:extLst>
            <c:ext xmlns:c16="http://schemas.microsoft.com/office/drawing/2014/chart" uri="{C3380CC4-5D6E-409C-BE32-E72D297353CC}">
              <c16:uniqueId val="{00000000-06F9-435E-B4D6-3277C422EDDF}"/>
            </c:ext>
          </c:extLst>
        </c:ser>
        <c:dLbls>
          <c:showLegendKey val="0"/>
          <c:showVal val="0"/>
          <c:showCatName val="0"/>
          <c:showSerName val="0"/>
          <c:showPercent val="0"/>
          <c:showBubbleSize val="0"/>
        </c:dLbls>
        <c:gapWidth val="219"/>
        <c:overlap val="-27"/>
        <c:axId val="1533904176"/>
        <c:axId val="1533903216"/>
      </c:barChart>
      <c:catAx>
        <c:axId val="153390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33903216"/>
        <c:crosses val="autoZero"/>
        <c:auto val="1"/>
        <c:lblAlgn val="ctr"/>
        <c:lblOffset val="100"/>
        <c:noMultiLvlLbl val="0"/>
      </c:catAx>
      <c:valAx>
        <c:axId val="153390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3390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 Excel-Projekt Fantasy.xlsx]Pivot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c:f>
              <c:strCache>
                <c:ptCount val="1"/>
                <c:pt idx="0">
                  <c:v>Min. Age</c:v>
                </c:pt>
              </c:strCache>
            </c:strRef>
          </c:tx>
          <c:spPr>
            <a:solidFill>
              <a:schemeClr val="accent1"/>
            </a:solidFill>
            <a:ln>
              <a:noFill/>
            </a:ln>
            <a:effectLst/>
          </c:spPr>
          <c:invertIfNegative val="0"/>
          <c:cat>
            <c:strRef>
              <c:f>'Pivot Table'!$A$57:$A$61</c:f>
              <c:strCache>
                <c:ptCount val="4"/>
                <c:pt idx="0">
                  <c:v>QB</c:v>
                </c:pt>
                <c:pt idx="1">
                  <c:v>RB</c:v>
                </c:pt>
                <c:pt idx="2">
                  <c:v>TE</c:v>
                </c:pt>
                <c:pt idx="3">
                  <c:v>WR</c:v>
                </c:pt>
              </c:strCache>
            </c:strRef>
          </c:cat>
          <c:val>
            <c:numRef>
              <c:f>'Pivot Table'!$B$57:$B$61</c:f>
              <c:numCache>
                <c:formatCode>General</c:formatCode>
                <c:ptCount val="4"/>
                <c:pt idx="0">
                  <c:v>21.26</c:v>
                </c:pt>
                <c:pt idx="1">
                  <c:v>20.260000000000002</c:v>
                </c:pt>
                <c:pt idx="2">
                  <c:v>21.08</c:v>
                </c:pt>
                <c:pt idx="3">
                  <c:v>20.75</c:v>
                </c:pt>
              </c:numCache>
            </c:numRef>
          </c:val>
          <c:extLst>
            <c:ext xmlns:c16="http://schemas.microsoft.com/office/drawing/2014/chart" uri="{C3380CC4-5D6E-409C-BE32-E72D297353CC}">
              <c16:uniqueId val="{00000000-D658-499A-A8B9-DCD5A90459D0}"/>
            </c:ext>
          </c:extLst>
        </c:ser>
        <c:ser>
          <c:idx val="1"/>
          <c:order val="1"/>
          <c:tx>
            <c:strRef>
              <c:f>'Pivot Table'!$C$56</c:f>
              <c:strCache>
                <c:ptCount val="1"/>
                <c:pt idx="0">
                  <c:v>Average Age</c:v>
                </c:pt>
              </c:strCache>
            </c:strRef>
          </c:tx>
          <c:spPr>
            <a:solidFill>
              <a:schemeClr val="accent2"/>
            </a:solidFill>
            <a:ln>
              <a:noFill/>
            </a:ln>
            <a:effectLst/>
          </c:spPr>
          <c:invertIfNegative val="0"/>
          <c:cat>
            <c:strRef>
              <c:f>'Pivot Table'!$A$57:$A$61</c:f>
              <c:strCache>
                <c:ptCount val="4"/>
                <c:pt idx="0">
                  <c:v>QB</c:v>
                </c:pt>
                <c:pt idx="1">
                  <c:v>RB</c:v>
                </c:pt>
                <c:pt idx="2">
                  <c:v>TE</c:v>
                </c:pt>
                <c:pt idx="3">
                  <c:v>WR</c:v>
                </c:pt>
              </c:strCache>
            </c:strRef>
          </c:cat>
          <c:val>
            <c:numRef>
              <c:f>'Pivot Table'!$C$57:$C$61</c:f>
              <c:numCache>
                <c:formatCode>0.00</c:formatCode>
                <c:ptCount val="4"/>
                <c:pt idx="0">
                  <c:v>22.806666666666668</c:v>
                </c:pt>
                <c:pt idx="1">
                  <c:v>22.131666666666664</c:v>
                </c:pt>
                <c:pt idx="2">
                  <c:v>21.73</c:v>
                </c:pt>
                <c:pt idx="3">
                  <c:v>22.172499999999996</c:v>
                </c:pt>
              </c:numCache>
            </c:numRef>
          </c:val>
          <c:extLst>
            <c:ext xmlns:c16="http://schemas.microsoft.com/office/drawing/2014/chart" uri="{C3380CC4-5D6E-409C-BE32-E72D297353CC}">
              <c16:uniqueId val="{00000001-D658-499A-A8B9-DCD5A90459D0}"/>
            </c:ext>
          </c:extLst>
        </c:ser>
        <c:ser>
          <c:idx val="2"/>
          <c:order val="2"/>
          <c:tx>
            <c:strRef>
              <c:f>'Pivot Table'!$D$56</c:f>
              <c:strCache>
                <c:ptCount val="1"/>
                <c:pt idx="0">
                  <c:v>Max. Age</c:v>
                </c:pt>
              </c:strCache>
            </c:strRef>
          </c:tx>
          <c:spPr>
            <a:solidFill>
              <a:schemeClr val="accent3"/>
            </a:solidFill>
            <a:ln>
              <a:noFill/>
            </a:ln>
            <a:effectLst/>
          </c:spPr>
          <c:invertIfNegative val="0"/>
          <c:cat>
            <c:strRef>
              <c:f>'Pivot Table'!$A$57:$A$61</c:f>
              <c:strCache>
                <c:ptCount val="4"/>
                <c:pt idx="0">
                  <c:v>QB</c:v>
                </c:pt>
                <c:pt idx="1">
                  <c:v>RB</c:v>
                </c:pt>
                <c:pt idx="2">
                  <c:v>TE</c:v>
                </c:pt>
                <c:pt idx="3">
                  <c:v>WR</c:v>
                </c:pt>
              </c:strCache>
            </c:strRef>
          </c:cat>
          <c:val>
            <c:numRef>
              <c:f>'Pivot Table'!$D$57:$D$61</c:f>
              <c:numCache>
                <c:formatCode>0.00</c:formatCode>
                <c:ptCount val="4"/>
                <c:pt idx="0">
                  <c:v>24.17</c:v>
                </c:pt>
                <c:pt idx="1">
                  <c:v>24.46</c:v>
                </c:pt>
                <c:pt idx="2">
                  <c:v>22.6</c:v>
                </c:pt>
                <c:pt idx="3">
                  <c:v>23.63</c:v>
                </c:pt>
              </c:numCache>
            </c:numRef>
          </c:val>
          <c:extLst>
            <c:ext xmlns:c16="http://schemas.microsoft.com/office/drawing/2014/chart" uri="{C3380CC4-5D6E-409C-BE32-E72D297353CC}">
              <c16:uniqueId val="{00000002-D658-499A-A8B9-DCD5A90459D0}"/>
            </c:ext>
          </c:extLst>
        </c:ser>
        <c:dLbls>
          <c:showLegendKey val="0"/>
          <c:showVal val="0"/>
          <c:showCatName val="0"/>
          <c:showSerName val="0"/>
          <c:showPercent val="0"/>
          <c:showBubbleSize val="0"/>
        </c:dLbls>
        <c:gapWidth val="219"/>
        <c:overlap val="-27"/>
        <c:axId val="751779392"/>
        <c:axId val="751778912"/>
      </c:barChart>
      <c:catAx>
        <c:axId val="75177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51778912"/>
        <c:crosses val="autoZero"/>
        <c:auto val="1"/>
        <c:lblAlgn val="ctr"/>
        <c:lblOffset val="100"/>
        <c:noMultiLvlLbl val="0"/>
      </c:catAx>
      <c:valAx>
        <c:axId val="75177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5177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 Excel-Projekt Fantasy.xlsx]Pivot Table!PivotTable5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Table'!$B$72</c:f>
              <c:strCache>
                <c:ptCount val="1"/>
                <c:pt idx="0">
                  <c:v>Min. Height</c:v>
                </c:pt>
              </c:strCache>
            </c:strRef>
          </c:tx>
          <c:spPr>
            <a:solidFill>
              <a:schemeClr val="accent1"/>
            </a:solidFill>
            <a:ln>
              <a:noFill/>
            </a:ln>
            <a:effectLst/>
          </c:spPr>
          <c:invertIfNegative val="0"/>
          <c:cat>
            <c:strRef>
              <c:f>'Pivot Table'!$A$73:$A$77</c:f>
              <c:strCache>
                <c:ptCount val="4"/>
                <c:pt idx="0">
                  <c:v>QB</c:v>
                </c:pt>
                <c:pt idx="1">
                  <c:v>RB</c:v>
                </c:pt>
                <c:pt idx="2">
                  <c:v>TE</c:v>
                </c:pt>
                <c:pt idx="3">
                  <c:v>WR</c:v>
                </c:pt>
              </c:strCache>
            </c:strRef>
          </c:cat>
          <c:val>
            <c:numRef>
              <c:f>'Pivot Table'!$B$73:$B$77</c:f>
              <c:numCache>
                <c:formatCode>General</c:formatCode>
                <c:ptCount val="4"/>
                <c:pt idx="0">
                  <c:v>1.85</c:v>
                </c:pt>
                <c:pt idx="1">
                  <c:v>1.73</c:v>
                </c:pt>
                <c:pt idx="2">
                  <c:v>1.93</c:v>
                </c:pt>
                <c:pt idx="3">
                  <c:v>1.73</c:v>
                </c:pt>
              </c:numCache>
            </c:numRef>
          </c:val>
          <c:extLst>
            <c:ext xmlns:c16="http://schemas.microsoft.com/office/drawing/2014/chart" uri="{C3380CC4-5D6E-409C-BE32-E72D297353CC}">
              <c16:uniqueId val="{00000000-7430-4DAE-8891-88DDDCD5DAB0}"/>
            </c:ext>
          </c:extLst>
        </c:ser>
        <c:ser>
          <c:idx val="1"/>
          <c:order val="1"/>
          <c:tx>
            <c:strRef>
              <c:f>'Pivot Table'!$C$72</c:f>
              <c:strCache>
                <c:ptCount val="1"/>
                <c:pt idx="0">
                  <c:v>Average Height</c:v>
                </c:pt>
              </c:strCache>
            </c:strRef>
          </c:tx>
          <c:spPr>
            <a:solidFill>
              <a:schemeClr val="accent2"/>
            </a:solidFill>
            <a:ln>
              <a:noFill/>
            </a:ln>
            <a:effectLst/>
          </c:spPr>
          <c:invertIfNegative val="0"/>
          <c:cat>
            <c:strRef>
              <c:f>'Pivot Table'!$A$73:$A$77</c:f>
              <c:strCache>
                <c:ptCount val="4"/>
                <c:pt idx="0">
                  <c:v>QB</c:v>
                </c:pt>
                <c:pt idx="1">
                  <c:v>RB</c:v>
                </c:pt>
                <c:pt idx="2">
                  <c:v>TE</c:v>
                </c:pt>
                <c:pt idx="3">
                  <c:v>WR</c:v>
                </c:pt>
              </c:strCache>
            </c:strRef>
          </c:cat>
          <c:val>
            <c:numRef>
              <c:f>'Pivot Table'!$C$73:$C$77</c:f>
              <c:numCache>
                <c:formatCode>0.00</c:formatCode>
                <c:ptCount val="4"/>
                <c:pt idx="0">
                  <c:v>1.9016666666666666</c:v>
                </c:pt>
                <c:pt idx="1">
                  <c:v>1.8025000000000002</c:v>
                </c:pt>
                <c:pt idx="2">
                  <c:v>1.9374999999999998</c:v>
                </c:pt>
                <c:pt idx="3">
                  <c:v>1.8654999999999997</c:v>
                </c:pt>
              </c:numCache>
            </c:numRef>
          </c:val>
          <c:extLst>
            <c:ext xmlns:c16="http://schemas.microsoft.com/office/drawing/2014/chart" uri="{C3380CC4-5D6E-409C-BE32-E72D297353CC}">
              <c16:uniqueId val="{00000001-7430-4DAE-8891-88DDDCD5DAB0}"/>
            </c:ext>
          </c:extLst>
        </c:ser>
        <c:ser>
          <c:idx val="2"/>
          <c:order val="2"/>
          <c:tx>
            <c:strRef>
              <c:f>'Pivot Table'!$D$72</c:f>
              <c:strCache>
                <c:ptCount val="1"/>
                <c:pt idx="0">
                  <c:v>Max. Height</c:v>
                </c:pt>
              </c:strCache>
            </c:strRef>
          </c:tx>
          <c:spPr>
            <a:solidFill>
              <a:schemeClr val="accent3"/>
            </a:solidFill>
            <a:ln>
              <a:noFill/>
            </a:ln>
            <a:effectLst/>
          </c:spPr>
          <c:invertIfNegative val="0"/>
          <c:cat>
            <c:strRef>
              <c:f>'Pivot Table'!$A$73:$A$77</c:f>
              <c:strCache>
                <c:ptCount val="4"/>
                <c:pt idx="0">
                  <c:v>QB</c:v>
                </c:pt>
                <c:pt idx="1">
                  <c:v>RB</c:v>
                </c:pt>
                <c:pt idx="2">
                  <c:v>TE</c:v>
                </c:pt>
                <c:pt idx="3">
                  <c:v>WR</c:v>
                </c:pt>
              </c:strCache>
            </c:strRef>
          </c:cat>
          <c:val>
            <c:numRef>
              <c:f>'Pivot Table'!$D$73:$D$77</c:f>
              <c:numCache>
                <c:formatCode>0.00</c:formatCode>
                <c:ptCount val="4"/>
                <c:pt idx="0">
                  <c:v>1.93</c:v>
                </c:pt>
                <c:pt idx="1">
                  <c:v>1.88</c:v>
                </c:pt>
                <c:pt idx="2">
                  <c:v>1.96</c:v>
                </c:pt>
                <c:pt idx="3">
                  <c:v>1.93</c:v>
                </c:pt>
              </c:numCache>
            </c:numRef>
          </c:val>
          <c:extLst>
            <c:ext xmlns:c16="http://schemas.microsoft.com/office/drawing/2014/chart" uri="{C3380CC4-5D6E-409C-BE32-E72D297353CC}">
              <c16:uniqueId val="{00000002-7430-4DAE-8891-88DDDCD5DAB0}"/>
            </c:ext>
          </c:extLst>
        </c:ser>
        <c:dLbls>
          <c:showLegendKey val="0"/>
          <c:showVal val="0"/>
          <c:showCatName val="0"/>
          <c:showSerName val="0"/>
          <c:showPercent val="0"/>
          <c:showBubbleSize val="0"/>
        </c:dLbls>
        <c:gapWidth val="219"/>
        <c:overlap val="-27"/>
        <c:axId val="1535939280"/>
        <c:axId val="1535944560"/>
      </c:barChart>
      <c:catAx>
        <c:axId val="153593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35944560"/>
        <c:crosses val="autoZero"/>
        <c:auto val="1"/>
        <c:lblAlgn val="ctr"/>
        <c:lblOffset val="100"/>
        <c:noMultiLvlLbl val="0"/>
      </c:catAx>
      <c:valAx>
        <c:axId val="153594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3593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 Excel-Projekt Fantasy.xlsx]Pivot 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Table'!$B$89</c:f>
              <c:strCache>
                <c:ptCount val="1"/>
                <c:pt idx="0">
                  <c:v>Min. Weight</c:v>
                </c:pt>
              </c:strCache>
            </c:strRef>
          </c:tx>
          <c:spPr>
            <a:solidFill>
              <a:schemeClr val="accent1"/>
            </a:solidFill>
            <a:ln>
              <a:noFill/>
            </a:ln>
            <a:effectLst/>
          </c:spPr>
          <c:invertIfNegative val="0"/>
          <c:cat>
            <c:strRef>
              <c:f>'Pivot Table'!$A$90:$A$94</c:f>
              <c:strCache>
                <c:ptCount val="4"/>
                <c:pt idx="0">
                  <c:v>QB</c:v>
                </c:pt>
                <c:pt idx="1">
                  <c:v>RB</c:v>
                </c:pt>
                <c:pt idx="2">
                  <c:v>TE</c:v>
                </c:pt>
                <c:pt idx="3">
                  <c:v>WR</c:v>
                </c:pt>
              </c:strCache>
            </c:strRef>
          </c:cat>
          <c:val>
            <c:numRef>
              <c:f>'Pivot Table'!$B$90:$B$94</c:f>
              <c:numCache>
                <c:formatCode>General</c:formatCode>
                <c:ptCount val="4"/>
                <c:pt idx="0">
                  <c:v>92</c:v>
                </c:pt>
                <c:pt idx="1">
                  <c:v>88</c:v>
                </c:pt>
                <c:pt idx="2">
                  <c:v>109</c:v>
                </c:pt>
                <c:pt idx="3">
                  <c:v>78</c:v>
                </c:pt>
              </c:numCache>
            </c:numRef>
          </c:val>
          <c:extLst>
            <c:ext xmlns:c16="http://schemas.microsoft.com/office/drawing/2014/chart" uri="{C3380CC4-5D6E-409C-BE32-E72D297353CC}">
              <c16:uniqueId val="{00000000-9254-417F-8EE8-9E16AC0BC5EC}"/>
            </c:ext>
          </c:extLst>
        </c:ser>
        <c:ser>
          <c:idx val="1"/>
          <c:order val="1"/>
          <c:tx>
            <c:strRef>
              <c:f>'Pivot Table'!$C$89</c:f>
              <c:strCache>
                <c:ptCount val="1"/>
                <c:pt idx="0">
                  <c:v>Average Weight</c:v>
                </c:pt>
              </c:strCache>
            </c:strRef>
          </c:tx>
          <c:spPr>
            <a:solidFill>
              <a:schemeClr val="accent2"/>
            </a:solidFill>
            <a:ln>
              <a:noFill/>
            </a:ln>
            <a:effectLst/>
          </c:spPr>
          <c:invertIfNegative val="0"/>
          <c:cat>
            <c:strRef>
              <c:f>'Pivot Table'!$A$90:$A$94</c:f>
              <c:strCache>
                <c:ptCount val="4"/>
                <c:pt idx="0">
                  <c:v>QB</c:v>
                </c:pt>
                <c:pt idx="1">
                  <c:v>RB</c:v>
                </c:pt>
                <c:pt idx="2">
                  <c:v>TE</c:v>
                </c:pt>
                <c:pt idx="3">
                  <c:v>WR</c:v>
                </c:pt>
              </c:strCache>
            </c:strRef>
          </c:cat>
          <c:val>
            <c:numRef>
              <c:f>'Pivot Table'!$C$90:$C$94</c:f>
              <c:numCache>
                <c:formatCode>0.00</c:formatCode>
                <c:ptCount val="4"/>
                <c:pt idx="0">
                  <c:v>97.333333333333329</c:v>
                </c:pt>
                <c:pt idx="1">
                  <c:v>97.583333333333329</c:v>
                </c:pt>
                <c:pt idx="2">
                  <c:v>114.25</c:v>
                </c:pt>
                <c:pt idx="3">
                  <c:v>90</c:v>
                </c:pt>
              </c:numCache>
            </c:numRef>
          </c:val>
          <c:extLst>
            <c:ext xmlns:c16="http://schemas.microsoft.com/office/drawing/2014/chart" uri="{C3380CC4-5D6E-409C-BE32-E72D297353CC}">
              <c16:uniqueId val="{00000001-9254-417F-8EE8-9E16AC0BC5EC}"/>
            </c:ext>
          </c:extLst>
        </c:ser>
        <c:ser>
          <c:idx val="2"/>
          <c:order val="2"/>
          <c:tx>
            <c:strRef>
              <c:f>'Pivot Table'!$D$89</c:f>
              <c:strCache>
                <c:ptCount val="1"/>
                <c:pt idx="0">
                  <c:v>Max. Weight</c:v>
                </c:pt>
              </c:strCache>
            </c:strRef>
          </c:tx>
          <c:spPr>
            <a:solidFill>
              <a:schemeClr val="accent3"/>
            </a:solidFill>
            <a:ln>
              <a:noFill/>
            </a:ln>
            <a:effectLst/>
          </c:spPr>
          <c:invertIfNegative val="0"/>
          <c:cat>
            <c:strRef>
              <c:f>'Pivot Table'!$A$90:$A$94</c:f>
              <c:strCache>
                <c:ptCount val="4"/>
                <c:pt idx="0">
                  <c:v>QB</c:v>
                </c:pt>
                <c:pt idx="1">
                  <c:v>RB</c:v>
                </c:pt>
                <c:pt idx="2">
                  <c:v>TE</c:v>
                </c:pt>
                <c:pt idx="3">
                  <c:v>WR</c:v>
                </c:pt>
              </c:strCache>
            </c:strRef>
          </c:cat>
          <c:val>
            <c:numRef>
              <c:f>'Pivot Table'!$D$90:$D$94</c:f>
              <c:numCache>
                <c:formatCode>0.00</c:formatCode>
                <c:ptCount val="4"/>
                <c:pt idx="0">
                  <c:v>104</c:v>
                </c:pt>
                <c:pt idx="1">
                  <c:v>108</c:v>
                </c:pt>
                <c:pt idx="2">
                  <c:v>126</c:v>
                </c:pt>
                <c:pt idx="3">
                  <c:v>103</c:v>
                </c:pt>
              </c:numCache>
            </c:numRef>
          </c:val>
          <c:extLst>
            <c:ext xmlns:c16="http://schemas.microsoft.com/office/drawing/2014/chart" uri="{C3380CC4-5D6E-409C-BE32-E72D297353CC}">
              <c16:uniqueId val="{00000002-9254-417F-8EE8-9E16AC0BC5EC}"/>
            </c:ext>
          </c:extLst>
        </c:ser>
        <c:dLbls>
          <c:showLegendKey val="0"/>
          <c:showVal val="0"/>
          <c:showCatName val="0"/>
          <c:showSerName val="0"/>
          <c:showPercent val="0"/>
          <c:showBubbleSize val="0"/>
        </c:dLbls>
        <c:gapWidth val="219"/>
        <c:overlap val="-27"/>
        <c:axId val="855853584"/>
        <c:axId val="855855024"/>
      </c:barChart>
      <c:catAx>
        <c:axId val="85585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55855024"/>
        <c:crosses val="autoZero"/>
        <c:auto val="1"/>
        <c:lblAlgn val="ctr"/>
        <c:lblOffset val="100"/>
        <c:noMultiLvlLbl val="0"/>
      </c:catAx>
      <c:valAx>
        <c:axId val="85585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5585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 Excel-Projekt Fantasy.xlsx]Pivot Table!PivotTable7</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Table'!$B$108</c:f>
              <c:strCache>
                <c:ptCount val="1"/>
                <c:pt idx="0">
                  <c:v>Ergebnis</c:v>
                </c:pt>
              </c:strCache>
            </c:strRef>
          </c:tx>
          <c:spPr>
            <a:solidFill>
              <a:schemeClr val="accent1"/>
            </a:solidFill>
            <a:ln>
              <a:noFill/>
            </a:ln>
            <a:effectLst/>
          </c:spPr>
          <c:invertIfNegative val="0"/>
          <c:cat>
            <c:strRef>
              <c:f>'Pivot Table'!$A$109:$A$117</c:f>
              <c:strCache>
                <c:ptCount val="8"/>
                <c:pt idx="0">
                  <c:v>ACC</c:v>
                </c:pt>
                <c:pt idx="1">
                  <c:v>Big 12</c:v>
                </c:pt>
                <c:pt idx="2">
                  <c:v>Big Ten</c:v>
                </c:pt>
                <c:pt idx="3">
                  <c:v>C-USA</c:v>
                </c:pt>
                <c:pt idx="4">
                  <c:v>Ind. (FBS)</c:v>
                </c:pt>
                <c:pt idx="5">
                  <c:v>Pac-12</c:v>
                </c:pt>
                <c:pt idx="6">
                  <c:v>SEC</c:v>
                </c:pt>
                <c:pt idx="7">
                  <c:v>The American</c:v>
                </c:pt>
              </c:strCache>
            </c:strRef>
          </c:cat>
          <c:val>
            <c:numRef>
              <c:f>'Pivot Table'!$B$109:$B$117</c:f>
              <c:numCache>
                <c:formatCode>General</c:formatCode>
                <c:ptCount val="8"/>
                <c:pt idx="0">
                  <c:v>6</c:v>
                </c:pt>
                <c:pt idx="1">
                  <c:v>6</c:v>
                </c:pt>
                <c:pt idx="2">
                  <c:v>6</c:v>
                </c:pt>
                <c:pt idx="3">
                  <c:v>1</c:v>
                </c:pt>
                <c:pt idx="4">
                  <c:v>1</c:v>
                </c:pt>
                <c:pt idx="5">
                  <c:v>11</c:v>
                </c:pt>
                <c:pt idx="6">
                  <c:v>10</c:v>
                </c:pt>
                <c:pt idx="7">
                  <c:v>1</c:v>
                </c:pt>
              </c:numCache>
            </c:numRef>
          </c:val>
          <c:extLst>
            <c:ext xmlns:c16="http://schemas.microsoft.com/office/drawing/2014/chart" uri="{C3380CC4-5D6E-409C-BE32-E72D297353CC}">
              <c16:uniqueId val="{00000000-743F-4A7D-94C0-7985BC177BD9}"/>
            </c:ext>
          </c:extLst>
        </c:ser>
        <c:dLbls>
          <c:showLegendKey val="0"/>
          <c:showVal val="0"/>
          <c:showCatName val="0"/>
          <c:showSerName val="0"/>
          <c:showPercent val="0"/>
          <c:showBubbleSize val="0"/>
        </c:dLbls>
        <c:gapWidth val="182"/>
        <c:axId val="756360704"/>
        <c:axId val="756361184"/>
      </c:barChart>
      <c:catAx>
        <c:axId val="75636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56361184"/>
        <c:crosses val="autoZero"/>
        <c:auto val="1"/>
        <c:lblAlgn val="ctr"/>
        <c:lblOffset val="100"/>
        <c:noMultiLvlLbl val="0"/>
      </c:catAx>
      <c:valAx>
        <c:axId val="756361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5636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pivotSource>
    <c:name>[! Excel-Projekt Fantasy.xlsx]Pivot Table!PivotTable3</c:name>
    <c:fmtId val="2"/>
  </c:pivotSource>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a:t>Position</a:t>
            </a:r>
            <a:r>
              <a:rPr lang="en-US" sz="1400" baseline="0"/>
              <a:t> Frequencies</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c:f>
              <c:strCache>
                <c:ptCount val="1"/>
                <c:pt idx="0">
                  <c:v>Ergebnis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'Pivot Table'!$A$43:$A$47</c:f>
              <c:strCache>
                <c:ptCount val="4"/>
                <c:pt idx="0">
                  <c:v>QB</c:v>
                </c:pt>
                <c:pt idx="1">
                  <c:v>RB</c:v>
                </c:pt>
                <c:pt idx="2">
                  <c:v>TE</c:v>
                </c:pt>
                <c:pt idx="3">
                  <c:v>WR</c:v>
                </c:pt>
              </c:strCache>
            </c:strRef>
          </c:cat>
          <c:val>
            <c:numRef>
              <c:f>'Pivot Table'!$B$43:$B$47</c:f>
              <c:numCache>
                <c:formatCode>General</c:formatCode>
                <c:ptCount val="4"/>
                <c:pt idx="0">
                  <c:v>6</c:v>
                </c:pt>
                <c:pt idx="1">
                  <c:v>12</c:v>
                </c:pt>
                <c:pt idx="2">
                  <c:v>4</c:v>
                </c:pt>
                <c:pt idx="3">
                  <c:v>20</c:v>
                </c:pt>
              </c:numCache>
            </c:numRef>
          </c:val>
          <c:extLst>
            <c:ext xmlns:c16="http://schemas.microsoft.com/office/drawing/2014/chart" uri="{C3380CC4-5D6E-409C-BE32-E72D297353CC}">
              <c16:uniqueId val="{00000005-7B4A-40CD-81E2-61A48E0E422D}"/>
            </c:ext>
          </c:extLst>
        </c:ser>
        <c:dLbls>
          <c:dLblPos val="outEnd"/>
          <c:showLegendKey val="0"/>
          <c:showVal val="1"/>
          <c:showCatName val="0"/>
          <c:showSerName val="0"/>
          <c:showPercent val="0"/>
          <c:showBubbleSize val="0"/>
        </c:dLbls>
        <c:gapWidth val="219"/>
        <c:overlap val="-27"/>
        <c:axId val="751779392"/>
        <c:axId val="751778912"/>
      </c:barChart>
      <c:catAx>
        <c:axId val="75177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51778912"/>
        <c:crosses val="autoZero"/>
        <c:auto val="1"/>
        <c:lblAlgn val="ctr"/>
        <c:lblOffset val="100"/>
        <c:noMultiLvlLbl val="0"/>
      </c:catAx>
      <c:valAx>
        <c:axId val="75177891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51779392"/>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extLst/>
  </c:chart>
  <c:spPr>
    <a:solidFill>
      <a:schemeClr val="bg1"/>
    </a:solidFill>
    <a:ln w="12700" cap="flat" cmpd="sng" algn="ctr">
      <a:solidFill>
        <a:srgbClr val="002060"/>
      </a:solidFill>
      <a:prstDash val="solid"/>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 Excel-Projekt Fantasy.xlsx]Pivot Table!PivotTable4</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de-DE" b="1">
                <a:solidFill>
                  <a:sysClr val="windowText" lastClr="000000"/>
                </a:solidFill>
              </a:rPr>
              <a:t>Age</a:t>
            </a:r>
            <a:r>
              <a:rPr lang="de-DE" b="1" baseline="0">
                <a:solidFill>
                  <a:sysClr val="windowText" lastClr="000000"/>
                </a:solidFill>
              </a:rPr>
              <a:t> at Draft</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de-D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c:f>
              <c:strCache>
                <c:ptCount val="1"/>
                <c:pt idx="0">
                  <c:v>Min. Age</c:v>
                </c:pt>
              </c:strCache>
            </c:strRef>
          </c:tx>
          <c:spPr>
            <a:solidFill>
              <a:schemeClr val="accent6"/>
            </a:solidFill>
            <a:ln>
              <a:noFill/>
            </a:ln>
            <a:effectLst/>
          </c:spPr>
          <c:invertIfNegative val="0"/>
          <c:cat>
            <c:strRef>
              <c:f>'Pivot Table'!$A$57:$A$61</c:f>
              <c:strCache>
                <c:ptCount val="4"/>
                <c:pt idx="0">
                  <c:v>QB</c:v>
                </c:pt>
                <c:pt idx="1">
                  <c:v>RB</c:v>
                </c:pt>
                <c:pt idx="2">
                  <c:v>TE</c:v>
                </c:pt>
                <c:pt idx="3">
                  <c:v>WR</c:v>
                </c:pt>
              </c:strCache>
            </c:strRef>
          </c:cat>
          <c:val>
            <c:numRef>
              <c:f>'Pivot Table'!$B$57:$B$61</c:f>
              <c:numCache>
                <c:formatCode>General</c:formatCode>
                <c:ptCount val="4"/>
                <c:pt idx="0">
                  <c:v>21.26</c:v>
                </c:pt>
                <c:pt idx="1">
                  <c:v>20.260000000000002</c:v>
                </c:pt>
                <c:pt idx="2">
                  <c:v>21.08</c:v>
                </c:pt>
                <c:pt idx="3">
                  <c:v>20.75</c:v>
                </c:pt>
              </c:numCache>
            </c:numRef>
          </c:val>
          <c:extLst>
            <c:ext xmlns:c16="http://schemas.microsoft.com/office/drawing/2014/chart" uri="{C3380CC4-5D6E-409C-BE32-E72D297353CC}">
              <c16:uniqueId val="{00000000-D8A5-43D3-AF64-924B7724C7B9}"/>
            </c:ext>
          </c:extLst>
        </c:ser>
        <c:ser>
          <c:idx val="1"/>
          <c:order val="1"/>
          <c:tx>
            <c:strRef>
              <c:f>'Pivot Table'!$C$56</c:f>
              <c:strCache>
                <c:ptCount val="1"/>
                <c:pt idx="0">
                  <c:v>Average Age</c:v>
                </c:pt>
              </c:strCache>
            </c:strRef>
          </c:tx>
          <c:spPr>
            <a:solidFill>
              <a:schemeClr val="accent5"/>
            </a:solidFill>
            <a:ln>
              <a:noFill/>
            </a:ln>
            <a:effectLst/>
          </c:spPr>
          <c:invertIfNegative val="0"/>
          <c:cat>
            <c:strRef>
              <c:f>'Pivot Table'!$A$57:$A$61</c:f>
              <c:strCache>
                <c:ptCount val="4"/>
                <c:pt idx="0">
                  <c:v>QB</c:v>
                </c:pt>
                <c:pt idx="1">
                  <c:v>RB</c:v>
                </c:pt>
                <c:pt idx="2">
                  <c:v>TE</c:v>
                </c:pt>
                <c:pt idx="3">
                  <c:v>WR</c:v>
                </c:pt>
              </c:strCache>
            </c:strRef>
          </c:cat>
          <c:val>
            <c:numRef>
              <c:f>'Pivot Table'!$C$57:$C$61</c:f>
              <c:numCache>
                <c:formatCode>0.00</c:formatCode>
                <c:ptCount val="4"/>
                <c:pt idx="0">
                  <c:v>22.806666666666668</c:v>
                </c:pt>
                <c:pt idx="1">
                  <c:v>22.131666666666664</c:v>
                </c:pt>
                <c:pt idx="2">
                  <c:v>21.73</c:v>
                </c:pt>
                <c:pt idx="3">
                  <c:v>22.172499999999996</c:v>
                </c:pt>
              </c:numCache>
            </c:numRef>
          </c:val>
          <c:extLst>
            <c:ext xmlns:c16="http://schemas.microsoft.com/office/drawing/2014/chart" uri="{C3380CC4-5D6E-409C-BE32-E72D297353CC}">
              <c16:uniqueId val="{00000001-D8A5-43D3-AF64-924B7724C7B9}"/>
            </c:ext>
          </c:extLst>
        </c:ser>
        <c:ser>
          <c:idx val="2"/>
          <c:order val="2"/>
          <c:tx>
            <c:strRef>
              <c:f>'Pivot Table'!$D$56</c:f>
              <c:strCache>
                <c:ptCount val="1"/>
                <c:pt idx="0">
                  <c:v>Max. Age</c:v>
                </c:pt>
              </c:strCache>
            </c:strRef>
          </c:tx>
          <c:spPr>
            <a:solidFill>
              <a:schemeClr val="accent4"/>
            </a:solidFill>
            <a:ln>
              <a:noFill/>
            </a:ln>
            <a:effectLst/>
          </c:spPr>
          <c:invertIfNegative val="0"/>
          <c:cat>
            <c:strRef>
              <c:f>'Pivot Table'!$A$57:$A$61</c:f>
              <c:strCache>
                <c:ptCount val="4"/>
                <c:pt idx="0">
                  <c:v>QB</c:v>
                </c:pt>
                <c:pt idx="1">
                  <c:v>RB</c:v>
                </c:pt>
                <c:pt idx="2">
                  <c:v>TE</c:v>
                </c:pt>
                <c:pt idx="3">
                  <c:v>WR</c:v>
                </c:pt>
              </c:strCache>
            </c:strRef>
          </c:cat>
          <c:val>
            <c:numRef>
              <c:f>'Pivot Table'!$D$57:$D$61</c:f>
              <c:numCache>
                <c:formatCode>0.00</c:formatCode>
                <c:ptCount val="4"/>
                <c:pt idx="0">
                  <c:v>24.17</c:v>
                </c:pt>
                <c:pt idx="1">
                  <c:v>24.46</c:v>
                </c:pt>
                <c:pt idx="2">
                  <c:v>22.6</c:v>
                </c:pt>
                <c:pt idx="3">
                  <c:v>23.63</c:v>
                </c:pt>
              </c:numCache>
            </c:numRef>
          </c:val>
          <c:extLst>
            <c:ext xmlns:c16="http://schemas.microsoft.com/office/drawing/2014/chart" uri="{C3380CC4-5D6E-409C-BE32-E72D297353CC}">
              <c16:uniqueId val="{00000002-D8A5-43D3-AF64-924B7724C7B9}"/>
            </c:ext>
          </c:extLst>
        </c:ser>
        <c:dLbls>
          <c:dLblPos val="outEnd"/>
          <c:showLegendKey val="0"/>
          <c:showVal val="0"/>
          <c:showCatName val="0"/>
          <c:showSerName val="0"/>
          <c:showPercent val="0"/>
          <c:showBubbleSize val="0"/>
        </c:dLbls>
        <c:gapWidth val="219"/>
        <c:overlap val="-27"/>
        <c:axId val="751779392"/>
        <c:axId val="751778912"/>
      </c:barChart>
      <c:catAx>
        <c:axId val="75177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51778912"/>
        <c:crosses val="autoZero"/>
        <c:auto val="1"/>
        <c:lblAlgn val="ctr"/>
        <c:lblOffset val="100"/>
        <c:noMultiLvlLbl val="0"/>
      </c:catAx>
      <c:valAx>
        <c:axId val="75177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51779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002060"/>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 Excel-Projekt Fantasy.xlsx]Pivot Table!PivotTable5</c:name>
    <c:fmtId val="2"/>
  </c:pivotSource>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de-DE" sz="1400"/>
              <a:t>Height</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de-D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Table'!$B$72</c:f>
              <c:strCache>
                <c:ptCount val="1"/>
                <c:pt idx="0">
                  <c:v>Min. Height</c:v>
                </c:pt>
              </c:strCache>
            </c:strRef>
          </c:tx>
          <c:spPr>
            <a:solidFill>
              <a:schemeClr val="accent6"/>
            </a:solidFill>
            <a:ln>
              <a:noFill/>
            </a:ln>
            <a:effectLst/>
          </c:spPr>
          <c:invertIfNegative val="0"/>
          <c:cat>
            <c:strRef>
              <c:f>'Pivot Table'!$A$73:$A$77</c:f>
              <c:strCache>
                <c:ptCount val="4"/>
                <c:pt idx="0">
                  <c:v>QB</c:v>
                </c:pt>
                <c:pt idx="1">
                  <c:v>RB</c:v>
                </c:pt>
                <c:pt idx="2">
                  <c:v>TE</c:v>
                </c:pt>
                <c:pt idx="3">
                  <c:v>WR</c:v>
                </c:pt>
              </c:strCache>
            </c:strRef>
          </c:cat>
          <c:val>
            <c:numRef>
              <c:f>'Pivot Table'!$B$73:$B$77</c:f>
              <c:numCache>
                <c:formatCode>General</c:formatCode>
                <c:ptCount val="4"/>
                <c:pt idx="0">
                  <c:v>1.85</c:v>
                </c:pt>
                <c:pt idx="1">
                  <c:v>1.73</c:v>
                </c:pt>
                <c:pt idx="2">
                  <c:v>1.93</c:v>
                </c:pt>
                <c:pt idx="3">
                  <c:v>1.73</c:v>
                </c:pt>
              </c:numCache>
            </c:numRef>
          </c:val>
          <c:extLst>
            <c:ext xmlns:c16="http://schemas.microsoft.com/office/drawing/2014/chart" uri="{C3380CC4-5D6E-409C-BE32-E72D297353CC}">
              <c16:uniqueId val="{0000000A-BE7F-400C-B55A-E4CAFCF27367}"/>
            </c:ext>
          </c:extLst>
        </c:ser>
        <c:ser>
          <c:idx val="1"/>
          <c:order val="1"/>
          <c:tx>
            <c:strRef>
              <c:f>'Pivot Table'!$C$72</c:f>
              <c:strCache>
                <c:ptCount val="1"/>
                <c:pt idx="0">
                  <c:v>Average Height</c:v>
                </c:pt>
              </c:strCache>
            </c:strRef>
          </c:tx>
          <c:spPr>
            <a:solidFill>
              <a:schemeClr val="accent5"/>
            </a:solidFill>
            <a:ln>
              <a:noFill/>
            </a:ln>
            <a:effectLst/>
          </c:spPr>
          <c:invertIfNegative val="0"/>
          <c:cat>
            <c:strRef>
              <c:f>'Pivot Table'!$A$73:$A$77</c:f>
              <c:strCache>
                <c:ptCount val="4"/>
                <c:pt idx="0">
                  <c:v>QB</c:v>
                </c:pt>
                <c:pt idx="1">
                  <c:v>RB</c:v>
                </c:pt>
                <c:pt idx="2">
                  <c:v>TE</c:v>
                </c:pt>
                <c:pt idx="3">
                  <c:v>WR</c:v>
                </c:pt>
              </c:strCache>
            </c:strRef>
          </c:cat>
          <c:val>
            <c:numRef>
              <c:f>'Pivot Table'!$C$73:$C$77</c:f>
              <c:numCache>
                <c:formatCode>0.00</c:formatCode>
                <c:ptCount val="4"/>
                <c:pt idx="0">
                  <c:v>1.9016666666666666</c:v>
                </c:pt>
                <c:pt idx="1">
                  <c:v>1.8025000000000002</c:v>
                </c:pt>
                <c:pt idx="2">
                  <c:v>1.9374999999999998</c:v>
                </c:pt>
                <c:pt idx="3">
                  <c:v>1.8654999999999997</c:v>
                </c:pt>
              </c:numCache>
            </c:numRef>
          </c:val>
          <c:extLst>
            <c:ext xmlns:c16="http://schemas.microsoft.com/office/drawing/2014/chart" uri="{C3380CC4-5D6E-409C-BE32-E72D297353CC}">
              <c16:uniqueId val="{0000000C-BE7F-400C-B55A-E4CAFCF27367}"/>
            </c:ext>
          </c:extLst>
        </c:ser>
        <c:ser>
          <c:idx val="2"/>
          <c:order val="2"/>
          <c:tx>
            <c:strRef>
              <c:f>'Pivot Table'!$D$72</c:f>
              <c:strCache>
                <c:ptCount val="1"/>
                <c:pt idx="0">
                  <c:v>Max. Height</c:v>
                </c:pt>
              </c:strCache>
            </c:strRef>
          </c:tx>
          <c:spPr>
            <a:solidFill>
              <a:schemeClr val="accent4"/>
            </a:solidFill>
            <a:ln>
              <a:noFill/>
            </a:ln>
            <a:effectLst/>
          </c:spPr>
          <c:invertIfNegative val="0"/>
          <c:cat>
            <c:strRef>
              <c:f>'Pivot Table'!$A$73:$A$77</c:f>
              <c:strCache>
                <c:ptCount val="4"/>
                <c:pt idx="0">
                  <c:v>QB</c:v>
                </c:pt>
                <c:pt idx="1">
                  <c:v>RB</c:v>
                </c:pt>
                <c:pt idx="2">
                  <c:v>TE</c:v>
                </c:pt>
                <c:pt idx="3">
                  <c:v>WR</c:v>
                </c:pt>
              </c:strCache>
            </c:strRef>
          </c:cat>
          <c:val>
            <c:numRef>
              <c:f>'Pivot Table'!$D$73:$D$77</c:f>
              <c:numCache>
                <c:formatCode>0.00</c:formatCode>
                <c:ptCount val="4"/>
                <c:pt idx="0">
                  <c:v>1.93</c:v>
                </c:pt>
                <c:pt idx="1">
                  <c:v>1.88</c:v>
                </c:pt>
                <c:pt idx="2">
                  <c:v>1.96</c:v>
                </c:pt>
                <c:pt idx="3">
                  <c:v>1.93</c:v>
                </c:pt>
              </c:numCache>
            </c:numRef>
          </c:val>
          <c:extLst>
            <c:ext xmlns:c16="http://schemas.microsoft.com/office/drawing/2014/chart" uri="{C3380CC4-5D6E-409C-BE32-E72D297353CC}">
              <c16:uniqueId val="{0000000E-BE7F-400C-B55A-E4CAFCF27367}"/>
            </c:ext>
          </c:extLst>
        </c:ser>
        <c:dLbls>
          <c:showLegendKey val="0"/>
          <c:showVal val="0"/>
          <c:showCatName val="0"/>
          <c:showSerName val="0"/>
          <c:showPercent val="0"/>
          <c:showBubbleSize val="0"/>
        </c:dLbls>
        <c:gapWidth val="219"/>
        <c:overlap val="-27"/>
        <c:axId val="855853584"/>
        <c:axId val="855855024"/>
      </c:barChart>
      <c:catAx>
        <c:axId val="85585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55855024"/>
        <c:crosses val="autoZero"/>
        <c:auto val="1"/>
        <c:lblAlgn val="ctr"/>
        <c:lblOffset val="100"/>
        <c:noMultiLvlLbl val="0"/>
      </c:catAx>
      <c:valAx>
        <c:axId val="85585502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55853584"/>
        <c:crosses val="autoZero"/>
        <c:crossBetween val="between"/>
      </c:valAx>
      <c:dTable>
        <c:showHorzBorder val="1"/>
        <c:showVertBorder val="1"/>
        <c:showOutline val="1"/>
        <c:showKeys val="1"/>
        <c:spPr>
          <a:noFill/>
          <a:ln w="6350" cap="flat" cmpd="sng" algn="ctr">
            <a:solidFill>
              <a:schemeClr val="tx1">
                <a:tint val="75000"/>
              </a:schemeClr>
            </a:solidFill>
            <a:prstDash val="solid"/>
            <a:round/>
          </a:ln>
          <a:effectLst/>
        </c:spPr>
        <c:txPr>
          <a:bodyPr rot="0" spcFirstLastPara="1" vertOverflow="ellipsis" vert="horz" wrap="square" anchor="ctr" anchorCtr="1"/>
          <a:lstStyle/>
          <a:p>
            <a:pPr rtl="0">
              <a:defRPr sz="1000" b="0" i="0" u="none" strike="noStrike" kern="1200" baseline="0">
                <a:solidFill>
                  <a:schemeClr val="tx1"/>
                </a:solidFill>
                <a:latin typeface="+mn-lt"/>
                <a:ea typeface="+mn-ea"/>
                <a:cs typeface="+mn-cs"/>
              </a:defRPr>
            </a:pPr>
            <a:endParaRPr lang="de-DE"/>
          </a:p>
        </c:txPr>
      </c:dTable>
      <c:spPr>
        <a:solidFill>
          <a:schemeClr val="bg1"/>
        </a:solidFill>
        <a:ln>
          <a:noFill/>
        </a:ln>
        <a:effectLst/>
      </c:spPr>
    </c:plotArea>
    <c:plotVisOnly val="1"/>
    <c:dispBlanksAs val="gap"/>
    <c:showDLblsOverMax val="0"/>
    <c:extLst/>
  </c:chart>
  <c:spPr>
    <a:solidFill>
      <a:schemeClr val="bg1"/>
    </a:solidFill>
    <a:ln w="12700" cap="flat" cmpd="sng" algn="ctr">
      <a:solidFill>
        <a:srgbClr val="002060"/>
      </a:solidFill>
      <a:prstDash val="solid"/>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9525</xdr:colOff>
      <xdr:row>1</xdr:row>
      <xdr:rowOff>104774</xdr:rowOff>
    </xdr:from>
    <xdr:to>
      <xdr:col>8</xdr:col>
      <xdr:colOff>9525</xdr:colOff>
      <xdr:row>16</xdr:row>
      <xdr:rowOff>133349</xdr:rowOff>
    </xdr:to>
    <xdr:graphicFrame macro="">
      <xdr:nvGraphicFramePr>
        <xdr:cNvPr id="2" name="Diagramm 1">
          <a:extLst>
            <a:ext uri="{FF2B5EF4-FFF2-40B4-BE49-F238E27FC236}">
              <a16:creationId xmlns:a16="http://schemas.microsoft.com/office/drawing/2014/main" id="{176F5713-82D9-3D7A-9296-326F7B378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38</xdr:row>
      <xdr:rowOff>0</xdr:rowOff>
    </xdr:from>
    <xdr:to>
      <xdr:col>15</xdr:col>
      <xdr:colOff>85725</xdr:colOff>
      <xdr:row>53</xdr:row>
      <xdr:rowOff>28575</xdr:rowOff>
    </xdr:to>
    <xdr:graphicFrame macro="">
      <xdr:nvGraphicFramePr>
        <xdr:cNvPr id="3" name="Diagramm 2">
          <a:extLst>
            <a:ext uri="{FF2B5EF4-FFF2-40B4-BE49-F238E27FC236}">
              <a16:creationId xmlns:a16="http://schemas.microsoft.com/office/drawing/2014/main" id="{B22D0260-BC10-B95F-0A72-9277591B7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54</xdr:row>
      <xdr:rowOff>152400</xdr:rowOff>
    </xdr:from>
    <xdr:to>
      <xdr:col>6</xdr:col>
      <xdr:colOff>1390650</xdr:colOff>
      <xdr:row>70</xdr:row>
      <xdr:rowOff>0</xdr:rowOff>
    </xdr:to>
    <xdr:graphicFrame macro="">
      <xdr:nvGraphicFramePr>
        <xdr:cNvPr id="4" name="Diagramm 3">
          <a:extLst>
            <a:ext uri="{FF2B5EF4-FFF2-40B4-BE49-F238E27FC236}">
              <a16:creationId xmlns:a16="http://schemas.microsoft.com/office/drawing/2014/main" id="{52A81D53-3602-3FC8-38B3-336960C26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71</xdr:row>
      <xdr:rowOff>0</xdr:rowOff>
    </xdr:from>
    <xdr:to>
      <xdr:col>9</xdr:col>
      <xdr:colOff>1390650</xdr:colOff>
      <xdr:row>89</xdr:row>
      <xdr:rowOff>28575</xdr:rowOff>
    </xdr:to>
    <xdr:graphicFrame macro="">
      <xdr:nvGraphicFramePr>
        <xdr:cNvPr id="5" name="Diagramm 4">
          <a:extLst>
            <a:ext uri="{FF2B5EF4-FFF2-40B4-BE49-F238E27FC236}">
              <a16:creationId xmlns:a16="http://schemas.microsoft.com/office/drawing/2014/main" id="{64C3BB5D-E860-B1BA-DF3F-15CA69A817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88</xdr:row>
      <xdr:rowOff>0</xdr:rowOff>
    </xdr:from>
    <xdr:to>
      <xdr:col>6</xdr:col>
      <xdr:colOff>1390650</xdr:colOff>
      <xdr:row>106</xdr:row>
      <xdr:rowOff>0</xdr:rowOff>
    </xdr:to>
    <xdr:graphicFrame macro="">
      <xdr:nvGraphicFramePr>
        <xdr:cNvPr id="6" name="Diagramm 5">
          <a:extLst>
            <a:ext uri="{FF2B5EF4-FFF2-40B4-BE49-F238E27FC236}">
              <a16:creationId xmlns:a16="http://schemas.microsoft.com/office/drawing/2014/main" id="{E5EB144D-3C18-F637-7DBA-0DC51DDDE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107</xdr:row>
      <xdr:rowOff>0</xdr:rowOff>
    </xdr:from>
    <xdr:to>
      <xdr:col>6</xdr:col>
      <xdr:colOff>1390650</xdr:colOff>
      <xdr:row>127</xdr:row>
      <xdr:rowOff>104775</xdr:rowOff>
    </xdr:to>
    <xdr:graphicFrame macro="">
      <xdr:nvGraphicFramePr>
        <xdr:cNvPr id="9" name="Diagramm 8">
          <a:extLst>
            <a:ext uri="{FF2B5EF4-FFF2-40B4-BE49-F238E27FC236}">
              <a16:creationId xmlns:a16="http://schemas.microsoft.com/office/drawing/2014/main" id="{7D94285C-4A86-E86C-D2B8-CC24AE88F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2</xdr:row>
      <xdr:rowOff>9525</xdr:rowOff>
    </xdr:from>
    <xdr:to>
      <xdr:col>9</xdr:col>
      <xdr:colOff>630190</xdr:colOff>
      <xdr:row>20</xdr:row>
      <xdr:rowOff>171975</xdr:rowOff>
    </xdr:to>
    <xdr:graphicFrame macro="">
      <xdr:nvGraphicFramePr>
        <xdr:cNvPr id="2" name="Diagramm 1">
          <a:extLst>
            <a:ext uri="{FF2B5EF4-FFF2-40B4-BE49-F238E27FC236}">
              <a16:creationId xmlns:a16="http://schemas.microsoft.com/office/drawing/2014/main" id="{485F6E99-E101-48E3-B1D2-D5C2353A3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630190</xdr:colOff>
      <xdr:row>2</xdr:row>
      <xdr:rowOff>0</xdr:rowOff>
    </xdr:from>
    <xdr:to>
      <xdr:col>16</xdr:col>
      <xdr:colOff>0</xdr:colOff>
      <xdr:row>20</xdr:row>
      <xdr:rowOff>162450</xdr:rowOff>
    </xdr:to>
    <xdr:graphicFrame macro="">
      <xdr:nvGraphicFramePr>
        <xdr:cNvPr id="3" name="Diagramm 2">
          <a:extLst>
            <a:ext uri="{FF2B5EF4-FFF2-40B4-BE49-F238E27FC236}">
              <a16:creationId xmlns:a16="http://schemas.microsoft.com/office/drawing/2014/main" id="{B1CAD290-51E8-4ACC-9E3D-28F4E9FD6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304800</xdr:colOff>
      <xdr:row>20</xdr:row>
      <xdr:rowOff>162450</xdr:rowOff>
    </xdr:from>
    <xdr:to>
      <xdr:col>9</xdr:col>
      <xdr:colOff>630190</xdr:colOff>
      <xdr:row>39</xdr:row>
      <xdr:rowOff>0</xdr:rowOff>
    </xdr:to>
    <xdr:graphicFrame macro="">
      <xdr:nvGraphicFramePr>
        <xdr:cNvPr id="4" name="Diagramm 3">
          <a:extLst>
            <a:ext uri="{FF2B5EF4-FFF2-40B4-BE49-F238E27FC236}">
              <a16:creationId xmlns:a16="http://schemas.microsoft.com/office/drawing/2014/main" id="{CBA70271-28C4-4AA9-87D9-264948519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630190</xdr:colOff>
      <xdr:row>20</xdr:row>
      <xdr:rowOff>162450</xdr:rowOff>
    </xdr:from>
    <xdr:to>
      <xdr:col>16</xdr:col>
      <xdr:colOff>0</xdr:colOff>
      <xdr:row>39</xdr:row>
      <xdr:rowOff>0</xdr:rowOff>
    </xdr:to>
    <xdr:graphicFrame macro="">
      <xdr:nvGraphicFramePr>
        <xdr:cNvPr id="5" name="Diagramm 4">
          <a:extLst>
            <a:ext uri="{FF2B5EF4-FFF2-40B4-BE49-F238E27FC236}">
              <a16:creationId xmlns:a16="http://schemas.microsoft.com/office/drawing/2014/main" id="{8E756B29-B2F3-4604-A186-15D1D586B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2</xdr:row>
      <xdr:rowOff>9526</xdr:rowOff>
    </xdr:from>
    <xdr:to>
      <xdr:col>3</xdr:col>
      <xdr:colOff>304800</xdr:colOff>
      <xdr:row>10</xdr:row>
      <xdr:rowOff>0</xdr:rowOff>
    </xdr:to>
    <mc:AlternateContent xmlns:mc="http://schemas.openxmlformats.org/markup-compatibility/2006">
      <mc:Choice xmlns:a14="http://schemas.microsoft.com/office/drawing/2010/main" Requires="a14">
        <xdr:graphicFrame macro="">
          <xdr:nvGraphicFramePr>
            <xdr:cNvPr id="6" name="Draft Class  1">
              <a:extLst>
                <a:ext uri="{FF2B5EF4-FFF2-40B4-BE49-F238E27FC236}">
                  <a16:creationId xmlns:a16="http://schemas.microsoft.com/office/drawing/2014/main" id="{E1F2F89F-EC9F-F5A6-354A-00BF35F4A5E3}"/>
                </a:ext>
              </a:extLst>
            </xdr:cNvPr>
            <xdr:cNvGraphicFramePr/>
          </xdr:nvGraphicFramePr>
          <xdr:xfrm>
            <a:off x="0" y="0"/>
            <a:ext cx="0" cy="0"/>
          </xdr:xfrm>
          <a:graphic>
            <a:graphicData uri="http://schemas.microsoft.com/office/drawing/2010/slicer">
              <sle:slicer xmlns:sle="http://schemas.microsoft.com/office/drawing/2010/slicer" name="Draft Class  1"/>
            </a:graphicData>
          </a:graphic>
        </xdr:graphicFrame>
      </mc:Choice>
      <mc:Fallback>
        <xdr:sp macro="" textlink="">
          <xdr:nvSpPr>
            <xdr:cNvPr id="0" name=""/>
            <xdr:cNvSpPr>
              <a:spLocks noTextEdit="1"/>
            </xdr:cNvSpPr>
          </xdr:nvSpPr>
          <xdr:spPr>
            <a:xfrm>
              <a:off x="186121" y="496725"/>
              <a:ext cx="1826610" cy="1435646"/>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xdr:col>
      <xdr:colOff>0</xdr:colOff>
      <xdr:row>20</xdr:row>
      <xdr:rowOff>0</xdr:rowOff>
    </xdr:from>
    <xdr:to>
      <xdr:col>3</xdr:col>
      <xdr:colOff>304800</xdr:colOff>
      <xdr:row>34</xdr:row>
      <xdr:rowOff>0</xdr:rowOff>
    </xdr:to>
    <mc:AlternateContent xmlns:mc="http://schemas.openxmlformats.org/markup-compatibility/2006">
      <mc:Choice xmlns:a14="http://schemas.microsoft.com/office/drawing/2010/main" Requires="a14">
        <xdr:graphicFrame macro="">
          <xdr:nvGraphicFramePr>
            <xdr:cNvPr id="7" name="Round * 1">
              <a:extLst>
                <a:ext uri="{FF2B5EF4-FFF2-40B4-BE49-F238E27FC236}">
                  <a16:creationId xmlns:a16="http://schemas.microsoft.com/office/drawing/2014/main" id="{BB4987B1-AC78-88AA-1B7A-745717582E01}"/>
                </a:ext>
              </a:extLst>
            </xdr:cNvPr>
            <xdr:cNvGraphicFramePr/>
          </xdr:nvGraphicFramePr>
          <xdr:xfrm>
            <a:off x="0" y="0"/>
            <a:ext cx="0" cy="0"/>
          </xdr:xfrm>
          <a:graphic>
            <a:graphicData uri="http://schemas.microsoft.com/office/drawing/2010/slicer">
              <sle:slicer xmlns:sle="http://schemas.microsoft.com/office/drawing/2010/slicer" name="Round * 1"/>
            </a:graphicData>
          </a:graphic>
        </xdr:graphicFrame>
      </mc:Choice>
      <mc:Fallback>
        <xdr:sp macro="" textlink="">
          <xdr:nvSpPr>
            <xdr:cNvPr id="0" name=""/>
            <xdr:cNvSpPr>
              <a:spLocks noTextEdit="1"/>
            </xdr:cNvSpPr>
          </xdr:nvSpPr>
          <xdr:spPr>
            <a:xfrm>
              <a:off x="186121" y="3738837"/>
              <a:ext cx="1826610" cy="2529052"/>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xdr:col>
      <xdr:colOff>0</xdr:colOff>
      <xdr:row>10</xdr:row>
      <xdr:rowOff>0</xdr:rowOff>
    </xdr:from>
    <xdr:to>
      <xdr:col>3</xdr:col>
      <xdr:colOff>304800</xdr:colOff>
      <xdr:row>20</xdr:row>
      <xdr:rowOff>0</xdr:rowOff>
    </xdr:to>
    <mc:AlternateContent xmlns:mc="http://schemas.openxmlformats.org/markup-compatibility/2006">
      <mc:Choice xmlns:a14="http://schemas.microsoft.com/office/drawing/2010/main" Requires="a14">
        <xdr:graphicFrame macro="">
          <xdr:nvGraphicFramePr>
            <xdr:cNvPr id="8" name="Position 1">
              <a:extLst>
                <a:ext uri="{FF2B5EF4-FFF2-40B4-BE49-F238E27FC236}">
                  <a16:creationId xmlns:a16="http://schemas.microsoft.com/office/drawing/2014/main" id="{7BFCFF7E-F094-414F-A7BC-16893DB67568}"/>
                </a:ext>
              </a:extLst>
            </xdr:cNvPr>
            <xdr:cNvGraphicFramePr/>
          </xdr:nvGraphicFramePr>
          <xdr:xfrm>
            <a:off x="0" y="0"/>
            <a:ext cx="0" cy="0"/>
          </xdr:xfrm>
          <a:graphic>
            <a:graphicData uri="http://schemas.microsoft.com/office/drawing/2010/slicer">
              <sle:slicer xmlns:sle="http://schemas.microsoft.com/office/drawing/2010/slicer" name="Position 1"/>
            </a:graphicData>
          </a:graphic>
        </xdr:graphicFrame>
      </mc:Choice>
      <mc:Fallback>
        <xdr:sp macro="" textlink="">
          <xdr:nvSpPr>
            <xdr:cNvPr id="0" name=""/>
            <xdr:cNvSpPr>
              <a:spLocks noTextEdit="1"/>
            </xdr:cNvSpPr>
          </xdr:nvSpPr>
          <xdr:spPr>
            <a:xfrm>
              <a:off x="186121" y="1932371"/>
              <a:ext cx="1826610" cy="1806466"/>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16</xdr:col>
      <xdr:colOff>0</xdr:colOff>
      <xdr:row>2</xdr:row>
      <xdr:rowOff>0</xdr:rowOff>
    </xdr:from>
    <xdr:to>
      <xdr:col>21</xdr:col>
      <xdr:colOff>0</xdr:colOff>
      <xdr:row>26</xdr:row>
      <xdr:rowOff>0</xdr:rowOff>
    </xdr:to>
    <xdr:graphicFrame macro="">
      <xdr:nvGraphicFramePr>
        <xdr:cNvPr id="9" name="Diagramm 8">
          <a:extLst>
            <a:ext uri="{FF2B5EF4-FFF2-40B4-BE49-F238E27FC236}">
              <a16:creationId xmlns:a16="http://schemas.microsoft.com/office/drawing/2014/main" id="{D4BFFEA7-DF5F-48B7-9B74-F04897B58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0</xdr:rowOff>
    </xdr:from>
    <xdr:to>
      <xdr:col>16</xdr:col>
      <xdr:colOff>0</xdr:colOff>
      <xdr:row>30</xdr:row>
      <xdr:rowOff>171450</xdr:rowOff>
    </xdr:to>
    <xdr:graphicFrame macro="">
      <xdr:nvGraphicFramePr>
        <xdr:cNvPr id="5" name="Diagramm 4">
          <a:extLst>
            <a:ext uri="{FF2B5EF4-FFF2-40B4-BE49-F238E27FC236}">
              <a16:creationId xmlns:a16="http://schemas.microsoft.com/office/drawing/2014/main" id="{7B666CD4-0C62-4677-83BF-4BA37A46E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2</xdr:row>
      <xdr:rowOff>0</xdr:rowOff>
    </xdr:from>
    <xdr:to>
      <xdr:col>3</xdr:col>
      <xdr:colOff>0</xdr:colOff>
      <xdr:row>8</xdr:row>
      <xdr:rowOff>171450</xdr:rowOff>
    </xdr:to>
    <mc:AlternateContent xmlns:mc="http://schemas.openxmlformats.org/markup-compatibility/2006">
      <mc:Choice xmlns:a14="http://schemas.microsoft.com/office/drawing/2010/main" Requires="a14">
        <xdr:graphicFrame macro="">
          <xdr:nvGraphicFramePr>
            <xdr:cNvPr id="7" name="Draft Class ">
              <a:extLst>
                <a:ext uri="{FF2B5EF4-FFF2-40B4-BE49-F238E27FC236}">
                  <a16:creationId xmlns:a16="http://schemas.microsoft.com/office/drawing/2014/main" id="{74784E52-C10D-2675-F190-80B856966C2C}"/>
                </a:ext>
              </a:extLst>
            </xdr:cNvPr>
            <xdr:cNvGraphicFramePr/>
          </xdr:nvGraphicFramePr>
          <xdr:xfrm>
            <a:off x="0" y="0"/>
            <a:ext cx="0" cy="0"/>
          </xdr:xfrm>
          <a:graphic>
            <a:graphicData uri="http://schemas.microsoft.com/office/drawing/2010/slicer">
              <sle:slicer xmlns:sle="http://schemas.microsoft.com/office/drawing/2010/slicer" name="Draft Class "/>
            </a:graphicData>
          </a:graphic>
        </xdr:graphicFrame>
      </mc:Choice>
      <mc:Fallback>
        <xdr:sp macro="" textlink="">
          <xdr:nvSpPr>
            <xdr:cNvPr id="0" name=""/>
            <xdr:cNvSpPr>
              <a:spLocks noTextEdit="1"/>
            </xdr:cNvSpPr>
          </xdr:nvSpPr>
          <xdr:spPr>
            <a:xfrm>
              <a:off x="195263" y="481013"/>
              <a:ext cx="1514475" cy="12573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xdr:col>
      <xdr:colOff>9525</xdr:colOff>
      <xdr:row>17</xdr:row>
      <xdr:rowOff>95250</xdr:rowOff>
    </xdr:from>
    <xdr:to>
      <xdr:col>3</xdr:col>
      <xdr:colOff>9525</xdr:colOff>
      <xdr:row>30</xdr:row>
      <xdr:rowOff>171450</xdr:rowOff>
    </xdr:to>
    <mc:AlternateContent xmlns:mc="http://schemas.openxmlformats.org/markup-compatibility/2006">
      <mc:Choice xmlns:a14="http://schemas.microsoft.com/office/drawing/2010/main" Requires="a14">
        <xdr:graphicFrame macro="">
          <xdr:nvGraphicFramePr>
            <xdr:cNvPr id="8" name="Round *">
              <a:extLst>
                <a:ext uri="{FF2B5EF4-FFF2-40B4-BE49-F238E27FC236}">
                  <a16:creationId xmlns:a16="http://schemas.microsoft.com/office/drawing/2014/main" id="{842B3B56-7DF7-3938-E6F6-1EAE40DC82FD}"/>
                </a:ext>
              </a:extLst>
            </xdr:cNvPr>
            <xdr:cNvGraphicFramePr/>
          </xdr:nvGraphicFramePr>
          <xdr:xfrm>
            <a:off x="0" y="0"/>
            <a:ext cx="0" cy="0"/>
          </xdr:xfrm>
          <a:graphic>
            <a:graphicData uri="http://schemas.microsoft.com/office/drawing/2010/slicer">
              <sle:slicer xmlns:sle="http://schemas.microsoft.com/office/drawing/2010/slicer" name="Round *"/>
            </a:graphicData>
          </a:graphic>
        </xdr:graphicFrame>
      </mc:Choice>
      <mc:Fallback>
        <xdr:sp macro="" textlink="">
          <xdr:nvSpPr>
            <xdr:cNvPr id="0" name=""/>
            <xdr:cNvSpPr>
              <a:spLocks noTextEdit="1"/>
            </xdr:cNvSpPr>
          </xdr:nvSpPr>
          <xdr:spPr>
            <a:xfrm>
              <a:off x="195263" y="3290888"/>
              <a:ext cx="1524000" cy="242887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xdr:col>
      <xdr:colOff>9525</xdr:colOff>
      <xdr:row>8</xdr:row>
      <xdr:rowOff>171450</xdr:rowOff>
    </xdr:from>
    <xdr:to>
      <xdr:col>3</xdr:col>
      <xdr:colOff>0</xdr:colOff>
      <xdr:row>17</xdr:row>
      <xdr:rowOff>95250</xdr:rowOff>
    </xdr:to>
    <mc:AlternateContent xmlns:mc="http://schemas.openxmlformats.org/markup-compatibility/2006">
      <mc:Choice xmlns:a14="http://schemas.microsoft.com/office/drawing/2010/main" Requires="a14">
        <xdr:graphicFrame macro="">
          <xdr:nvGraphicFramePr>
            <xdr:cNvPr id="9" name="Position">
              <a:extLst>
                <a:ext uri="{FF2B5EF4-FFF2-40B4-BE49-F238E27FC236}">
                  <a16:creationId xmlns:a16="http://schemas.microsoft.com/office/drawing/2014/main" id="{2B999DAC-41EE-8DEC-AA9D-60CD6EF52499}"/>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dr:sp macro="" textlink="">
          <xdr:nvSpPr>
            <xdr:cNvPr id="0" name=""/>
            <xdr:cNvSpPr>
              <a:spLocks noTextEdit="1"/>
            </xdr:cNvSpPr>
          </xdr:nvSpPr>
          <xdr:spPr>
            <a:xfrm>
              <a:off x="195263" y="1738313"/>
              <a:ext cx="1514475" cy="155257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nis" refreshedDate="45531.459229282409" createdVersion="8" refreshedVersion="8" minRefreshableVersion="3" recordCount="153" xr:uid="{C76BE3C3-B037-4EF1-B5AC-69AD6BB2D782}">
  <cacheSource type="worksheet">
    <worksheetSource ref="A1:Y154" sheet="Working Sheet"/>
  </cacheSource>
  <cacheFields count="25">
    <cacheField name="Draft Class " numFmtId="0">
      <sharedItems containsSemiMixedTypes="0" containsString="0" containsNumber="1" containsInteger="1" minValue="2022" maxValue="2024" count="3">
        <n v="2022"/>
        <n v="2023"/>
        <n v="2024"/>
      </sharedItems>
    </cacheField>
    <cacheField name="Round *" numFmtId="0">
      <sharedItems containsSemiMixedTypes="0" containsString="0" containsNumber="1" containsInteger="1" minValue="1" maxValue="7" count="7">
        <n v="1"/>
        <n v="3"/>
        <n v="4"/>
        <n v="5"/>
        <n v="2"/>
        <n v="6"/>
        <n v="7"/>
      </sharedItems>
    </cacheField>
    <cacheField name="Pick_No" numFmtId="0">
      <sharedItems containsSemiMixedTypes="0" containsString="0" containsNumber="1" containsInteger="1" minValue="1" maxValue="237"/>
    </cacheField>
    <cacheField name="Position" numFmtId="0">
      <sharedItems count="4">
        <s v="QB"/>
        <s v="RB"/>
        <s v="WR"/>
        <s v="TE"/>
      </sharedItems>
    </cacheField>
    <cacheField name="Player Name" numFmtId="0">
      <sharedItems count="153">
        <s v="Kenny Pickett"/>
        <s v="Desmond Ridder"/>
        <s v="Malik Willis"/>
        <s v="Matt Corall"/>
        <s v="Bailey Zappe"/>
        <s v="Sam Howell"/>
        <s v="Breece Hall"/>
        <s v="Kenneth Walker III"/>
        <s v="James Cook"/>
        <s v="Rachaad White"/>
        <s v="Tyrion Davis-Price"/>
        <s v="Brian Robinson"/>
        <s v="Dameon Pierce"/>
        <s v="Zamir White"/>
        <s v="Isaiah Spiller"/>
        <s v="Pierre Strong Jr."/>
        <s v="Hassan Haskins"/>
        <s v="Tyler Allgeier"/>
        <s v="Snoop Conner"/>
        <s v="Jerome Ford"/>
        <s v="Kyren Williams"/>
        <s v="Ty Chandler"/>
        <s v="Drake London"/>
        <s v="Garret Wilson"/>
        <s v="Chris Olave"/>
        <s v="Jameson Williams"/>
        <s v="Jahan Dotson"/>
        <s v="Treylon Burks"/>
        <s v="Christian Watson"/>
        <s v="WanDale Robinson"/>
        <s v="John Metchie III"/>
        <s v="Tyquan Thornton"/>
        <s v="George Pickens"/>
        <s v="Alec Pierce"/>
        <s v="Skyy Moore"/>
        <s v="Velus Jones Jr"/>
        <s v="Jalen Tolbert"/>
        <s v="David Bell"/>
        <s v="Trey McBride"/>
        <s v="Jelani Woods"/>
        <s v="Greg Dulcich"/>
        <s v="Jeremy Ruckert"/>
        <s v="Cade Otton"/>
        <s v="Daniel Bellinger"/>
        <s v="Charlie Kolar"/>
        <s v="Jake Ferguson"/>
        <s v="Isaiah Likely"/>
        <s v="Chigoziem Okonkwo"/>
        <s v="Bryce Young"/>
        <s v="CJ Stroud"/>
        <s v="Anthony Richardson"/>
        <s v="Will Lewis"/>
        <s v="Hendon Hooker"/>
        <s v="Jake Haener"/>
        <s v="Stetson Bennet"/>
        <s v="Aidan O'Connell"/>
        <s v="Bijan Robinson"/>
        <s v="Jahmyr Gibbs"/>
        <s v="Zach Charbonnet"/>
        <s v="Kendre Miller"/>
        <s v="Tyjae Spears"/>
        <s v="Devon Achane"/>
        <s v="Tank Bigsby"/>
        <s v="Roschon Johnson"/>
        <s v="Israel Abanikanda"/>
        <s v="Chase Brown"/>
        <s v="Eric Gray"/>
        <s v="Evan Hull"/>
        <s v="Chris Rodriguez Jr."/>
        <s v="Deuve Vaughn"/>
        <s v="Zach Evans"/>
        <s v="DeWayne McBride"/>
        <s v="Lew Nichols III"/>
        <s v="Kenny McIntosh"/>
        <s v="Jason Smith-Njigba"/>
        <s v="Quentin Johnston"/>
        <s v="Zay Flowers"/>
        <s v="Jordan Addison"/>
        <s v="Jonathan Mingo"/>
        <s v="Jayden Reed"/>
        <s v="Rashee Rice"/>
        <s v="Marvin Mims Jr."/>
        <s v="Tank Dell"/>
        <s v="Jalin Hyatt"/>
        <s v="Cedric Tillman"/>
        <s v="Josh Downs"/>
        <s v="Michael Wilson"/>
        <s v="Tre Tucker"/>
        <s v="Derius Davis"/>
        <s v="Charlie Jones"/>
        <s v="Tyler Scott"/>
        <s v="Justin Shorter"/>
        <s v="Dontayvion Wicks"/>
        <s v="Puka Nacua"/>
        <s v="Parker Washington"/>
        <s v="Kayshon Boutte"/>
        <s v="Trey Palmer"/>
        <s v="AT Perry"/>
        <s v="Elijah Higgings"/>
        <s v="Xavier Hutchinson"/>
        <s v="Andrei Iosivas"/>
        <s v="Demario Douglas"/>
        <s v="Dalton Kincaid"/>
        <s v="Sam LaPorta"/>
        <s v="Michael Mayer"/>
        <s v="Luke Musgrave"/>
        <s v="Luke Schoonmaker"/>
        <s v="Brenton Strange"/>
        <s v="Tucker Kraft"/>
        <s v="Darnell Washington"/>
        <s v="Cameron Latu"/>
        <s v="Caleb Williams"/>
        <s v="Jayden Daniels"/>
        <s v="Drake Maye"/>
        <s v="Michael Penix Jr."/>
        <s v="JJ McCarthy"/>
        <s v="Bo Nix"/>
        <s v="Jonathan Brooks"/>
        <s v="Trey Benson"/>
        <s v="Blake Corum "/>
        <s v="MarShawn Lloyd"/>
        <s v="Jaylen Wright"/>
        <s v="Bucky Irving"/>
        <s v="Will Shipley"/>
        <s v="Ray Davis"/>
        <s v="Isaac Guerendo"/>
        <s v="Sione Vaki"/>
        <s v="Braelon Allen"/>
        <s v="Audric Estime"/>
        <s v="Marvin Harrison Jr. "/>
        <s v="Malik Nabers "/>
        <s v="Rome Odunze"/>
        <s v="Brian Thomas Jr. "/>
        <s v="Xavier Worthy"/>
        <s v="Ricky Pearsall"/>
        <s v="Xavier Legette"/>
        <s v="Keon Coleman"/>
        <s v="Ladd McConkey"/>
        <s v="Ja'Lynn Polk"/>
        <s v="Adonai Mitchell"/>
        <s v="Malachi Corley"/>
        <s v="Jermaine Burton"/>
        <s v="Roman Wilson"/>
        <s v="Jalen McMillan"/>
        <s v="Luke McCaffrey"/>
        <s v="Troy Franklin"/>
        <s v="Javon Baker"/>
        <s v="Devontez Walker"/>
        <s v="Jacob Cowing"/>
        <s v="Brock Bowers"/>
        <s v="Ben Sinnot"/>
        <s v="Tip Reipman"/>
        <s v="JataVion Sanders"/>
      </sharedItems>
    </cacheField>
    <cacheField name="Birth Year*" numFmtId="14">
      <sharedItems containsSemiMixedTypes="0" containsNonDate="0" containsDate="1" containsString="0" minDate="1997-05-11T00:00:00" maxDate="2004-01-21T00:00:00"/>
    </cacheField>
    <cacheField name="Age at Draft" numFmtId="0">
      <sharedItems containsSemiMixedTypes="0" containsString="0" containsNumber="1" minValue="20.260000000000002" maxValue="25.5" count="129">
        <n v="23.89"/>
        <n v="22.66"/>
        <n v="22.93"/>
        <n v="23.24"/>
        <n v="23.01"/>
        <n v="21.61"/>
        <n v="20.91"/>
        <n v="21.52"/>
        <n v="22.59"/>
        <n v="23.29"/>
        <n v="21.51"/>
        <n v="23.1"/>
        <n v="22.19"/>
        <n v="22.61"/>
        <n v="20.72"/>
        <n v="23.38"/>
        <n v="22.42"/>
        <n v="22.04"/>
        <n v="21.74"/>
        <n v="22.63"/>
        <n v="21.67"/>
        <n v="23.96"/>
        <n v="20.76"/>
        <n v="21.77"/>
        <n v="21.84"/>
        <n v="21.09"/>
        <n v="22.1"/>
        <n v="22.96"/>
        <n v="21.31"/>
        <n v="21.78"/>
        <n v="21.72"/>
        <n v="21.15"/>
        <n v="21.99"/>
        <n v="21.63"/>
        <n v="24.96"/>
        <n v="23.17"/>
        <n v="21.37"/>
        <n v="22.43"/>
        <n v="23.55"/>
        <n v="22.09"/>
        <n v="21.71"/>
        <n v="23.04"/>
        <n v="21.6"/>
        <n v="23.21"/>
        <n v="23.28"/>
        <n v="22.03"/>
        <n v="22.64"/>
        <n v="21.76"/>
        <n v="21.56"/>
        <n v="20.93"/>
        <n v="23.83"/>
        <n v="25.29"/>
        <n v="24.13"/>
        <n v="25.5"/>
        <n v="24.65"/>
        <n v="21.24"/>
        <n v="21.1"/>
        <n v="22.3"/>
        <n v="20.88"/>
        <n v="21.87"/>
        <n v="21.54"/>
        <n v="21.66"/>
        <n v="22.24"/>
        <n v="20.56"/>
        <n v="23.48"/>
        <n v="22.5"/>
        <n v="22.58"/>
        <n v="21.48"/>
        <n v="21.91"/>
        <n v="21.8"/>
        <n v="21.7"/>
        <n v="23.15"/>
        <n v="21.2"/>
        <n v="21.64"/>
        <n v="22.62"/>
        <n v="21.25"/>
        <n v="22.02"/>
        <n v="23"/>
        <n v="21.11"/>
        <n v="23.49"/>
        <n v="21.59"/>
        <n v="23.02"/>
        <n v="22.14"/>
        <n v="24.49"/>
        <n v="23.03"/>
        <n v="21.86"/>
        <n v="20.97"/>
        <n v="22.07"/>
        <n v="23.5"/>
        <n v="22.9"/>
        <n v="23.53"/>
        <n v="22.38"/>
        <n v="23.52"/>
        <n v="22.29"/>
        <n v="21.81"/>
        <n v="22.65"/>
        <n v="24.58"/>
        <n v="22.33"/>
        <n v="22.48"/>
        <n v="21.69"/>
        <n v="22.44"/>
        <n v="23.35"/>
        <n v="21.65"/>
        <n v="23.97"/>
        <n v="21.26"/>
        <n v="24.17"/>
        <n v="23.42"/>
        <n v="23.3"/>
        <n v="21.07"/>
        <n v="21.68"/>
        <n v="24.46"/>
        <n v="22.74"/>
        <n v="20.260000000000002"/>
        <n v="20.64"/>
        <n v="20.75"/>
        <n v="21.9"/>
        <n v="21.55"/>
        <n v="21"/>
        <n v="23.63"/>
        <n v="20.94"/>
        <n v="22.45"/>
        <n v="22.83"/>
        <n v="22.85"/>
        <n v="23.06"/>
        <n v="21.22"/>
        <n v="22.18"/>
        <n v="23.22"/>
        <n v="22.6"/>
        <n v="21.08"/>
      </sharedItems>
    </cacheField>
    <cacheField name="Height in m*" numFmtId="0">
      <sharedItems containsSemiMixedTypes="0" containsString="0" containsNumber="1" minValue="1.65" maxValue="2.0099999999999998" count="15">
        <n v="1.9"/>
        <n v="1.93"/>
        <n v="1.85"/>
        <n v="1.8"/>
        <n v="1.75"/>
        <n v="1.83"/>
        <n v="1.78"/>
        <n v="1.88"/>
        <n v="1.73"/>
        <n v="1.91"/>
        <n v="2.0099999999999998"/>
        <n v="1.96"/>
        <n v="1.98"/>
        <n v="1.65"/>
        <n v="1.84"/>
      </sharedItems>
    </cacheField>
    <cacheField name="Weight in Kg" numFmtId="0">
      <sharedItems containsSemiMixedTypes="0" containsString="0" containsNumber="1" containsInteger="1" minValue="75" maxValue="126" count="42">
        <n v="99"/>
        <n v="98"/>
        <n v="93"/>
        <n v="100"/>
        <n v="96"/>
        <n v="86"/>
        <n v="97"/>
        <n v="103"/>
        <n v="101"/>
        <n v="95"/>
        <n v="88"/>
        <n v="87"/>
        <n v="85"/>
        <n v="82"/>
        <n v="83"/>
        <n v="102"/>
        <n v="94"/>
        <n v="84"/>
        <n v="91"/>
        <n v="112"/>
        <n v="115"/>
        <n v="111"/>
        <n v="113"/>
        <n v="117"/>
        <n v="108"/>
        <n v="107"/>
        <n v="105"/>
        <n v="80"/>
        <n v="90"/>
        <n v="79"/>
        <n v="75"/>
        <n v="76"/>
        <n v="89"/>
        <n v="106"/>
        <n v="120"/>
        <n v="116"/>
        <n v="104"/>
        <n v="92"/>
        <n v="78"/>
        <n v="109"/>
        <n v="126"/>
        <n v="110"/>
      </sharedItems>
    </cacheField>
    <cacheField name="NFL Team*" numFmtId="0">
      <sharedItems/>
    </cacheField>
    <cacheField name="Completion PCT*" numFmtId="0">
      <sharedItems containsSemiMixedTypes="0" containsString="0" containsNumber="1" minValue="0" maxValue="74.650000000000006"/>
    </cacheField>
    <cacheField name="Passing Yds*" numFmtId="0">
      <sharedItems containsSemiMixedTypes="0" containsString="0" containsNumber="1" containsInteger="1" minValue="0" maxValue="9544"/>
    </cacheField>
    <cacheField name="Pass TDs*" numFmtId="0">
      <sharedItems containsSemiMixedTypes="0" containsString="0" containsNumber="1" containsInteger="1" minValue="0" maxValue="81"/>
    </cacheField>
    <cacheField name="INT*" numFmtId="0">
      <sharedItems containsSemiMixedTypes="0" containsString="0" containsNumber="1" containsInteger="1" minValue="0" maxValue="24"/>
    </cacheField>
    <cacheField name="Passer Rating*" numFmtId="0">
      <sharedItems containsSemiMixedTypes="0" containsString="0" containsNumber="1" minValue="0" maxValue="187.2"/>
    </cacheField>
    <cacheField name="Rush Attempt" numFmtId="0">
      <sharedItems containsSemiMixedTypes="0" containsString="0" containsNumber="1" containsInteger="1" minValue="0" maxValue="532"/>
    </cacheField>
    <cacheField name="Rush Yds" numFmtId="0">
      <sharedItems containsSemiMixedTypes="0" containsString="0" containsNumber="1" containsInteger="1" minValue="-201" maxValue="3084"/>
    </cacheField>
    <cacheField name="Rush TDs" numFmtId="0">
      <sharedItems containsSemiMixedTypes="0" containsString="0" containsNumber="1" containsInteger="1" minValue="0" maxValue="45"/>
    </cacheField>
    <cacheField name="Receptions*" numFmtId="0">
      <sharedItems containsSemiMixedTypes="0" containsString="0" containsNumber="1" containsInteger="1" minValue="0" maxValue="199"/>
    </cacheField>
    <cacheField name="Receiving Yds*" numFmtId="0">
      <sharedItems containsSemiMixedTypes="0" containsString="0" containsNumber="1" containsInteger="1" minValue="0" maxValue="2785"/>
    </cacheField>
    <cacheField name="Receiving TDs*" numFmtId="0">
      <sharedItems containsSemiMixedTypes="0" containsString="0" containsNumber="1" containsInteger="1" minValue="0" maxValue="29"/>
    </cacheField>
    <cacheField name="Fumbles" numFmtId="0">
      <sharedItems containsSemiMixedTypes="0" containsString="0" containsNumber="1" containsInteger="1" minValue="0" maxValue="11"/>
    </cacheField>
    <cacheField name="FantasyPoints" numFmtId="0">
      <sharedItems containsSemiMixedTypes="0" containsString="0" containsNumber="1" minValue="38.65" maxValue="405.45"/>
    </cacheField>
    <cacheField name="College" numFmtId="0">
      <sharedItems count="66">
        <s v="Pittsburgh"/>
        <s v="Cincinnati"/>
        <s v="Liberty"/>
        <s v="Ole Miss"/>
        <s v="Western Kentucky"/>
        <s v="North Carolina"/>
        <s v="Iowa State"/>
        <s v="Michigan State"/>
        <s v="Georgia"/>
        <s v="Arizona State"/>
        <s v="LSU"/>
        <s v="Alabama"/>
        <s v="Florida"/>
        <s v="Texas A&amp;M"/>
        <s v="South Dakota State"/>
        <s v="Michigan"/>
        <s v="BYU"/>
        <s v="Notre Dame"/>
        <s v="USC"/>
        <s v="Ohio State"/>
        <s v="Penn State"/>
        <s v="Arkansas"/>
        <s v="North Dakota State"/>
        <s v="Kentucky"/>
        <s v="Baylor"/>
        <s v="Western Michigan"/>
        <s v="Tennessee"/>
        <s v="South Alabama"/>
        <s v="Purdue"/>
        <s v="Colorado State"/>
        <s v="Virginia"/>
        <s v="UCLA"/>
        <s v="Washington"/>
        <s v="San Diego State"/>
        <s v="Wisconsin"/>
        <s v="Coastal Carolina"/>
        <s v="Maryland"/>
        <s v="Fresno State"/>
        <s v="Texas"/>
        <s v="TCU"/>
        <s v="Tulane"/>
        <s v="Auburn"/>
        <s v="Illinois"/>
        <s v="Oklahoma"/>
        <s v="Northwestern"/>
        <s v="Kansas State"/>
        <s v="UAB"/>
        <s v="Central Michigan"/>
        <s v="Boston College"/>
        <s v="SMU"/>
        <s v="Houston"/>
        <s v="Stanford"/>
        <s v="Nebraska"/>
        <s v="Wake Forest"/>
        <s v="Princeton"/>
        <s v="Utah"/>
        <s v="Iowa"/>
        <s v="Oregon State"/>
        <s v="Oregon"/>
        <s v="Florida State"/>
        <s v="Clemson"/>
        <s v="Louisville"/>
        <s v="South Carolina"/>
        <s v="Rice"/>
        <s v="UCF"/>
        <s v="Arizona"/>
      </sharedItems>
    </cacheField>
    <cacheField name="Conference*" numFmtId="0">
      <sharedItems count="13">
        <s v="ACC"/>
        <s v="The American"/>
        <s v="Ind. (FBS)"/>
        <s v="SEC"/>
        <s v="C-USA"/>
        <s v="Big 12"/>
        <s v="Big Ten"/>
        <s v="Pac-12"/>
        <s v="MVFC"/>
        <s v="MAC"/>
        <s v="Sun Belt"/>
        <s v="MW"/>
        <s v="Ivy"/>
      </sharedItems>
    </cacheField>
  </cacheFields>
  <extLst>
    <ext xmlns:x14="http://schemas.microsoft.com/office/spreadsheetml/2009/9/main" uri="{725AE2AE-9491-48be-B2B4-4EB974FC3084}">
      <x14:pivotCacheDefinition pivotCacheId="13988540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
  <r>
    <x v="0"/>
    <x v="0"/>
    <n v="20"/>
    <x v="0"/>
    <x v="0"/>
    <d v="1998-06-06T00:00:00"/>
    <x v="0"/>
    <x v="0"/>
    <x v="0"/>
    <s v="Pittsburgh Steelers"/>
    <n v="64.150000000000006"/>
    <n v="6727"/>
    <n v="55"/>
    <n v="16"/>
    <n v="147.44999999999999"/>
    <n v="178"/>
    <n v="386"/>
    <n v="13"/>
    <n v="0"/>
    <n v="0"/>
    <n v="0"/>
    <n v="0"/>
    <n v="286.84000000000003"/>
    <x v="0"/>
    <x v="0"/>
  </r>
  <r>
    <x v="0"/>
    <x v="1"/>
    <n v="74"/>
    <x v="0"/>
    <x v="1"/>
    <d v="1999-08-31T00:00:00"/>
    <x v="1"/>
    <x v="1"/>
    <x v="1"/>
    <s v="Atlanta Falcons"/>
    <n v="65.550000000000011"/>
    <n v="5630"/>
    <n v="49"/>
    <n v="14"/>
    <n v="155.80000000000001"/>
    <n v="208"/>
    <n v="947"/>
    <n v="18"/>
    <n v="0"/>
    <n v="0"/>
    <n v="0"/>
    <n v="0"/>
    <n v="297.95"/>
    <x v="1"/>
    <x v="1"/>
  </r>
  <r>
    <x v="0"/>
    <x v="1"/>
    <n v="86"/>
    <x v="0"/>
    <x v="2"/>
    <d v="1999-05-25T00:00:00"/>
    <x v="2"/>
    <x v="2"/>
    <x v="0"/>
    <s v="Tennessee Titans"/>
    <n v="62.650000000000006"/>
    <n v="5117"/>
    <n v="47"/>
    <n v="18"/>
    <n v="153.64999999999998"/>
    <n v="338"/>
    <n v="1822"/>
    <n v="27"/>
    <n v="0"/>
    <n v="0"/>
    <n v="0"/>
    <n v="0"/>
    <n v="350.44"/>
    <x v="2"/>
    <x v="2"/>
  </r>
  <r>
    <x v="0"/>
    <x v="1"/>
    <n v="94"/>
    <x v="0"/>
    <x v="3"/>
    <d v="1999-01-31T00:00:00"/>
    <x v="3"/>
    <x v="2"/>
    <x v="2"/>
    <s v="Carolina Panthers"/>
    <n v="69.400000000000006"/>
    <n v="6686"/>
    <n v="49"/>
    <n v="19"/>
    <n v="166.45"/>
    <n v="264"/>
    <n v="1120"/>
    <n v="15"/>
    <n v="0"/>
    <n v="0"/>
    <n v="0"/>
    <n v="0"/>
    <n v="313.72000000000003"/>
    <x v="3"/>
    <x v="3"/>
  </r>
  <r>
    <x v="0"/>
    <x v="2"/>
    <n v="137"/>
    <x v="0"/>
    <x v="4"/>
    <d v="1999-04-26T00:00:00"/>
    <x v="4"/>
    <x v="2"/>
    <x v="0"/>
    <s v="New England Patriots"/>
    <n v="67.400000000000006"/>
    <n v="7800"/>
    <n v="77"/>
    <n v="12"/>
    <n v="164.10000000000002"/>
    <n v="70"/>
    <n v="31"/>
    <n v="3"/>
    <n v="0"/>
    <n v="0"/>
    <n v="0"/>
    <n v="0"/>
    <n v="308.55"/>
    <x v="4"/>
    <x v="4"/>
  </r>
  <r>
    <x v="0"/>
    <x v="3"/>
    <n v="144"/>
    <x v="0"/>
    <x v="5"/>
    <d v="2000-09-16T00:00:00"/>
    <x v="5"/>
    <x v="2"/>
    <x v="0"/>
    <s v="Washington Commanders"/>
    <n v="65.3"/>
    <n v="6642"/>
    <n v="54"/>
    <n v="16"/>
    <n v="166.6"/>
    <n v="275"/>
    <n v="974"/>
    <n v="16"/>
    <n v="0"/>
    <n v="0"/>
    <n v="0"/>
    <n v="0"/>
    <n v="321.54000000000002"/>
    <x v="5"/>
    <x v="0"/>
  </r>
  <r>
    <x v="0"/>
    <x v="4"/>
    <n v="36"/>
    <x v="1"/>
    <x v="6"/>
    <d v="2001-05-31T00:00:00"/>
    <x v="6"/>
    <x v="3"/>
    <x v="3"/>
    <s v="New York Jets"/>
    <n v="0"/>
    <n v="0"/>
    <n v="0"/>
    <n v="0"/>
    <n v="0"/>
    <n v="532"/>
    <n v="3044"/>
    <n v="41"/>
    <n v="59"/>
    <n v="482"/>
    <n v="5"/>
    <n v="0"/>
    <n v="329.05"/>
    <x v="6"/>
    <x v="5"/>
  </r>
  <r>
    <x v="0"/>
    <x v="4"/>
    <n v="41"/>
    <x v="1"/>
    <x v="7"/>
    <d v="2000-10-20T00:00:00"/>
    <x v="7"/>
    <x v="4"/>
    <x v="4"/>
    <s v="Seattle Seahawks"/>
    <n v="0"/>
    <n v="0"/>
    <n v="0"/>
    <n v="0"/>
    <n v="0"/>
    <n v="382"/>
    <n v="2215"/>
    <n v="31"/>
    <n v="16"/>
    <n v="119"/>
    <n v="1"/>
    <n v="0"/>
    <n v="216.7"/>
    <x v="7"/>
    <x v="6"/>
  </r>
  <r>
    <x v="0"/>
    <x v="4"/>
    <n v="63"/>
    <x v="1"/>
    <x v="8"/>
    <d v="1999-09-25T00:00:00"/>
    <x v="8"/>
    <x v="3"/>
    <x v="5"/>
    <s v="Buffalo Bills "/>
    <n v="0"/>
    <n v="0"/>
    <n v="0"/>
    <n v="0"/>
    <n v="0"/>
    <n v="158"/>
    <n v="1031"/>
    <n v="10"/>
    <n v="43"/>
    <n v="509"/>
    <n v="6"/>
    <n v="0"/>
    <n v="135.75"/>
    <x v="8"/>
    <x v="3"/>
  </r>
  <r>
    <x v="0"/>
    <x v="1"/>
    <n v="91"/>
    <x v="1"/>
    <x v="9"/>
    <d v="1999-01-12T00:00:00"/>
    <x v="9"/>
    <x v="5"/>
    <x v="6"/>
    <s v="Tampa Bay Buccaneers"/>
    <n v="0"/>
    <n v="0"/>
    <n v="0"/>
    <n v="0"/>
    <n v="0"/>
    <n v="224"/>
    <n v="1426"/>
    <n v="20"/>
    <n v="51"/>
    <n v="607"/>
    <n v="2"/>
    <n v="0"/>
    <n v="180.4"/>
    <x v="9"/>
    <x v="7"/>
  </r>
  <r>
    <x v="0"/>
    <x v="1"/>
    <n v="93"/>
    <x v="1"/>
    <x v="10"/>
    <d v="2000-10-23T00:00:00"/>
    <x v="10"/>
    <x v="2"/>
    <x v="0"/>
    <s v="San Francisco 49ers"/>
    <n v="0"/>
    <n v="0"/>
    <n v="0"/>
    <n v="0"/>
    <n v="0"/>
    <n v="315"/>
    <n v="1449"/>
    <n v="9"/>
    <n v="18"/>
    <n v="111"/>
    <n v="0"/>
    <n v="0"/>
    <n v="109.5"/>
    <x v="10"/>
    <x v="3"/>
  </r>
  <r>
    <x v="0"/>
    <x v="1"/>
    <n v="98"/>
    <x v="1"/>
    <x v="11"/>
    <d v="1999-03-22T00:00:00"/>
    <x v="11"/>
    <x v="2"/>
    <x v="7"/>
    <s v="Washington Commanders"/>
    <n v="0"/>
    <n v="0"/>
    <n v="0"/>
    <n v="0"/>
    <n v="0"/>
    <n v="362"/>
    <n v="1826"/>
    <n v="20"/>
    <n v="41"/>
    <n v="322"/>
    <n v="2"/>
    <n v="0"/>
    <n v="183.65"/>
    <x v="11"/>
    <x v="3"/>
  </r>
  <r>
    <x v="0"/>
    <x v="2"/>
    <n v="107"/>
    <x v="1"/>
    <x v="12"/>
    <d v="2000-02-19T00:00:00"/>
    <x v="12"/>
    <x v="6"/>
    <x v="0"/>
    <s v="Houston Texans"/>
    <n v="0"/>
    <n v="0"/>
    <n v="0"/>
    <n v="0"/>
    <n v="0"/>
    <n v="206"/>
    <n v="1077"/>
    <n v="17"/>
    <n v="36"/>
    <n v="372"/>
    <n v="4"/>
    <n v="0"/>
    <n v="144.44999999999999"/>
    <x v="12"/>
    <x v="3"/>
  </r>
  <r>
    <x v="0"/>
    <x v="2"/>
    <n v="122"/>
    <x v="1"/>
    <x v="13"/>
    <d v="1999-09-18T00:00:00"/>
    <x v="13"/>
    <x v="5"/>
    <x v="1"/>
    <s v="Las Vegas Raiders"/>
    <n v="0"/>
    <n v="0"/>
    <n v="0"/>
    <n v="0"/>
    <n v="0"/>
    <n v="304"/>
    <n v="1635"/>
    <n v="22"/>
    <n v="15"/>
    <n v="112"/>
    <n v="0"/>
    <n v="0"/>
    <n v="157.1"/>
    <x v="8"/>
    <x v="3"/>
  </r>
  <r>
    <x v="0"/>
    <x v="2"/>
    <n v="123"/>
    <x v="1"/>
    <x v="14"/>
    <d v="2001-08-09T00:00:00"/>
    <x v="14"/>
    <x v="2"/>
    <x v="1"/>
    <s v="Los Angeles Chargers"/>
    <n v="0"/>
    <n v="0"/>
    <n v="0"/>
    <n v="0"/>
    <n v="0"/>
    <n v="367"/>
    <n v="2047"/>
    <n v="15"/>
    <n v="45"/>
    <n v="382"/>
    <n v="1"/>
    <n v="0"/>
    <n v="180.7"/>
    <x v="13"/>
    <x v="3"/>
  </r>
  <r>
    <x v="0"/>
    <x v="2"/>
    <n v="127"/>
    <x v="1"/>
    <x v="15"/>
    <d v="1998-12-10T00:00:00"/>
    <x v="15"/>
    <x v="3"/>
    <x v="1"/>
    <s v="New England Patriots"/>
    <n v="0"/>
    <n v="0"/>
    <n v="0"/>
    <n v="0"/>
    <n v="0"/>
    <n v="370"/>
    <n v="2361"/>
    <n v="21"/>
    <n v="43"/>
    <n v="347"/>
    <n v="1"/>
    <n v="0"/>
    <n v="212.15"/>
    <x v="14"/>
    <x v="8"/>
  </r>
  <r>
    <x v="0"/>
    <x v="2"/>
    <n v="131"/>
    <x v="1"/>
    <x v="16"/>
    <d v="1999-11-26T00:00:00"/>
    <x v="16"/>
    <x v="7"/>
    <x v="7"/>
    <s v="Tennessee Titans"/>
    <n v="0"/>
    <n v="0"/>
    <n v="0"/>
    <n v="0"/>
    <n v="0"/>
    <n v="331"/>
    <n v="1702"/>
    <n v="26"/>
    <n v="18"/>
    <n v="131"/>
    <n v="0"/>
    <n v="0"/>
    <n v="174.15"/>
    <x v="15"/>
    <x v="6"/>
  </r>
  <r>
    <x v="0"/>
    <x v="3"/>
    <n v="151"/>
    <x v="1"/>
    <x v="17"/>
    <d v="2000-04-15T00:00:00"/>
    <x v="17"/>
    <x v="3"/>
    <x v="3"/>
    <s v="Atlanta Falcons"/>
    <n v="0"/>
    <n v="0"/>
    <n v="0"/>
    <n v="0"/>
    <n v="0"/>
    <n v="426"/>
    <n v="2736"/>
    <n v="36"/>
    <n v="42"/>
    <n v="373"/>
    <n v="0"/>
    <n v="0"/>
    <n v="273.95"/>
    <x v="16"/>
    <x v="2"/>
  </r>
  <r>
    <x v="0"/>
    <x v="3"/>
    <n v="154"/>
    <x v="1"/>
    <x v="18"/>
    <d v="2000-08-01T00:00:00"/>
    <x v="18"/>
    <x v="6"/>
    <x v="8"/>
    <s v="Jacksonville Jaguars"/>
    <n v="0"/>
    <n v="0"/>
    <n v="0"/>
    <n v="0"/>
    <n v="0"/>
    <n v="223"/>
    <n v="1068"/>
    <n v="21"/>
    <n v="26"/>
    <n v="165"/>
    <n v="0"/>
    <n v="0"/>
    <n v="131.15"/>
    <x v="3"/>
    <x v="3"/>
  </r>
  <r>
    <x v="0"/>
    <x v="3"/>
    <n v="156"/>
    <x v="1"/>
    <x v="19"/>
    <d v="1999-09-12T00:00:00"/>
    <x v="19"/>
    <x v="6"/>
    <x v="9"/>
    <s v="Cleveland Browns"/>
    <n v="0"/>
    <n v="0"/>
    <n v="0"/>
    <n v="0"/>
    <n v="0"/>
    <n v="288"/>
    <n v="1802"/>
    <n v="27"/>
    <n v="29"/>
    <n v="271"/>
    <n v="1"/>
    <n v="0"/>
    <n v="194.9"/>
    <x v="1"/>
    <x v="1"/>
  </r>
  <r>
    <x v="0"/>
    <x v="3"/>
    <n v="164"/>
    <x v="1"/>
    <x v="20"/>
    <d v="2000-08-26T00:00:00"/>
    <x v="20"/>
    <x v="4"/>
    <x v="10"/>
    <s v="Los Angeles Rams"/>
    <n v="0"/>
    <n v="0"/>
    <n v="0"/>
    <n v="0"/>
    <n v="0"/>
    <n v="415"/>
    <n v="2127"/>
    <n v="27"/>
    <n v="77"/>
    <n v="672"/>
    <n v="4"/>
    <n v="0"/>
    <n v="252.2"/>
    <x v="17"/>
    <x v="2"/>
  </r>
  <r>
    <x v="0"/>
    <x v="3"/>
    <n v="169"/>
    <x v="1"/>
    <x v="21"/>
    <d v="1998-05-12T00:00:00"/>
    <x v="21"/>
    <x v="3"/>
    <x v="2"/>
    <s v="Minnesota Vikings"/>
    <n v="0"/>
    <n v="0"/>
    <n v="0"/>
    <n v="0"/>
    <n v="0"/>
    <n v="282"/>
    <n v="1548"/>
    <n v="17"/>
    <n v="31"/>
    <n v="327"/>
    <n v="1"/>
    <n v="0"/>
    <n v="155.5"/>
    <x v="5"/>
    <x v="0"/>
  </r>
  <r>
    <x v="0"/>
    <x v="0"/>
    <n v="8"/>
    <x v="2"/>
    <x v="22"/>
    <d v="2001-07-24T00:00:00"/>
    <x v="22"/>
    <x v="1"/>
    <x v="6"/>
    <s v="Atlanta Falcons"/>
    <n v="0"/>
    <n v="0"/>
    <n v="0"/>
    <n v="0"/>
    <n v="0"/>
    <n v="1"/>
    <n v="2"/>
    <n v="0"/>
    <n v="121"/>
    <n v="1586"/>
    <n v="10"/>
    <n v="0"/>
    <n v="139.65"/>
    <x v="18"/>
    <x v="7"/>
  </r>
  <r>
    <x v="0"/>
    <x v="0"/>
    <n v="10"/>
    <x v="2"/>
    <x v="23"/>
    <d v="2000-07-22T00:00:00"/>
    <x v="23"/>
    <x v="5"/>
    <x v="11"/>
    <s v="New York Jets"/>
    <n v="0"/>
    <n v="0"/>
    <n v="0"/>
    <n v="0"/>
    <n v="0"/>
    <n v="6"/>
    <n v="143"/>
    <n v="1"/>
    <n v="113"/>
    <n v="1781"/>
    <n v="18"/>
    <n v="0"/>
    <n v="181.45"/>
    <x v="19"/>
    <x v="6"/>
  </r>
  <r>
    <x v="0"/>
    <x v="0"/>
    <n v="11"/>
    <x v="2"/>
    <x v="24"/>
    <d v="2000-06-27T00:00:00"/>
    <x v="24"/>
    <x v="5"/>
    <x v="12"/>
    <s v="New Orleans Saints"/>
    <n v="0"/>
    <n v="0"/>
    <n v="0"/>
    <n v="0"/>
    <n v="0"/>
    <n v="3"/>
    <n v="5"/>
    <n v="0"/>
    <n v="115"/>
    <n v="1665"/>
    <n v="20"/>
    <n v="0"/>
    <n v="172.25"/>
    <x v="19"/>
    <x v="6"/>
  </r>
  <r>
    <x v="0"/>
    <x v="0"/>
    <n v="12"/>
    <x v="2"/>
    <x v="25"/>
    <d v="2001-03-26T00:00:00"/>
    <x v="25"/>
    <x v="2"/>
    <x v="13"/>
    <s v="Detroit Lions"/>
    <n v="0"/>
    <n v="0"/>
    <n v="0"/>
    <n v="0"/>
    <n v="0"/>
    <n v="3"/>
    <n v="23"/>
    <n v="0"/>
    <n v="88"/>
    <n v="1726"/>
    <n v="17"/>
    <n v="0"/>
    <n v="160.44999999999999"/>
    <x v="11"/>
    <x v="3"/>
  </r>
  <r>
    <x v="0"/>
    <x v="0"/>
    <n v="16"/>
    <x v="2"/>
    <x v="26"/>
    <d v="2000-03-22T00:00:00"/>
    <x v="26"/>
    <x v="3"/>
    <x v="14"/>
    <s v="Washington Commanders"/>
    <n v="0"/>
    <n v="0"/>
    <n v="0"/>
    <n v="0"/>
    <n v="0"/>
    <n v="8"/>
    <n v="18"/>
    <n v="1"/>
    <n v="143"/>
    <n v="2066"/>
    <n v="20"/>
    <n v="0"/>
    <n v="202.95"/>
    <x v="20"/>
    <x v="6"/>
  </r>
  <r>
    <x v="0"/>
    <x v="0"/>
    <n v="18"/>
    <x v="2"/>
    <x v="27"/>
    <d v="2000-03-23T00:00:00"/>
    <x v="26"/>
    <x v="7"/>
    <x v="15"/>
    <s v="Tennessee Titans"/>
    <n v="0"/>
    <n v="0"/>
    <n v="0"/>
    <n v="0"/>
    <n v="0"/>
    <n v="29"/>
    <n v="184"/>
    <n v="1"/>
    <n v="117"/>
    <n v="1924"/>
    <n v="18"/>
    <n v="0"/>
    <n v="191.65"/>
    <x v="21"/>
    <x v="3"/>
  </r>
  <r>
    <x v="0"/>
    <x v="4"/>
    <n v="34"/>
    <x v="2"/>
    <x v="28"/>
    <d v="1999-05-12T00:00:00"/>
    <x v="27"/>
    <x v="1"/>
    <x v="16"/>
    <s v="Green Bay Packers"/>
    <n v="0"/>
    <n v="0"/>
    <n v="0"/>
    <n v="0"/>
    <n v="0"/>
    <n v="36"/>
    <n v="230"/>
    <n v="1"/>
    <n v="61"/>
    <n v="1237"/>
    <n v="8"/>
    <n v="0"/>
    <n v="115.6"/>
    <x v="22"/>
    <x v="8"/>
  </r>
  <r>
    <x v="0"/>
    <x v="4"/>
    <n v="43"/>
    <x v="2"/>
    <x v="29"/>
    <d v="2001-01-05T00:00:00"/>
    <x v="28"/>
    <x v="8"/>
    <x v="17"/>
    <s v="New York Giants"/>
    <n v="0"/>
    <n v="0"/>
    <n v="0"/>
    <n v="0"/>
    <n v="0"/>
    <n v="53"/>
    <n v="351"/>
    <n v="1"/>
    <n v="155"/>
    <n v="1795"/>
    <n v="8"/>
    <n v="0"/>
    <n v="173.05"/>
    <x v="23"/>
    <x v="3"/>
  </r>
  <r>
    <x v="0"/>
    <x v="4"/>
    <n v="44"/>
    <x v="2"/>
    <x v="30"/>
    <d v="2000-07-18T00:00:00"/>
    <x v="29"/>
    <x v="3"/>
    <x v="12"/>
    <s v="Houston Texans"/>
    <n v="0"/>
    <n v="0"/>
    <n v="0"/>
    <n v="0"/>
    <n v="0"/>
    <n v="1"/>
    <n v="8"/>
    <n v="0"/>
    <n v="151"/>
    <n v="2058"/>
    <n v="14"/>
    <n v="0"/>
    <n v="183.05"/>
    <x v="11"/>
    <x v="3"/>
  </r>
  <r>
    <x v="0"/>
    <x v="4"/>
    <n v="50"/>
    <x v="2"/>
    <x v="31"/>
    <d v="2000-08-07T00:00:00"/>
    <x v="30"/>
    <x v="7"/>
    <x v="17"/>
    <s v="New England Patriots"/>
    <n v="0"/>
    <n v="0"/>
    <n v="0"/>
    <n v="0"/>
    <n v="0"/>
    <n v="3"/>
    <n v="-9"/>
    <n v="0"/>
    <n v="78"/>
    <n v="1106"/>
    <n v="11"/>
    <n v="0"/>
    <n v="107.35"/>
    <x v="24"/>
    <x v="5"/>
  </r>
  <r>
    <x v="0"/>
    <x v="4"/>
    <n v="52"/>
    <x v="2"/>
    <x v="32"/>
    <d v="2001-03-04T00:00:00"/>
    <x v="31"/>
    <x v="9"/>
    <x v="18"/>
    <s v="Pittsburgh Steelers"/>
    <n v="0"/>
    <n v="0"/>
    <n v="0"/>
    <n v="0"/>
    <n v="0"/>
    <n v="0"/>
    <n v="0"/>
    <n v="0"/>
    <n v="41"/>
    <n v="620"/>
    <n v="6"/>
    <n v="0"/>
    <n v="59.25"/>
    <x v="8"/>
    <x v="3"/>
  </r>
  <r>
    <x v="0"/>
    <x v="4"/>
    <n v="53"/>
    <x v="2"/>
    <x v="33"/>
    <d v="2000-05-02T00:00:00"/>
    <x v="32"/>
    <x v="9"/>
    <x v="4"/>
    <s v="Indianapolis Colts"/>
    <n v="0"/>
    <n v="0"/>
    <n v="0"/>
    <n v="0"/>
    <n v="0"/>
    <n v="0"/>
    <n v="0"/>
    <n v="0"/>
    <n v="69"/>
    <n v="1199"/>
    <n v="11"/>
    <n v="0"/>
    <n v="110.2"/>
    <x v="1"/>
    <x v="1"/>
  </r>
  <r>
    <x v="0"/>
    <x v="4"/>
    <n v="54"/>
    <x v="2"/>
    <x v="34"/>
    <d v="2000-09-10T00:00:00"/>
    <x v="33"/>
    <x v="6"/>
    <x v="10"/>
    <s v="Kansas City Chiefs"/>
    <n v="0"/>
    <n v="0"/>
    <n v="0"/>
    <n v="0"/>
    <n v="0"/>
    <n v="2"/>
    <n v="10"/>
    <n v="0"/>
    <n v="120"/>
    <n v="1680"/>
    <n v="13"/>
    <n v="0"/>
    <n v="153.5"/>
    <x v="25"/>
    <x v="9"/>
  </r>
  <r>
    <x v="0"/>
    <x v="1"/>
    <n v="71"/>
    <x v="2"/>
    <x v="35"/>
    <d v="1997-05-11T00:00:00"/>
    <x v="34"/>
    <x v="5"/>
    <x v="18"/>
    <s v="Chicago Bears"/>
    <n v="0"/>
    <n v="0"/>
    <n v="0"/>
    <n v="0"/>
    <n v="0"/>
    <n v="4"/>
    <n v="31"/>
    <n v="0"/>
    <n v="83"/>
    <n v="1087"/>
    <n v="10"/>
    <n v="0"/>
    <n v="106.65"/>
    <x v="26"/>
    <x v="3"/>
  </r>
  <r>
    <x v="0"/>
    <x v="1"/>
    <n v="88"/>
    <x v="2"/>
    <x v="36"/>
    <d v="1999-02-27T00:00:00"/>
    <x v="35"/>
    <x v="2"/>
    <x v="10"/>
    <s v="Dallas Cowboys"/>
    <n v="0"/>
    <n v="0"/>
    <n v="0"/>
    <n v="0"/>
    <n v="0"/>
    <n v="0"/>
    <n v="0"/>
    <n v="0"/>
    <n v="146"/>
    <n v="2559"/>
    <n v="16"/>
    <n v="0"/>
    <n v="212.45"/>
    <x v="27"/>
    <x v="10"/>
  </r>
  <r>
    <x v="0"/>
    <x v="1"/>
    <n v="99"/>
    <x v="2"/>
    <x v="37"/>
    <d v="2000-12-14T00:00:00"/>
    <x v="36"/>
    <x v="2"/>
    <x v="4"/>
    <s v="Cleveland Browns"/>
    <n v="0"/>
    <n v="0"/>
    <n v="0"/>
    <n v="0"/>
    <n v="0"/>
    <n v="6"/>
    <n v="51"/>
    <n v="1"/>
    <n v="146"/>
    <n v="1911"/>
    <n v="14"/>
    <n v="0"/>
    <n v="179.6"/>
    <x v="28"/>
    <x v="6"/>
  </r>
  <r>
    <x v="0"/>
    <x v="4"/>
    <n v="55"/>
    <x v="3"/>
    <x v="38"/>
    <d v="1999-11-22T00:00:00"/>
    <x v="37"/>
    <x v="1"/>
    <x v="19"/>
    <s v="Arizona Cardinals"/>
    <n v="0"/>
    <n v="0"/>
    <n v="0"/>
    <n v="0"/>
    <n v="0"/>
    <n v="0"/>
    <n v="0"/>
    <n v="0"/>
    <n v="112"/>
    <n v="1451"/>
    <n v="5"/>
    <n v="0"/>
    <n v="129.55000000000001"/>
    <x v="29"/>
    <x v="11"/>
  </r>
  <r>
    <x v="0"/>
    <x v="1"/>
    <n v="73"/>
    <x v="3"/>
    <x v="39"/>
    <d v="1998-10-09T00:00:00"/>
    <x v="38"/>
    <x v="10"/>
    <x v="20"/>
    <s v="Indianapolis Colts"/>
    <n v="0"/>
    <n v="0"/>
    <n v="0"/>
    <n v="0"/>
    <n v="0"/>
    <n v="2"/>
    <n v="6"/>
    <n v="0"/>
    <n v="52"/>
    <n v="727"/>
    <n v="9"/>
    <n v="0"/>
    <n v="83.15"/>
    <x v="30"/>
    <x v="0"/>
  </r>
  <r>
    <x v="0"/>
    <x v="1"/>
    <n v="80"/>
    <x v="3"/>
    <x v="40"/>
    <d v="2000-03-26T00:00:00"/>
    <x v="39"/>
    <x v="1"/>
    <x v="21"/>
    <s v="Denver Broncos"/>
    <n v="0"/>
    <n v="0"/>
    <n v="0"/>
    <n v="0"/>
    <n v="0"/>
    <n v="0"/>
    <n v="0"/>
    <n v="0"/>
    <n v="68"/>
    <n v="1242"/>
    <n v="10"/>
    <n v="0"/>
    <n v="117.6"/>
    <x v="31"/>
    <x v="7"/>
  </r>
  <r>
    <x v="0"/>
    <x v="1"/>
    <n v="101"/>
    <x v="3"/>
    <x v="41"/>
    <d v="2000-08-11T00:00:00"/>
    <x v="40"/>
    <x v="11"/>
    <x v="22"/>
    <s v="New York Jets"/>
    <n v="0"/>
    <n v="0"/>
    <n v="0"/>
    <n v="0"/>
    <n v="0"/>
    <n v="0"/>
    <n v="0"/>
    <n v="0"/>
    <n v="36"/>
    <n v="435"/>
    <n v="8"/>
    <n v="0"/>
    <n v="59.25"/>
    <x v="19"/>
    <x v="6"/>
  </r>
  <r>
    <x v="0"/>
    <x v="2"/>
    <n v="106"/>
    <x v="3"/>
    <x v="42"/>
    <d v="1999-04-15T00:00:00"/>
    <x v="41"/>
    <x v="11"/>
    <x v="22"/>
    <s v="Tampa Bay Buccaneers"/>
    <n v="0"/>
    <n v="0"/>
    <n v="0"/>
    <n v="0"/>
    <n v="0"/>
    <n v="0"/>
    <n v="0"/>
    <n v="0"/>
    <n v="46"/>
    <n v="508"/>
    <n v="4"/>
    <n v="0"/>
    <n v="54.65"/>
    <x v="32"/>
    <x v="7"/>
  </r>
  <r>
    <x v="0"/>
    <x v="2"/>
    <n v="112"/>
    <x v="3"/>
    <x v="43"/>
    <d v="2000-09-22T00:00:00"/>
    <x v="42"/>
    <x v="11"/>
    <x v="20"/>
    <s v="New York Giants"/>
    <n v="0"/>
    <n v="0"/>
    <n v="0"/>
    <n v="0"/>
    <n v="0"/>
    <n v="1"/>
    <n v="2"/>
    <n v="0"/>
    <n v="50"/>
    <n v="547"/>
    <n v="2"/>
    <n v="0"/>
    <n v="52.2"/>
    <x v="33"/>
    <x v="11"/>
  </r>
  <r>
    <x v="0"/>
    <x v="2"/>
    <n v="128"/>
    <x v="3"/>
    <x v="44"/>
    <d v="1999-02-10T00:00:00"/>
    <x v="43"/>
    <x v="12"/>
    <x v="23"/>
    <s v="Baltimore Ravens"/>
    <n v="0"/>
    <n v="0"/>
    <n v="0"/>
    <n v="0"/>
    <n v="0"/>
    <n v="0"/>
    <n v="0"/>
    <n v="0"/>
    <n v="102"/>
    <n v="1314"/>
    <n v="12"/>
    <n v="0"/>
    <n v="139.94999999999999"/>
    <x v="6"/>
    <x v="5"/>
  </r>
  <r>
    <x v="0"/>
    <x v="2"/>
    <n v="129"/>
    <x v="3"/>
    <x v="45"/>
    <d v="1999-01-18T00:00:00"/>
    <x v="44"/>
    <x v="11"/>
    <x v="21"/>
    <s v="Dallas Cowboys"/>
    <n v="0"/>
    <n v="0"/>
    <n v="0"/>
    <n v="0"/>
    <n v="0"/>
    <n v="0"/>
    <n v="0"/>
    <n v="0"/>
    <n v="73"/>
    <n v="722"/>
    <n v="6"/>
    <n v="0"/>
    <n v="81.474999999999994"/>
    <x v="34"/>
    <x v="6"/>
  </r>
  <r>
    <x v="0"/>
    <x v="2"/>
    <n v="139"/>
    <x v="3"/>
    <x v="46"/>
    <d v="2000-04-18T00:00:00"/>
    <x v="45"/>
    <x v="1"/>
    <x v="24"/>
    <s v="Baltimore Ravens"/>
    <n v="0"/>
    <n v="0"/>
    <n v="0"/>
    <n v="0"/>
    <n v="0"/>
    <n v="3"/>
    <n v="10"/>
    <n v="0"/>
    <n v="82"/>
    <n v="1417"/>
    <n v="15"/>
    <n v="0"/>
    <n v="147.1"/>
    <x v="35"/>
    <x v="10"/>
  </r>
  <r>
    <x v="0"/>
    <x v="2"/>
    <n v="143"/>
    <x v="3"/>
    <x v="47"/>
    <d v="1999-09-08T00:00:00"/>
    <x v="46"/>
    <x v="9"/>
    <x v="24"/>
    <s v="Tennessee Titans"/>
    <n v="0"/>
    <n v="0"/>
    <n v="0"/>
    <n v="0"/>
    <n v="0"/>
    <n v="0"/>
    <n v="0"/>
    <n v="0"/>
    <n v="49"/>
    <n v="433"/>
    <n v="5"/>
    <n v="0"/>
    <n v="55.024999999999999"/>
    <x v="36"/>
    <x v="6"/>
  </r>
  <r>
    <x v="1"/>
    <x v="0"/>
    <n v="1"/>
    <x v="0"/>
    <x v="48"/>
    <d v="2001-07-25T00:00:00"/>
    <x v="47"/>
    <x v="6"/>
    <x v="10"/>
    <s v="Carolina Panthers"/>
    <n v="65.75"/>
    <n v="8200"/>
    <n v="79"/>
    <n v="12"/>
    <n v="165.3"/>
    <n v="130"/>
    <n v="185"/>
    <n v="7"/>
    <n v="0"/>
    <n v="0"/>
    <n v="0"/>
    <n v="0"/>
    <n v="340.25"/>
    <x v="11"/>
    <x v="3"/>
  </r>
  <r>
    <x v="1"/>
    <x v="0"/>
    <n v="2"/>
    <x v="0"/>
    <x v="49"/>
    <d v="2001-10-03T00:00:00"/>
    <x v="48"/>
    <x v="0"/>
    <x v="6"/>
    <s v="Houston Texans"/>
    <n v="69.3"/>
    <n v="7775"/>
    <n v="81"/>
    <n v="12"/>
    <n v="187.2"/>
    <n v="68"/>
    <n v="102"/>
    <n v="1"/>
    <n v="0"/>
    <n v="0"/>
    <n v="0"/>
    <n v="0"/>
    <n v="313.60000000000002"/>
    <x v="19"/>
    <x v="6"/>
  </r>
  <r>
    <x v="1"/>
    <x v="0"/>
    <n v="4"/>
    <x v="0"/>
    <x v="50"/>
    <d v="2002-05-22T00:00:00"/>
    <x v="49"/>
    <x v="1"/>
    <x v="25"/>
    <s v="Indianapolis Colts"/>
    <n v="56.599999999999994"/>
    <n v="3078"/>
    <n v="23"/>
    <n v="14"/>
    <n v="137.55000000000001"/>
    <n v="154"/>
    <n v="1055"/>
    <n v="12"/>
    <n v="0"/>
    <n v="0"/>
    <n v="0"/>
    <n v="0"/>
    <n v="182.31"/>
    <x v="12"/>
    <x v="3"/>
  </r>
  <r>
    <x v="1"/>
    <x v="4"/>
    <n v="33"/>
    <x v="0"/>
    <x v="51"/>
    <d v="1999-06-27T00:00:00"/>
    <x v="50"/>
    <x v="1"/>
    <x v="26"/>
    <s v="Tennessee Titans"/>
    <n v="65.7"/>
    <n v="5232"/>
    <n v="43"/>
    <n v="23"/>
    <n v="150.10000000000002"/>
    <n v="179"/>
    <n v="269"/>
    <n v="11"/>
    <n v="0"/>
    <n v="0"/>
    <n v="0"/>
    <n v="0"/>
    <n v="214.08999999999997"/>
    <x v="23"/>
    <x v="3"/>
  </r>
  <r>
    <x v="1"/>
    <x v="1"/>
    <n v="68"/>
    <x v="0"/>
    <x v="52"/>
    <d v="1998-01-13T00:00:00"/>
    <x v="51"/>
    <x v="1"/>
    <x v="8"/>
    <s v="Detroit Lions"/>
    <n v="69.099999999999994"/>
    <n v="6080"/>
    <n v="58"/>
    <n v="5"/>
    <n v="185.95"/>
    <n v="270"/>
    <n v="1046"/>
    <n v="10"/>
    <n v="0"/>
    <n v="0"/>
    <n v="0"/>
    <n v="0"/>
    <n v="314.89999999999998"/>
    <x v="26"/>
    <x v="3"/>
  </r>
  <r>
    <x v="1"/>
    <x v="2"/>
    <n v="127"/>
    <x v="0"/>
    <x v="53"/>
    <d v="1999-03-10T00:00:00"/>
    <x v="52"/>
    <x v="2"/>
    <x v="18"/>
    <s v="New Orleans Saints"/>
    <n v="70.05"/>
    <n v="6426"/>
    <n v="50"/>
    <n v="12"/>
    <n v="158.94999999999999"/>
    <n v="108"/>
    <n v="-108"/>
    <n v="5"/>
    <n v="0"/>
    <n v="0"/>
    <n v="0"/>
    <n v="0"/>
    <n v="226.12"/>
    <x v="37"/>
    <x v="11"/>
  </r>
  <r>
    <x v="1"/>
    <x v="2"/>
    <n v="128"/>
    <x v="0"/>
    <x v="54"/>
    <d v="1997-10-28T00:00:00"/>
    <x v="53"/>
    <x v="3"/>
    <x v="5"/>
    <s v="Los Angeles Rams"/>
    <n v="66.400000000000006"/>
    <n v="6986"/>
    <n v="56"/>
    <n v="14"/>
    <n v="168.89999999999998"/>
    <n v="113"/>
    <n v="464"/>
    <n v="11"/>
    <n v="0"/>
    <n v="0"/>
    <n v="0"/>
    <n v="0"/>
    <n v="293.92"/>
    <x v="8"/>
    <x v="3"/>
  </r>
  <r>
    <x v="1"/>
    <x v="2"/>
    <n v="135"/>
    <x v="0"/>
    <x v="55"/>
    <d v="1998-09-01T00:00:00"/>
    <x v="54"/>
    <x v="9"/>
    <x v="9"/>
    <s v="Las Vegas Raiders"/>
    <n v="67.849999999999994"/>
    <n v="7202"/>
    <n v="50"/>
    <n v="24"/>
    <n v="145.35"/>
    <n v="68"/>
    <n v="-201"/>
    <n v="2"/>
    <n v="0"/>
    <n v="0"/>
    <n v="0"/>
    <n v="0"/>
    <n v="215.98999999999998"/>
    <x v="28"/>
    <x v="6"/>
  </r>
  <r>
    <x v="1"/>
    <x v="0"/>
    <n v="8"/>
    <x v="1"/>
    <x v="56"/>
    <d v="2002-01-30T00:00:00"/>
    <x v="55"/>
    <x v="5"/>
    <x v="3"/>
    <s v="Atlanta Falcons"/>
    <n v="0"/>
    <n v="0"/>
    <n v="0"/>
    <n v="0"/>
    <n v="0"/>
    <n v="453"/>
    <n v="2707"/>
    <n v="29"/>
    <n v="45"/>
    <n v="609"/>
    <n v="6"/>
    <n v="0"/>
    <n v="282.05"/>
    <x v="38"/>
    <x v="5"/>
  </r>
  <r>
    <x v="1"/>
    <x v="0"/>
    <n v="12"/>
    <x v="1"/>
    <x v="57"/>
    <d v="2002-03-20T00:00:00"/>
    <x v="56"/>
    <x v="3"/>
    <x v="18"/>
    <s v="Detroit Lions"/>
    <n v="0"/>
    <n v="0"/>
    <n v="0"/>
    <n v="0"/>
    <n v="0"/>
    <n v="294"/>
    <n v="1672"/>
    <n v="11"/>
    <n v="79"/>
    <n v="909"/>
    <n v="5"/>
    <n v="0"/>
    <n v="196.8"/>
    <x v="11"/>
    <x v="3"/>
  </r>
  <r>
    <x v="1"/>
    <x v="4"/>
    <n v="52"/>
    <x v="1"/>
    <x v="58"/>
    <d v="2001-01-08T00:00:00"/>
    <x v="57"/>
    <x v="2"/>
    <x v="8"/>
    <s v="Seattle Seahawks"/>
    <n v="0"/>
    <n v="0"/>
    <n v="0"/>
    <n v="0"/>
    <n v="0"/>
    <n v="397"/>
    <n v="2496"/>
    <n v="27"/>
    <n v="61"/>
    <n v="518"/>
    <n v="0"/>
    <n v="0"/>
    <n v="246.95000000000002"/>
    <x v="31"/>
    <x v="7"/>
  </r>
  <r>
    <x v="1"/>
    <x v="1"/>
    <n v="71"/>
    <x v="1"/>
    <x v="59"/>
    <d v="2002-06-11T00:00:00"/>
    <x v="58"/>
    <x v="5"/>
    <x v="3"/>
    <s v="New Orleans Saints"/>
    <n v="0"/>
    <n v="0"/>
    <n v="0"/>
    <n v="0"/>
    <n v="0"/>
    <n v="307"/>
    <n v="2022"/>
    <n v="24"/>
    <n v="28"/>
    <n v="233"/>
    <n v="1"/>
    <n v="0"/>
    <n v="194.75"/>
    <x v="39"/>
    <x v="5"/>
  </r>
  <r>
    <x v="1"/>
    <x v="1"/>
    <n v="81"/>
    <x v="1"/>
    <x v="60"/>
    <d v="2001-06-15T00:00:00"/>
    <x v="59"/>
    <x v="3"/>
    <x v="10"/>
    <s v="Tennessee Titans"/>
    <n v="0"/>
    <n v="0"/>
    <n v="0"/>
    <n v="0"/>
    <n v="0"/>
    <n v="358"/>
    <n v="2444"/>
    <n v="28"/>
    <n v="41"/>
    <n v="401"/>
    <n v="2"/>
    <n v="0"/>
    <n v="242.5"/>
    <x v="40"/>
    <x v="1"/>
  </r>
  <r>
    <x v="1"/>
    <x v="1"/>
    <n v="84"/>
    <x v="1"/>
    <x v="61"/>
    <d v="2001-10-13T00:00:00"/>
    <x v="60"/>
    <x v="4"/>
    <x v="17"/>
    <s v="Miami Dolphins"/>
    <n v="0"/>
    <n v="0"/>
    <n v="0"/>
    <n v="0"/>
    <n v="0"/>
    <n v="326"/>
    <n v="2012"/>
    <n v="17"/>
    <n v="60"/>
    <n v="457"/>
    <n v="4"/>
    <n v="0"/>
    <n v="201.45"/>
    <x v="13"/>
    <x v="3"/>
  </r>
  <r>
    <x v="1"/>
    <x v="1"/>
    <n v="88"/>
    <x v="1"/>
    <x v="62"/>
    <d v="2001-08-30T00:00:00"/>
    <x v="61"/>
    <x v="5"/>
    <x v="6"/>
    <s v="Jacksonville Jaguars"/>
    <n v="0"/>
    <n v="0"/>
    <n v="0"/>
    <n v="0"/>
    <n v="0"/>
    <n v="402"/>
    <n v="2069"/>
    <n v="20"/>
    <n v="51"/>
    <n v="364"/>
    <n v="0"/>
    <n v="0"/>
    <n v="194.39999999999998"/>
    <x v="41"/>
    <x v="3"/>
  </r>
  <r>
    <x v="1"/>
    <x v="2"/>
    <n v="115"/>
    <x v="1"/>
    <x v="63"/>
    <d v="2001-01-31T00:00:00"/>
    <x v="62"/>
    <x v="5"/>
    <x v="0"/>
    <s v="Chicago Bears"/>
    <n v="0"/>
    <n v="0"/>
    <n v="0"/>
    <n v="0"/>
    <n v="0"/>
    <n v="3"/>
    <n v="1123"/>
    <n v="10"/>
    <n v="25"/>
    <n v="211"/>
    <n v="1"/>
    <n v="0"/>
    <n v="105.95"/>
    <x v="38"/>
    <x v="5"/>
  </r>
  <r>
    <x v="1"/>
    <x v="3"/>
    <n v="143"/>
    <x v="1"/>
    <x v="64"/>
    <d v="2002-10-05T00:00:00"/>
    <x v="63"/>
    <x v="3"/>
    <x v="1"/>
    <s v="New York Jets"/>
    <n v="0"/>
    <n v="0"/>
    <n v="0"/>
    <n v="0"/>
    <n v="0"/>
    <n v="362"/>
    <n v="2082"/>
    <n v="27"/>
    <n v="36"/>
    <n v="343"/>
    <n v="2"/>
    <n v="0"/>
    <n v="217.25"/>
    <x v="0"/>
    <x v="0"/>
  </r>
  <r>
    <x v="1"/>
    <x v="3"/>
    <n v="163"/>
    <x v="1"/>
    <x v="65"/>
    <d v="2000-03-21T00:00:00"/>
    <x v="11"/>
    <x v="4"/>
    <x v="1"/>
    <s v="Cincinnati Bengals"/>
    <n v="0"/>
    <n v="0"/>
    <n v="0"/>
    <n v="0"/>
    <n v="0"/>
    <n v="498"/>
    <n v="2648"/>
    <n v="15"/>
    <n v="41"/>
    <n v="382"/>
    <n v="3"/>
    <n v="0"/>
    <n v="215.75"/>
    <x v="42"/>
    <x v="6"/>
  </r>
  <r>
    <x v="1"/>
    <x v="3"/>
    <n v="172"/>
    <x v="1"/>
    <x v="66"/>
    <d v="1999-11-04T00:00:00"/>
    <x v="64"/>
    <x v="6"/>
    <x v="9"/>
    <s v="New York Giants"/>
    <n v="0"/>
    <n v="0"/>
    <n v="0"/>
    <n v="0"/>
    <n v="0"/>
    <n v="291"/>
    <n v="1778"/>
    <n v="13"/>
    <n v="56"/>
    <n v="458"/>
    <n v="2"/>
    <n v="0"/>
    <n v="170.8"/>
    <x v="43"/>
    <x v="5"/>
  </r>
  <r>
    <x v="1"/>
    <x v="3"/>
    <n v="176"/>
    <x v="1"/>
    <x v="67"/>
    <d v="2000-10-26T00:00:00"/>
    <x v="65"/>
    <x v="3"/>
    <x v="9"/>
    <s v="Indianapolis Colts"/>
    <n v="0"/>
    <n v="0"/>
    <n v="0"/>
    <n v="0"/>
    <n v="0"/>
    <n v="417"/>
    <n v="1922"/>
    <n v="12"/>
    <n v="88"/>
    <n v="810"/>
    <n v="4"/>
    <n v="0"/>
    <n v="206.6"/>
    <x v="44"/>
    <x v="6"/>
  </r>
  <r>
    <x v="1"/>
    <x v="5"/>
    <n v="193"/>
    <x v="1"/>
    <x v="68"/>
    <d v="2000-09-26T00:00:00"/>
    <x v="66"/>
    <x v="3"/>
    <x v="15"/>
    <s v="Washington Commanders"/>
    <n v="0"/>
    <n v="0"/>
    <n v="0"/>
    <n v="0"/>
    <n v="0"/>
    <n v="400"/>
    <n v="2283"/>
    <n v="15"/>
    <n v="18"/>
    <n v="102"/>
    <n v="3"/>
    <n v="0"/>
    <n v="177.75"/>
    <x v="23"/>
    <x v="3"/>
  </r>
  <r>
    <x v="1"/>
    <x v="5"/>
    <n v="212"/>
    <x v="1"/>
    <x v="69"/>
    <d v="2001-11-02T00:00:00"/>
    <x v="67"/>
    <x v="13"/>
    <x v="27"/>
    <s v="Dallas Cowboys"/>
    <n v="0"/>
    <n v="0"/>
    <n v="0"/>
    <n v="0"/>
    <n v="0"/>
    <n v="480"/>
    <n v="2699"/>
    <n v="25"/>
    <n v="89"/>
    <n v="816"/>
    <n v="4"/>
    <n v="0"/>
    <n v="285"/>
    <x v="45"/>
    <x v="5"/>
  </r>
  <r>
    <x v="1"/>
    <x v="5"/>
    <n v="215"/>
    <x v="1"/>
    <x v="70"/>
    <d v="2001-05-30T00:00:00"/>
    <x v="68"/>
    <x v="5"/>
    <x v="1"/>
    <s v="Los Angeles Rams"/>
    <n v="0"/>
    <n v="0"/>
    <n v="0"/>
    <n v="0"/>
    <n v="0"/>
    <n v="236"/>
    <n v="1584"/>
    <n v="14"/>
    <n v="22"/>
    <n v="249"/>
    <n v="2"/>
    <n v="0"/>
    <n v="145.15"/>
    <x v="3"/>
    <x v="3"/>
  </r>
  <r>
    <x v="1"/>
    <x v="6"/>
    <n v="222"/>
    <x v="1"/>
    <x v="71"/>
    <d v="2001-07-08T00:00:00"/>
    <x v="69"/>
    <x v="3"/>
    <x v="1"/>
    <s v="Minnesota Vikings"/>
    <n v="0"/>
    <n v="0"/>
    <n v="0"/>
    <n v="0"/>
    <n v="0"/>
    <n v="437"/>
    <n v="3084"/>
    <n v="32"/>
    <n v="5"/>
    <n v="29"/>
    <n v="0"/>
    <n v="11"/>
    <n v="241.89999999999998"/>
    <x v="46"/>
    <x v="4"/>
  </r>
  <r>
    <x v="1"/>
    <x v="6"/>
    <n v="235"/>
    <x v="1"/>
    <x v="72"/>
    <d v="2001-08-16T00:00:00"/>
    <x v="70"/>
    <x v="6"/>
    <x v="3"/>
    <s v="Green Bay Packers"/>
    <n v="0"/>
    <n v="0"/>
    <n v="0"/>
    <n v="0"/>
    <n v="0"/>
    <n v="517"/>
    <n v="2464"/>
    <n v="22"/>
    <n v="61"/>
    <n v="466"/>
    <n v="2"/>
    <n v="0"/>
    <n v="233.75"/>
    <x v="47"/>
    <x v="9"/>
  </r>
  <r>
    <x v="1"/>
    <x v="6"/>
    <n v="237"/>
    <x v="1"/>
    <x v="73"/>
    <d v="2000-03-03T00:00:00"/>
    <x v="71"/>
    <x v="5"/>
    <x v="9"/>
    <s v="Seattle Seahawks"/>
    <n v="0"/>
    <n v="0"/>
    <n v="0"/>
    <n v="0"/>
    <n v="0"/>
    <n v="194"/>
    <n v="1037"/>
    <n v="13"/>
    <n v="59"/>
    <n v="692"/>
    <n v="3"/>
    <n v="0"/>
    <n v="149.19999999999999"/>
    <x v="8"/>
    <x v="3"/>
  </r>
  <r>
    <x v="1"/>
    <x v="0"/>
    <n v="20"/>
    <x v="2"/>
    <x v="74"/>
    <d v="2002-02-14T00:00:00"/>
    <x v="72"/>
    <x v="5"/>
    <x v="28"/>
    <s v="Seattle Seahawks"/>
    <n v="0"/>
    <n v="0"/>
    <n v="0"/>
    <n v="0"/>
    <n v="0"/>
    <n v="0"/>
    <n v="0"/>
    <n v="0"/>
    <n v="100"/>
    <n v="1649"/>
    <n v="9"/>
    <n v="0"/>
    <n v="134.44999999999999"/>
    <x v="19"/>
    <x v="6"/>
  </r>
  <r>
    <x v="1"/>
    <x v="0"/>
    <n v="21"/>
    <x v="2"/>
    <x v="75"/>
    <d v="2001-09-06T00:00:00"/>
    <x v="73"/>
    <x v="7"/>
    <x v="16"/>
    <s v="Los Angeles Chargers"/>
    <n v="0"/>
    <n v="0"/>
    <n v="0"/>
    <n v="0"/>
    <n v="0"/>
    <n v="5"/>
    <n v="5"/>
    <n v="0"/>
    <n v="93"/>
    <n v="1681"/>
    <n v="12"/>
    <n v="0"/>
    <n v="143.55000000000001"/>
    <x v="39"/>
    <x v="5"/>
  </r>
  <r>
    <x v="1"/>
    <x v="0"/>
    <n v="22"/>
    <x v="2"/>
    <x v="76"/>
    <d v="2000-09-11T00:00:00"/>
    <x v="74"/>
    <x v="6"/>
    <x v="14"/>
    <s v="Baltimore Ravens"/>
    <n v="0"/>
    <n v="0"/>
    <n v="0"/>
    <n v="0"/>
    <n v="0"/>
    <n v="19"/>
    <n v="109"/>
    <n v="0"/>
    <n v="122"/>
    <n v="1823"/>
    <n v="17"/>
    <n v="0"/>
    <n v="178.10000000000002"/>
    <x v="48"/>
    <x v="0"/>
  </r>
  <r>
    <x v="1"/>
    <x v="0"/>
    <n v="23"/>
    <x v="2"/>
    <x v="77"/>
    <d v="2002-01-27T00:00:00"/>
    <x v="75"/>
    <x v="5"/>
    <x v="29"/>
    <s v="Minnesota Vikings"/>
    <n v="0"/>
    <n v="0"/>
    <n v="0"/>
    <n v="0"/>
    <n v="0"/>
    <n v="10"/>
    <n v="61"/>
    <n v="1"/>
    <n v="159"/>
    <n v="2468"/>
    <n v="11"/>
    <n v="0"/>
    <n v="202.2"/>
    <x v="18"/>
    <x v="7"/>
  </r>
  <r>
    <x v="1"/>
    <x v="4"/>
    <n v="39"/>
    <x v="2"/>
    <x v="78"/>
    <d v="2001-04-20T00:00:00"/>
    <x v="76"/>
    <x v="7"/>
    <x v="7"/>
    <s v="Carolina Panthers"/>
    <n v="0"/>
    <n v="0"/>
    <n v="0"/>
    <n v="0"/>
    <n v="0"/>
    <n v="4"/>
    <n v="-7"/>
    <n v="1"/>
    <n v="73"/>
    <n v="1207"/>
    <n v="8"/>
    <n v="0"/>
    <n v="105.25"/>
    <x v="3"/>
    <x v="3"/>
  </r>
  <r>
    <x v="1"/>
    <x v="4"/>
    <n v="50"/>
    <x v="2"/>
    <x v="79"/>
    <d v="2000-04-28T00:00:00"/>
    <x v="77"/>
    <x v="5"/>
    <x v="17"/>
    <s v="Green Bay Packers"/>
    <n v="0"/>
    <n v="0"/>
    <n v="0"/>
    <n v="0"/>
    <n v="0"/>
    <n v="11"/>
    <n v="45"/>
    <n v="1"/>
    <n v="114"/>
    <n v="1662"/>
    <n v="15"/>
    <n v="0"/>
    <n v="161.85"/>
    <x v="7"/>
    <x v="6"/>
  </r>
  <r>
    <x v="1"/>
    <x v="4"/>
    <n v="55"/>
    <x v="2"/>
    <x v="80"/>
    <d v="2000-04-22T00:00:00"/>
    <x v="4"/>
    <x v="14"/>
    <x v="18"/>
    <s v="Kansas City Chiefs"/>
    <n v="0"/>
    <n v="0"/>
    <n v="0"/>
    <n v="0"/>
    <n v="0"/>
    <n v="0"/>
    <n v="0"/>
    <n v="0"/>
    <n v="160"/>
    <n v="2025"/>
    <n v="19"/>
    <n v="0"/>
    <n v="198.25"/>
    <x v="49"/>
    <x v="1"/>
  </r>
  <r>
    <x v="1"/>
    <x v="4"/>
    <n v="63"/>
    <x v="2"/>
    <x v="81"/>
    <d v="2002-03-19T00:00:00"/>
    <x v="78"/>
    <x v="3"/>
    <x v="27"/>
    <s v="Denver Broncos"/>
    <n v="0"/>
    <n v="0"/>
    <n v="0"/>
    <n v="0"/>
    <n v="0"/>
    <n v="3"/>
    <n v="18"/>
    <n v="0"/>
    <n v="86"/>
    <n v="1788"/>
    <n v="11"/>
    <n v="0"/>
    <n v="144.80000000000001"/>
    <x v="43"/>
    <x v="5"/>
  </r>
  <r>
    <x v="1"/>
    <x v="1"/>
    <n v="69"/>
    <x v="2"/>
    <x v="82"/>
    <d v="1999-10-29T00:00:00"/>
    <x v="79"/>
    <x v="6"/>
    <x v="30"/>
    <s v="Houston Texans"/>
    <n v="0"/>
    <n v="0"/>
    <n v="0"/>
    <n v="0"/>
    <n v="0"/>
    <n v="5"/>
    <n v="14"/>
    <n v="0"/>
    <n v="199"/>
    <n v="2727"/>
    <n v="29"/>
    <n v="0"/>
    <n v="273.8"/>
    <x v="50"/>
    <x v="1"/>
  </r>
  <r>
    <x v="1"/>
    <x v="1"/>
    <n v="73"/>
    <x v="2"/>
    <x v="83"/>
    <d v="2001-09-25T00:00:00"/>
    <x v="80"/>
    <x v="5"/>
    <x v="17"/>
    <s v="New York Giants"/>
    <n v="0"/>
    <n v="0"/>
    <n v="0"/>
    <n v="0"/>
    <n v="0"/>
    <n v="2"/>
    <n v="10"/>
    <n v="0"/>
    <n v="85"/>
    <n v="1458"/>
    <n v="16"/>
    <n v="0"/>
    <n v="142.65"/>
    <x v="26"/>
    <x v="3"/>
  </r>
  <r>
    <x v="1"/>
    <x v="1"/>
    <n v="74"/>
    <x v="2"/>
    <x v="84"/>
    <d v="2000-04-19T00:00:00"/>
    <x v="81"/>
    <x v="9"/>
    <x v="1"/>
    <s v="Cleveland Browns"/>
    <n v="0"/>
    <n v="0"/>
    <n v="0"/>
    <n v="0"/>
    <n v="0"/>
    <n v="0"/>
    <n v="0"/>
    <n v="0"/>
    <n v="94"/>
    <n v="1348"/>
    <n v="12"/>
    <n v="0"/>
    <n v="126.9"/>
    <x v="26"/>
    <x v="3"/>
  </r>
  <r>
    <x v="1"/>
    <x v="1"/>
    <n v="79"/>
    <x v="2"/>
    <x v="85"/>
    <d v="2001-08-12T00:00:00"/>
    <x v="40"/>
    <x v="6"/>
    <x v="29"/>
    <s v="Indianapolis Colts"/>
    <n v="0"/>
    <n v="0"/>
    <n v="0"/>
    <n v="0"/>
    <n v="0"/>
    <n v="0"/>
    <n v="0"/>
    <n v="0"/>
    <n v="192"/>
    <n v="2302"/>
    <n v="19"/>
    <n v="0"/>
    <n v="220.1"/>
    <x v="5"/>
    <x v="0"/>
  </r>
  <r>
    <x v="1"/>
    <x v="1"/>
    <n v="94"/>
    <x v="2"/>
    <x v="86"/>
    <d v="2000-02-23T00:00:00"/>
    <x v="35"/>
    <x v="7"/>
    <x v="9"/>
    <s v="Arizona Cardinals"/>
    <n v="0"/>
    <n v="0"/>
    <n v="0"/>
    <n v="0"/>
    <n v="0"/>
    <n v="4"/>
    <n v="47"/>
    <n v="0"/>
    <n v="45"/>
    <n v="603"/>
    <n v="4"/>
    <n v="0"/>
    <n v="55.75"/>
    <x v="51"/>
    <x v="7"/>
  </r>
  <r>
    <x v="1"/>
    <x v="1"/>
    <n v="100"/>
    <x v="2"/>
    <x v="87"/>
    <d v="2001-03-08T00:00:00"/>
    <x v="82"/>
    <x v="4"/>
    <x v="14"/>
    <s v="Las Vegas Raiders"/>
    <n v="0"/>
    <n v="0"/>
    <n v="0"/>
    <n v="0"/>
    <n v="0"/>
    <n v="3"/>
    <n v="20"/>
    <n v="0"/>
    <n v="84"/>
    <n v="1086"/>
    <n v="5"/>
    <n v="0"/>
    <n v="91.3"/>
    <x v="1"/>
    <x v="1"/>
  </r>
  <r>
    <x v="1"/>
    <x v="2"/>
    <n v="125"/>
    <x v="2"/>
    <x v="88"/>
    <d v="2000-09-11T00:00:00"/>
    <x v="74"/>
    <x v="8"/>
    <x v="31"/>
    <s v="Los Angeles Chargers"/>
    <n v="0"/>
    <n v="0"/>
    <n v="0"/>
    <n v="0"/>
    <n v="0"/>
    <n v="12"/>
    <n v="70"/>
    <n v="2"/>
    <n v="71"/>
    <n v="936"/>
    <n v="6"/>
    <n v="0"/>
    <n v="92.05"/>
    <x v="39"/>
    <x v="5"/>
  </r>
  <r>
    <x v="1"/>
    <x v="2"/>
    <n v="131"/>
    <x v="2"/>
    <x v="89"/>
    <d v="1998-10-29T00:00:00"/>
    <x v="83"/>
    <x v="5"/>
    <x v="12"/>
    <s v="Cincinnati Bengals"/>
    <n v="0"/>
    <n v="0"/>
    <n v="0"/>
    <n v="0"/>
    <n v="0"/>
    <n v="9"/>
    <n v="11"/>
    <n v="0"/>
    <n v="131"/>
    <n v="1684"/>
    <n v="15"/>
    <n v="0"/>
    <n v="162.5"/>
    <x v="28"/>
    <x v="6"/>
  </r>
  <r>
    <x v="1"/>
    <x v="2"/>
    <n v="133"/>
    <x v="2"/>
    <x v="90"/>
    <d v="2001-10-12T00:00:00"/>
    <x v="60"/>
    <x v="3"/>
    <x v="17"/>
    <s v="Chicago Bears"/>
    <n v="0"/>
    <n v="0"/>
    <n v="0"/>
    <n v="0"/>
    <n v="0"/>
    <n v="0"/>
    <n v="0"/>
    <n v="0"/>
    <n v="84"/>
    <n v="1419"/>
    <n v="14"/>
    <n v="0"/>
    <n v="133.94999999999999"/>
    <x v="1"/>
    <x v="1"/>
  </r>
  <r>
    <x v="1"/>
    <x v="3"/>
    <n v="150"/>
    <x v="2"/>
    <x v="91"/>
    <d v="2000-04-17T00:00:00"/>
    <x v="84"/>
    <x v="1"/>
    <x v="8"/>
    <s v="Buffalo Bills "/>
    <n v="0"/>
    <n v="0"/>
    <n v="0"/>
    <n v="0"/>
    <n v="0"/>
    <n v="0"/>
    <n v="0"/>
    <n v="0"/>
    <n v="67"/>
    <n v="1073"/>
    <n v="5"/>
    <n v="0"/>
    <n v="85.4"/>
    <x v="12"/>
    <x v="3"/>
  </r>
  <r>
    <x v="1"/>
    <x v="3"/>
    <n v="159"/>
    <x v="2"/>
    <x v="92"/>
    <d v="2001-06-16T00:00:00"/>
    <x v="85"/>
    <x v="2"/>
    <x v="2"/>
    <s v="Green Bay Packers"/>
    <n v="0"/>
    <n v="0"/>
    <n v="0"/>
    <n v="0"/>
    <n v="0"/>
    <n v="0"/>
    <n v="0"/>
    <n v="0"/>
    <n v="87"/>
    <n v="1633"/>
    <n v="11"/>
    <n v="0"/>
    <n v="136.4"/>
    <x v="30"/>
    <x v="0"/>
  </r>
  <r>
    <x v="1"/>
    <x v="3"/>
    <n v="177"/>
    <x v="2"/>
    <x v="93"/>
    <d v="2001-05-29T00:00:00"/>
    <x v="68"/>
    <x v="7"/>
    <x v="2"/>
    <s v="Los Angeles Rams"/>
    <n v="0"/>
    <n v="0"/>
    <n v="0"/>
    <n v="0"/>
    <n v="0"/>
    <n v="38"/>
    <n v="327"/>
    <n v="5"/>
    <n v="90"/>
    <n v="1421"/>
    <n v="11"/>
    <n v="0"/>
    <n v="157.9"/>
    <x v="16"/>
    <x v="2"/>
  </r>
  <r>
    <x v="1"/>
    <x v="5"/>
    <n v="185"/>
    <x v="2"/>
    <x v="94"/>
    <d v="2002-03-21T00:00:00"/>
    <x v="56"/>
    <x v="6"/>
    <x v="4"/>
    <s v="Jacksonville Jaguars"/>
    <n v="0"/>
    <n v="0"/>
    <n v="0"/>
    <n v="0"/>
    <n v="0"/>
    <n v="2"/>
    <n v="8"/>
    <n v="0"/>
    <n v="103"/>
    <n v="1333"/>
    <n v="6"/>
    <n v="0"/>
    <n v="110.80000000000001"/>
    <x v="20"/>
    <x v="6"/>
  </r>
  <r>
    <x v="1"/>
    <x v="5"/>
    <n v="187"/>
    <x v="2"/>
    <x v="95"/>
    <d v="2002-05-07T00:00:00"/>
    <x v="86"/>
    <x v="3"/>
    <x v="32"/>
    <s v="New England Patriots"/>
    <n v="0"/>
    <n v="0"/>
    <n v="0"/>
    <n v="0"/>
    <n v="0"/>
    <n v="1"/>
    <n v="41"/>
    <n v="0"/>
    <n v="86"/>
    <n v="1047"/>
    <n v="11"/>
    <n v="0"/>
    <n v="108.9"/>
    <x v="10"/>
    <x v="3"/>
  </r>
  <r>
    <x v="1"/>
    <x v="5"/>
    <n v="191"/>
    <x v="2"/>
    <x v="96"/>
    <d v="2001-04-02T00:00:00"/>
    <x v="87"/>
    <x v="5"/>
    <x v="11"/>
    <s v="Tampa Bay Buccaneers"/>
    <n v="0"/>
    <n v="0"/>
    <n v="0"/>
    <n v="0"/>
    <n v="0"/>
    <n v="7"/>
    <n v="75"/>
    <n v="0"/>
    <n v="101"/>
    <n v="1387"/>
    <n v="12"/>
    <n v="0"/>
    <n v="134.35"/>
    <x v="52"/>
    <x v="6"/>
  </r>
  <r>
    <x v="1"/>
    <x v="5"/>
    <n v="195"/>
    <x v="2"/>
    <x v="97"/>
    <d v="1999-10-26T00:00:00"/>
    <x v="88"/>
    <x v="11"/>
    <x v="2"/>
    <s v="New Orleans Saints"/>
    <n v="0"/>
    <n v="0"/>
    <n v="0"/>
    <n v="0"/>
    <n v="0"/>
    <n v="0"/>
    <n v="0"/>
    <n v="0"/>
    <n v="131"/>
    <n v="2146"/>
    <n v="25"/>
    <n v="0"/>
    <n v="215.05"/>
    <x v="53"/>
    <x v="0"/>
  </r>
  <r>
    <x v="1"/>
    <x v="5"/>
    <n v="197"/>
    <x v="2"/>
    <x v="98"/>
    <d v="2000-10-27T00:00:00"/>
    <x v="65"/>
    <x v="9"/>
    <x v="33"/>
    <s v="Miami Dolphins"/>
    <n v="0"/>
    <n v="0"/>
    <n v="0"/>
    <n v="0"/>
    <n v="0"/>
    <n v="4"/>
    <n v="48"/>
    <n v="0"/>
    <n v="103"/>
    <n v="1206"/>
    <n v="6"/>
    <n v="0"/>
    <n v="106.44999999999999"/>
    <x v="51"/>
    <x v="7"/>
  </r>
  <r>
    <x v="1"/>
    <x v="5"/>
    <n v="205"/>
    <x v="2"/>
    <x v="99"/>
    <d v="2000-06-01T00:00:00"/>
    <x v="89"/>
    <x v="7"/>
    <x v="2"/>
    <s v="Houston Texans"/>
    <n v="0"/>
    <n v="0"/>
    <n v="0"/>
    <n v="0"/>
    <n v="0"/>
    <n v="2"/>
    <n v="18"/>
    <n v="0"/>
    <n v="189"/>
    <n v="2124"/>
    <n v="11"/>
    <n v="0"/>
    <n v="187.35"/>
    <x v="6"/>
    <x v="5"/>
  </r>
  <r>
    <x v="1"/>
    <x v="5"/>
    <n v="206"/>
    <x v="2"/>
    <x v="100"/>
    <d v="1999-10-15T00:00:00"/>
    <x v="90"/>
    <x v="9"/>
    <x v="4"/>
    <s v="Cincinnati Bengals"/>
    <n v="0"/>
    <n v="0"/>
    <n v="0"/>
    <n v="0"/>
    <n v="0"/>
    <n v="5"/>
    <n v="17"/>
    <n v="0"/>
    <n v="107"/>
    <n v="1646"/>
    <n v="12"/>
    <n v="0"/>
    <n v="145.9"/>
    <x v="54"/>
    <x v="12"/>
  </r>
  <r>
    <x v="1"/>
    <x v="5"/>
    <n v="210"/>
    <x v="2"/>
    <x v="101"/>
    <d v="2000-12-08T00:00:00"/>
    <x v="91"/>
    <x v="8"/>
    <x v="11"/>
    <s v="New England Patriots"/>
    <n v="0"/>
    <n v="0"/>
    <n v="0"/>
    <n v="0"/>
    <n v="0"/>
    <n v="6"/>
    <n v="107"/>
    <n v="1"/>
    <n v="122"/>
    <n v="1656"/>
    <n v="11"/>
    <n v="0"/>
    <n v="154.65"/>
    <x v="2"/>
    <x v="2"/>
  </r>
  <r>
    <x v="1"/>
    <x v="0"/>
    <n v="25"/>
    <x v="3"/>
    <x v="102"/>
    <d v="1999-10-18T00:00:00"/>
    <x v="92"/>
    <x v="1"/>
    <x v="19"/>
    <s v="Buffalo Bills "/>
    <n v="0"/>
    <n v="0"/>
    <n v="0"/>
    <n v="0"/>
    <n v="0"/>
    <n v="1"/>
    <n v="4"/>
    <n v="0"/>
    <n v="103"/>
    <n v="1355"/>
    <n v="15"/>
    <n v="0"/>
    <n v="151.57499999999999"/>
    <x v="55"/>
    <x v="7"/>
  </r>
  <r>
    <x v="1"/>
    <x v="4"/>
    <n v="34"/>
    <x v="3"/>
    <x v="103"/>
    <d v="2001-01-12T00:00:00"/>
    <x v="93"/>
    <x v="1"/>
    <x v="22"/>
    <s v="Detroit Lions"/>
    <n v="0"/>
    <n v="0"/>
    <n v="0"/>
    <n v="0"/>
    <n v="0"/>
    <n v="0"/>
    <n v="0"/>
    <n v="0"/>
    <n v="99"/>
    <n v="1149"/>
    <n v="3"/>
    <n v="0"/>
    <n v="103.575"/>
    <x v="56"/>
    <x v="6"/>
  </r>
  <r>
    <x v="1"/>
    <x v="4"/>
    <n v="35"/>
    <x v="3"/>
    <x v="104"/>
    <d v="2001-07-06T00:00:00"/>
    <x v="94"/>
    <x v="1"/>
    <x v="34"/>
    <s v="Las Vegas Raiders"/>
    <n v="0"/>
    <n v="0"/>
    <n v="0"/>
    <n v="0"/>
    <n v="0"/>
    <n v="0"/>
    <n v="0"/>
    <n v="0"/>
    <n v="131"/>
    <n v="1577"/>
    <n v="14"/>
    <n v="0"/>
    <n v="169.97499999999999"/>
    <x v="17"/>
    <x v="2"/>
  </r>
  <r>
    <x v="1"/>
    <x v="4"/>
    <n v="42"/>
    <x v="3"/>
    <x v="105"/>
    <d v="2000-09-02T00:00:00"/>
    <x v="95"/>
    <x v="12"/>
    <x v="35"/>
    <s v="Green Bay Packers"/>
    <n v="0"/>
    <n v="0"/>
    <n v="0"/>
    <n v="0"/>
    <n v="0"/>
    <n v="1"/>
    <n v="-1"/>
    <n v="0"/>
    <n v="30"/>
    <n v="429"/>
    <n v="2"/>
    <n v="0"/>
    <n v="38.65"/>
    <x v="57"/>
    <x v="7"/>
  </r>
  <r>
    <x v="1"/>
    <x v="4"/>
    <n v="58"/>
    <x v="3"/>
    <x v="106"/>
    <d v="1998-09-28T00:00:00"/>
    <x v="96"/>
    <x v="12"/>
    <x v="22"/>
    <s v="Dallas Cowboys"/>
    <n v="0"/>
    <n v="0"/>
    <n v="0"/>
    <n v="0"/>
    <n v="0"/>
    <n v="0"/>
    <n v="0"/>
    <n v="0"/>
    <n v="51"/>
    <n v="551"/>
    <n v="6"/>
    <n v="0"/>
    <n v="64.674999999999997"/>
    <x v="15"/>
    <x v="6"/>
  </r>
  <r>
    <x v="1"/>
    <x v="4"/>
    <n v="61"/>
    <x v="3"/>
    <x v="107"/>
    <d v="2000-12-27T00:00:00"/>
    <x v="97"/>
    <x v="1"/>
    <x v="19"/>
    <s v="Jacksonville Jaguars"/>
    <n v="0"/>
    <n v="0"/>
    <n v="0"/>
    <n v="0"/>
    <n v="0"/>
    <n v="1"/>
    <n v="0"/>
    <n v="0"/>
    <n v="51"/>
    <n v="588"/>
    <n v="8"/>
    <n v="0"/>
    <n v="72.525000000000006"/>
    <x v="20"/>
    <x v="6"/>
  </r>
  <r>
    <x v="1"/>
    <x v="1"/>
    <n v="78"/>
    <x v="3"/>
    <x v="108"/>
    <d v="2000-11-03T00:00:00"/>
    <x v="98"/>
    <x v="11"/>
    <x v="35"/>
    <s v="Green Bay Packers"/>
    <n v="0"/>
    <n v="0"/>
    <n v="0"/>
    <n v="0"/>
    <n v="0"/>
    <n v="4"/>
    <n v="11"/>
    <n v="0"/>
    <n v="80"/>
    <n v="926"/>
    <n v="8"/>
    <n v="0"/>
    <n v="100.85"/>
    <x v="14"/>
    <x v="8"/>
  </r>
  <r>
    <x v="1"/>
    <x v="1"/>
    <n v="93"/>
    <x v="3"/>
    <x v="109"/>
    <d v="2001-08-17T00:00:00"/>
    <x v="99"/>
    <x v="10"/>
    <x v="34"/>
    <s v="Pittsburgh Steelers"/>
    <n v="0"/>
    <n v="0"/>
    <n v="0"/>
    <n v="0"/>
    <n v="0"/>
    <n v="0"/>
    <n v="0"/>
    <n v="0"/>
    <n v="35"/>
    <n v="562"/>
    <n v="3"/>
    <n v="0"/>
    <n v="50.225000000000001"/>
    <x v="8"/>
    <x v="3"/>
  </r>
  <r>
    <x v="1"/>
    <x v="1"/>
    <n v="101"/>
    <x v="3"/>
    <x v="110"/>
    <d v="2000-02-24T00:00:00"/>
    <x v="35"/>
    <x v="11"/>
    <x v="22"/>
    <s v="San Francisco 49ers"/>
    <n v="0"/>
    <n v="0"/>
    <n v="0"/>
    <n v="0"/>
    <n v="0"/>
    <n v="0"/>
    <n v="0"/>
    <n v="0"/>
    <n v="45"/>
    <n v="622"/>
    <n v="9"/>
    <n v="0"/>
    <n v="74.974999999999994"/>
    <x v="11"/>
    <x v="3"/>
  </r>
  <r>
    <x v="2"/>
    <x v="0"/>
    <n v="1"/>
    <x v="0"/>
    <x v="111"/>
    <d v="2001-11-18T00:00:00"/>
    <x v="100"/>
    <x v="2"/>
    <x v="1"/>
    <s v="Chicago Bears"/>
    <n v="66.5"/>
    <n v="8170"/>
    <n v="72"/>
    <n v="10"/>
    <n v="169.3"/>
    <n v="210"/>
    <n v="479"/>
    <n v="21"/>
    <n v="0"/>
    <n v="0"/>
    <n v="0"/>
    <n v="0"/>
    <n v="384.34999999999997"/>
    <x v="18"/>
    <x v="7"/>
  </r>
  <r>
    <x v="2"/>
    <x v="0"/>
    <n v="2"/>
    <x v="0"/>
    <x v="112"/>
    <d v="2000-12-18T00:00:00"/>
    <x v="101"/>
    <x v="1"/>
    <x v="9"/>
    <s v="Washington Commanders"/>
    <n v="70.400000000000006"/>
    <n v="6725"/>
    <n v="57"/>
    <n v="7"/>
    <n v="176.25"/>
    <n v="321"/>
    <n v="2019"/>
    <n v="21"/>
    <n v="0"/>
    <n v="0"/>
    <n v="0"/>
    <n v="0"/>
    <n v="405.45"/>
    <x v="10"/>
    <x v="3"/>
  </r>
  <r>
    <x v="2"/>
    <x v="0"/>
    <n v="3"/>
    <x v="0"/>
    <x v="113"/>
    <d v="2002-08-30T00:00:00"/>
    <x v="102"/>
    <x v="1"/>
    <x v="36"/>
    <s v="New England Patriots"/>
    <n v="64.75"/>
    <n v="7929"/>
    <n v="62"/>
    <n v="16"/>
    <n v="153.44999999999999"/>
    <n v="296"/>
    <n v="1147"/>
    <n v="16"/>
    <n v="0"/>
    <n v="0"/>
    <n v="0"/>
    <n v="0"/>
    <n v="371.93000000000006"/>
    <x v="5"/>
    <x v="0"/>
  </r>
  <r>
    <x v="2"/>
    <x v="0"/>
    <n v="8"/>
    <x v="0"/>
    <x v="114"/>
    <d v="2000-05-08T00:00:00"/>
    <x v="103"/>
    <x v="9"/>
    <x v="6"/>
    <s v="Atlanta Falcons"/>
    <n v="65.349999999999994"/>
    <n v="9544"/>
    <n v="67"/>
    <n v="19"/>
    <n v="156.35000000000002"/>
    <n v="70"/>
    <n v="100"/>
    <n v="7"/>
    <n v="0"/>
    <n v="0"/>
    <n v="0"/>
    <n v="0"/>
    <n v="331.88"/>
    <x v="32"/>
    <x v="7"/>
  </r>
  <r>
    <x v="2"/>
    <x v="0"/>
    <n v="10"/>
    <x v="0"/>
    <x v="115"/>
    <d v="2003-01-20T00:00:00"/>
    <x v="104"/>
    <x v="9"/>
    <x v="37"/>
    <s v="Minnesota Vikings"/>
    <n v="68.449999999999989"/>
    <n v="5710"/>
    <n v="44"/>
    <n v="9"/>
    <n v="161.19999999999999"/>
    <n v="134"/>
    <n v="508"/>
    <n v="8"/>
    <n v="0"/>
    <n v="0"/>
    <n v="0"/>
    <n v="0"/>
    <n v="242.6"/>
    <x v="15"/>
    <x v="6"/>
  </r>
  <r>
    <x v="2"/>
    <x v="0"/>
    <n v="12"/>
    <x v="0"/>
    <x v="116"/>
    <d v="2000-02-25T00:00:00"/>
    <x v="105"/>
    <x v="7"/>
    <x v="1"/>
    <s v="Denver Broncos"/>
    <n v="74.650000000000006"/>
    <n v="8101"/>
    <n v="74"/>
    <n v="10"/>
    <n v="177"/>
    <n v="143"/>
    <n v="744"/>
    <n v="20"/>
    <n v="0"/>
    <n v="0"/>
    <n v="0"/>
    <n v="0"/>
    <n v="397.21999999999997"/>
    <x v="58"/>
    <x v="7"/>
  </r>
  <r>
    <x v="2"/>
    <x v="4"/>
    <n v="46"/>
    <x v="1"/>
    <x v="117"/>
    <d v="2003-07-21T00:00:00"/>
    <x v="22"/>
    <x v="5"/>
    <x v="16"/>
    <s v="Carolina Panthers"/>
    <n v="0"/>
    <n v="0"/>
    <n v="0"/>
    <n v="0"/>
    <n v="0"/>
    <n v="217"/>
    <n v="1336"/>
    <n v="15"/>
    <n v="27"/>
    <n v="323"/>
    <n v="2"/>
    <n v="1"/>
    <n v="139.69999999999999"/>
    <x v="38"/>
    <x v="5"/>
  </r>
  <r>
    <x v="2"/>
    <x v="1"/>
    <n v="66"/>
    <x v="1"/>
    <x v="118"/>
    <d v="2002-07-23T00:00:00"/>
    <x v="47"/>
    <x v="2"/>
    <x v="3"/>
    <s v="Arizona Cardinals"/>
    <n v="0"/>
    <n v="0"/>
    <n v="0"/>
    <n v="0"/>
    <n v="0"/>
    <n v="310"/>
    <n v="1895"/>
    <n v="23"/>
    <n v="33"/>
    <n v="371"/>
    <n v="1"/>
    <n v="0"/>
    <n v="193.55"/>
    <x v="59"/>
    <x v="0"/>
  </r>
  <r>
    <x v="2"/>
    <x v="1"/>
    <n v="83"/>
    <x v="1"/>
    <x v="119"/>
    <d v="2000-11-25T00:00:00"/>
    <x v="106"/>
    <x v="8"/>
    <x v="6"/>
    <s v="Los Angeles Rams"/>
    <n v="0"/>
    <n v="0"/>
    <n v="0"/>
    <n v="0"/>
    <n v="0"/>
    <n v="505"/>
    <n v="2708"/>
    <n v="45"/>
    <n v="27"/>
    <n v="197"/>
    <n v="2"/>
    <n v="1"/>
    <n v="292"/>
    <x v="15"/>
    <x v="6"/>
  </r>
  <r>
    <x v="2"/>
    <x v="1"/>
    <n v="88"/>
    <x v="1"/>
    <x v="120"/>
    <d v="2001-01-05T00:00:00"/>
    <x v="107"/>
    <x v="4"/>
    <x v="9"/>
    <s v="Green Bay Packers"/>
    <n v="0"/>
    <n v="0"/>
    <n v="0"/>
    <n v="0"/>
    <n v="0"/>
    <n v="227"/>
    <n v="1393"/>
    <n v="18"/>
    <n v="31"/>
    <n v="408"/>
    <n v="2"/>
    <n v="4"/>
    <n v="153.80000000000001"/>
    <x v="18"/>
    <x v="7"/>
  </r>
  <r>
    <x v="2"/>
    <x v="2"/>
    <n v="120"/>
    <x v="1"/>
    <x v="121"/>
    <d v="2003-04-01T00:00:00"/>
    <x v="108"/>
    <x v="3"/>
    <x v="9"/>
    <s v="Miami Dolphins"/>
    <n v="0"/>
    <n v="0"/>
    <n v="0"/>
    <n v="0"/>
    <n v="0"/>
    <n v="283"/>
    <n v="1888"/>
    <n v="14"/>
    <n v="24"/>
    <n v="149"/>
    <n v="0"/>
    <n v="3"/>
    <n v="146.85"/>
    <x v="26"/>
    <x v="3"/>
  </r>
  <r>
    <x v="2"/>
    <x v="2"/>
    <n v="125"/>
    <x v="1"/>
    <x v="122"/>
    <d v="2002-08-19T00:00:00"/>
    <x v="109"/>
    <x v="6"/>
    <x v="10"/>
    <s v="Tampa Bay Buccaneers"/>
    <n v="0"/>
    <n v="0"/>
    <n v="0"/>
    <n v="0"/>
    <n v="0"/>
    <n v="342"/>
    <n v="2238"/>
    <n v="16"/>
    <n v="87"/>
    <n v="712"/>
    <n v="5"/>
    <n v="1"/>
    <n v="231.25"/>
    <x v="58"/>
    <x v="7"/>
  </r>
  <r>
    <x v="2"/>
    <x v="2"/>
    <n v="127"/>
    <x v="1"/>
    <x v="123"/>
    <d v="2002-08-29T00:00:00"/>
    <x v="61"/>
    <x v="3"/>
    <x v="9"/>
    <s v="Philadelphia Eagles"/>
    <n v="0"/>
    <n v="0"/>
    <n v="0"/>
    <n v="0"/>
    <n v="0"/>
    <n v="377"/>
    <n v="2009"/>
    <n v="20"/>
    <n v="69"/>
    <n v="486"/>
    <n v="2"/>
    <n v="4"/>
    <n v="204"/>
    <x v="60"/>
    <x v="0"/>
  </r>
  <r>
    <x v="2"/>
    <x v="2"/>
    <n v="128"/>
    <x v="1"/>
    <x v="124"/>
    <d v="1999-11-11T00:00:00"/>
    <x v="110"/>
    <x v="6"/>
    <x v="1"/>
    <s v="Buffalo Bills "/>
    <n v="0"/>
    <n v="0"/>
    <n v="0"/>
    <n v="0"/>
    <n v="0"/>
    <n v="431"/>
    <n v="2171"/>
    <n v="19"/>
    <n v="62"/>
    <n v="492"/>
    <n v="10"/>
    <n v="1"/>
    <n v="234.65"/>
    <x v="23"/>
    <x v="3"/>
  </r>
  <r>
    <x v="2"/>
    <x v="2"/>
    <n v="129"/>
    <x v="1"/>
    <x v="125"/>
    <d v="2000-06-28T00:00:00"/>
    <x v="50"/>
    <x v="5"/>
    <x v="3"/>
    <s v="San Francisco 49ers"/>
    <n v="0"/>
    <n v="0"/>
    <n v="0"/>
    <n v="0"/>
    <n v="0"/>
    <n v="173"/>
    <n v="1034"/>
    <n v="13"/>
    <n v="34"/>
    <n v="307"/>
    <n v="1"/>
    <n v="0"/>
    <n v="117.55"/>
    <x v="61"/>
    <x v="0"/>
  </r>
  <r>
    <x v="2"/>
    <x v="2"/>
    <n v="132"/>
    <x v="1"/>
    <x v="126"/>
    <d v="2001-07-30T00:00:00"/>
    <x v="111"/>
    <x v="3"/>
    <x v="9"/>
    <s v="Detroit Lions"/>
    <n v="0"/>
    <n v="0"/>
    <n v="0"/>
    <n v="0"/>
    <n v="0"/>
    <n v="42"/>
    <n v="317"/>
    <n v="2"/>
    <n v="11"/>
    <n v="203"/>
    <n v="3"/>
    <n v="0"/>
    <n v="43.75"/>
    <x v="55"/>
    <x v="7"/>
  </r>
  <r>
    <x v="2"/>
    <x v="2"/>
    <n v="134"/>
    <x v="1"/>
    <x v="127"/>
    <d v="2004-01-20T00:00:00"/>
    <x v="112"/>
    <x v="7"/>
    <x v="24"/>
    <s v="New York Jets"/>
    <n v="0"/>
    <n v="0"/>
    <n v="0"/>
    <n v="0"/>
    <n v="0"/>
    <n v="411"/>
    <n v="2226"/>
    <n v="23"/>
    <n v="41"/>
    <n v="235"/>
    <n v="0"/>
    <n v="0"/>
    <n v="202.3"/>
    <x v="34"/>
    <x v="6"/>
  </r>
  <r>
    <x v="2"/>
    <x v="3"/>
    <n v="147"/>
    <x v="1"/>
    <x v="128"/>
    <d v="2003-09-06T00:00:00"/>
    <x v="113"/>
    <x v="3"/>
    <x v="33"/>
    <s v="Denver Broncos"/>
    <n v="0"/>
    <n v="0"/>
    <n v="0"/>
    <n v="0"/>
    <n v="0"/>
    <n v="366"/>
    <n v="2261"/>
    <n v="29"/>
    <n v="26"/>
    <n v="277"/>
    <n v="1"/>
    <n v="0"/>
    <n v="223.4"/>
    <x v="17"/>
    <x v="2"/>
  </r>
  <r>
    <x v="2"/>
    <x v="0"/>
    <n v="4"/>
    <x v="2"/>
    <x v="129"/>
    <d v="2002-08-11T00:00:00"/>
    <x v="40"/>
    <x v="0"/>
    <x v="18"/>
    <s v="Arizona Cardinals"/>
    <n v="0"/>
    <n v="0"/>
    <n v="0"/>
    <n v="0"/>
    <n v="0"/>
    <n v="4"/>
    <n v="58"/>
    <n v="1"/>
    <n v="144"/>
    <n v="2474"/>
    <n v="26"/>
    <n v="0"/>
    <n v="243.6"/>
    <x v="19"/>
    <x v="6"/>
  </r>
  <r>
    <x v="2"/>
    <x v="0"/>
    <n v="6"/>
    <x v="2"/>
    <x v="130"/>
    <d v="2003-07-28T00:00:00"/>
    <x v="114"/>
    <x v="5"/>
    <x v="18"/>
    <s v="New York Giants"/>
    <n v="0"/>
    <n v="0"/>
    <n v="0"/>
    <n v="0"/>
    <n v="0"/>
    <n v="2"/>
    <n v="6"/>
    <n v="0"/>
    <n v="161"/>
    <n v="2586"/>
    <n v="17"/>
    <n v="0"/>
    <n v="220.85000000000002"/>
    <x v="10"/>
    <x v="3"/>
  </r>
  <r>
    <x v="2"/>
    <x v="0"/>
    <n v="9"/>
    <x v="2"/>
    <x v="131"/>
    <d v="2002-06-03T00:00:00"/>
    <x v="115"/>
    <x v="9"/>
    <x v="1"/>
    <s v="Chicago Bears"/>
    <n v="0"/>
    <n v="0"/>
    <n v="0"/>
    <n v="0"/>
    <n v="0"/>
    <n v="5"/>
    <n v="43"/>
    <n v="2"/>
    <n v="167"/>
    <n v="2785"/>
    <n v="20"/>
    <n v="0"/>
    <n v="249.15"/>
    <x v="32"/>
    <x v="7"/>
  </r>
  <r>
    <x v="2"/>
    <x v="0"/>
    <n v="23"/>
    <x v="2"/>
    <x v="132"/>
    <d v="2002-10-08T00:00:00"/>
    <x v="116"/>
    <x v="1"/>
    <x v="2"/>
    <s v="Jacksonville Jaguars"/>
    <n v="0"/>
    <n v="0"/>
    <n v="0"/>
    <n v="0"/>
    <n v="0"/>
    <n v="3"/>
    <n v="0"/>
    <n v="0"/>
    <n v="99"/>
    <n v="1538"/>
    <n v="22"/>
    <n v="0"/>
    <n v="167.65"/>
    <x v="10"/>
    <x v="3"/>
  </r>
  <r>
    <x v="2"/>
    <x v="0"/>
    <n v="28"/>
    <x v="2"/>
    <x v="133"/>
    <d v="2003-04-27T00:00:00"/>
    <x v="117"/>
    <x v="2"/>
    <x v="38"/>
    <s v="Kansas City Chiefs"/>
    <n v="0"/>
    <n v="0"/>
    <n v="0"/>
    <n v="0"/>
    <n v="0"/>
    <n v="6"/>
    <n v="49"/>
    <n v="0"/>
    <n v="135"/>
    <n v="1774"/>
    <n v="14"/>
    <n v="0"/>
    <n v="166.9"/>
    <x v="38"/>
    <x v="5"/>
  </r>
  <r>
    <x v="2"/>
    <x v="0"/>
    <n v="31"/>
    <x v="2"/>
    <x v="134"/>
    <d v="2000-09-09T00:00:00"/>
    <x v="118"/>
    <x v="2"/>
    <x v="5"/>
    <s v="San Francisco 49ers"/>
    <n v="0"/>
    <n v="0"/>
    <n v="0"/>
    <n v="0"/>
    <n v="0"/>
    <n v="11"/>
    <n v="175"/>
    <n v="3"/>
    <n v="98"/>
    <n v="1626"/>
    <n v="9"/>
    <n v="0"/>
    <n v="150.55000000000001"/>
    <x v="12"/>
    <x v="3"/>
  </r>
  <r>
    <x v="2"/>
    <x v="0"/>
    <n v="32"/>
    <x v="2"/>
    <x v="135"/>
    <d v="2001-01-29T00:00:00"/>
    <x v="3"/>
    <x v="9"/>
    <x v="7"/>
    <s v="Carolina Panthers"/>
    <n v="0"/>
    <n v="0"/>
    <n v="0"/>
    <n v="0"/>
    <n v="0"/>
    <n v="16"/>
    <n v="12"/>
    <n v="0"/>
    <n v="89"/>
    <n v="1422"/>
    <n v="10"/>
    <n v="0"/>
    <n v="123.94999999999999"/>
    <x v="62"/>
    <x v="3"/>
  </r>
  <r>
    <x v="2"/>
    <x v="4"/>
    <n v="33"/>
    <x v="2"/>
    <x v="136"/>
    <d v="2003-05-17T00:00:00"/>
    <x v="119"/>
    <x v="1"/>
    <x v="1"/>
    <s v="Buffalo Bills "/>
    <n v="0"/>
    <n v="0"/>
    <n v="0"/>
    <n v="0"/>
    <n v="0"/>
    <n v="1"/>
    <n v="2"/>
    <n v="0"/>
    <n v="108"/>
    <n v="1456"/>
    <n v="18"/>
    <n v="0"/>
    <n v="153.9"/>
    <x v="59"/>
    <x v="0"/>
  </r>
  <r>
    <x v="2"/>
    <x v="4"/>
    <n v="34"/>
    <x v="2"/>
    <x v="137"/>
    <d v="2001-11-11T00:00:00"/>
    <x v="120"/>
    <x v="5"/>
    <x v="17"/>
    <s v="Los Angeles Chargers"/>
    <n v="0"/>
    <n v="0"/>
    <n v="0"/>
    <n v="0"/>
    <n v="0"/>
    <n v="8"/>
    <n v="145"/>
    <n v="2"/>
    <n v="88"/>
    <n v="1240"/>
    <n v="9"/>
    <n v="0"/>
    <n v="124.25"/>
    <x v="8"/>
    <x v="3"/>
  </r>
  <r>
    <x v="2"/>
    <x v="4"/>
    <n v="37"/>
    <x v="2"/>
    <x v="138"/>
    <d v="2002-04-11T00:00:00"/>
    <x v="17"/>
    <x v="7"/>
    <x v="2"/>
    <s v="New England Patriots"/>
    <n v="0"/>
    <n v="0"/>
    <n v="0"/>
    <n v="0"/>
    <n v="0"/>
    <n v="5"/>
    <n v="47"/>
    <n v="1"/>
    <n v="110"/>
    <n v="1853"/>
    <n v="15"/>
    <n v="0"/>
    <n v="170.5"/>
    <x v="32"/>
    <x v="7"/>
  </r>
  <r>
    <x v="2"/>
    <x v="4"/>
    <n v="52"/>
    <x v="2"/>
    <x v="139"/>
    <d v="2002-10-08T00:00:00"/>
    <x v="116"/>
    <x v="1"/>
    <x v="32"/>
    <s v="Indianapolis Colts"/>
    <n v="0"/>
    <n v="0"/>
    <n v="0"/>
    <n v="0"/>
    <n v="0"/>
    <n v="2"/>
    <n v="1"/>
    <n v="0"/>
    <n v="64"/>
    <n v="979"/>
    <n v="14"/>
    <n v="0"/>
    <n v="107"/>
    <x v="38"/>
    <x v="5"/>
  </r>
  <r>
    <x v="2"/>
    <x v="1"/>
    <n v="65"/>
    <x v="2"/>
    <x v="140"/>
    <d v="2002-03-21T00:00:00"/>
    <x v="26"/>
    <x v="3"/>
    <x v="9"/>
    <s v="New York Jets"/>
    <n v="0"/>
    <n v="0"/>
    <n v="0"/>
    <n v="0"/>
    <n v="0"/>
    <n v="15"/>
    <n v="98"/>
    <n v="0"/>
    <n v="180"/>
    <n v="2277"/>
    <n v="22"/>
    <n v="0"/>
    <n v="229.75"/>
    <x v="4"/>
    <x v="4"/>
  </r>
  <r>
    <x v="2"/>
    <x v="1"/>
    <n v="80"/>
    <x v="2"/>
    <x v="141"/>
    <d v="2001-06-28T00:00:00"/>
    <x v="121"/>
    <x v="5"/>
    <x v="32"/>
    <s v="Cincinnati Bengals"/>
    <n v="0"/>
    <n v="0"/>
    <n v="0"/>
    <n v="0"/>
    <n v="0"/>
    <n v="4"/>
    <n v="50"/>
    <n v="0"/>
    <n v="79"/>
    <n v="1466"/>
    <n v="15"/>
    <n v="0"/>
    <n v="140.55000000000001"/>
    <x v="11"/>
    <x v="3"/>
  </r>
  <r>
    <x v="2"/>
    <x v="1"/>
    <n v="84"/>
    <x v="2"/>
    <x v="142"/>
    <d v="2001-06-19T00:00:00"/>
    <x v="122"/>
    <x v="5"/>
    <x v="11"/>
    <s v="Pittsburgh Steelers"/>
    <n v="0"/>
    <n v="0"/>
    <n v="0"/>
    <n v="0"/>
    <n v="0"/>
    <n v="3"/>
    <n v="49"/>
    <n v="2"/>
    <n v="73"/>
    <n v="1165"/>
    <n v="16"/>
    <n v="0"/>
    <n v="132.94999999999999"/>
    <x v="15"/>
    <x v="6"/>
  </r>
  <r>
    <x v="2"/>
    <x v="1"/>
    <n v="92"/>
    <x v="2"/>
    <x v="143"/>
    <d v="2001-12-07T00:00:00"/>
    <x v="91"/>
    <x v="2"/>
    <x v="5"/>
    <s v="Tampa Bay Buccaneers"/>
    <n v="0"/>
    <n v="0"/>
    <n v="0"/>
    <n v="0"/>
    <n v="0"/>
    <n v="4"/>
    <n v="32"/>
    <n v="1"/>
    <n v="124"/>
    <n v="1657"/>
    <n v="14"/>
    <n v="0"/>
    <n v="160.44999999999999"/>
    <x v="32"/>
    <x v="7"/>
  </r>
  <r>
    <x v="2"/>
    <x v="1"/>
    <n v="100"/>
    <x v="2"/>
    <x v="144"/>
    <d v="2001-04-02T00:00:00"/>
    <x v="123"/>
    <x v="7"/>
    <x v="28"/>
    <s v="Washington Commanders"/>
    <n v="0"/>
    <n v="0"/>
    <n v="0"/>
    <n v="0"/>
    <n v="0"/>
    <n v="27"/>
    <n v="265"/>
    <n v="1"/>
    <n v="129"/>
    <n v="1715"/>
    <n v="19"/>
    <n v="0"/>
    <n v="191.25"/>
    <x v="63"/>
    <x v="1"/>
  </r>
  <r>
    <x v="2"/>
    <x v="2"/>
    <n v="102"/>
    <x v="2"/>
    <x v="145"/>
    <d v="2003-02-06T00:00:00"/>
    <x v="124"/>
    <x v="9"/>
    <x v="12"/>
    <s v="Denver Broncos"/>
    <n v="0"/>
    <n v="0"/>
    <n v="0"/>
    <n v="0"/>
    <n v="0"/>
    <n v="0"/>
    <n v="0"/>
    <n v="0"/>
    <n v="142"/>
    <n v="2274"/>
    <n v="23"/>
    <n v="0"/>
    <n v="218.2"/>
    <x v="58"/>
    <x v="7"/>
  </r>
  <r>
    <x v="2"/>
    <x v="2"/>
    <n v="110"/>
    <x v="2"/>
    <x v="146"/>
    <d v="2002-02-18T00:00:00"/>
    <x v="125"/>
    <x v="2"/>
    <x v="16"/>
    <s v="New England Patriots"/>
    <n v="0"/>
    <n v="0"/>
    <n v="0"/>
    <n v="0"/>
    <n v="0"/>
    <n v="0"/>
    <n v="0"/>
    <n v="0"/>
    <n v="108"/>
    <n v="1935"/>
    <n v="12"/>
    <n v="0"/>
    <n v="159.75"/>
    <x v="64"/>
    <x v="5"/>
  </r>
  <r>
    <x v="2"/>
    <x v="2"/>
    <n v="113"/>
    <x v="2"/>
    <x v="147"/>
    <d v="2001-06-19T00:00:00"/>
    <x v="122"/>
    <x v="7"/>
    <x v="18"/>
    <s v="Baltimore Ravens"/>
    <n v="0"/>
    <n v="0"/>
    <n v="0"/>
    <n v="0"/>
    <n v="0"/>
    <n v="6"/>
    <n v="52"/>
    <n v="1"/>
    <n v="99"/>
    <n v="1620"/>
    <n v="18"/>
    <n v="0"/>
    <n v="165.35"/>
    <x v="5"/>
    <x v="0"/>
  </r>
  <r>
    <x v="2"/>
    <x v="2"/>
    <n v="135"/>
    <x v="2"/>
    <x v="148"/>
    <d v="2001-02-04T00:00:00"/>
    <x v="126"/>
    <x v="8"/>
    <x v="29"/>
    <s v="San Francisco 49ers"/>
    <n v="0"/>
    <n v="0"/>
    <n v="0"/>
    <n v="0"/>
    <n v="0"/>
    <n v="8"/>
    <n v="27"/>
    <n v="0"/>
    <n v="175"/>
    <n v="1882"/>
    <n v="20"/>
    <n v="0"/>
    <n v="199.2"/>
    <x v="65"/>
    <x v="7"/>
  </r>
  <r>
    <x v="2"/>
    <x v="0"/>
    <n v="13"/>
    <x v="3"/>
    <x v="149"/>
    <d v="2002-12-13T00:00:00"/>
    <x v="36"/>
    <x v="1"/>
    <x v="39"/>
    <s v="Las Vegas Raiders"/>
    <n v="0"/>
    <n v="0"/>
    <n v="0"/>
    <n v="0"/>
    <n v="0"/>
    <n v="15"/>
    <n v="137"/>
    <n v="0"/>
    <n v="119"/>
    <n v="1656"/>
    <n v="13"/>
    <n v="0"/>
    <n v="173.27500000000001"/>
    <x v="8"/>
    <x v="3"/>
  </r>
  <r>
    <x v="2"/>
    <x v="4"/>
    <n v="53"/>
    <x v="3"/>
    <x v="150"/>
    <d v="2002-06-14T00:00:00"/>
    <x v="59"/>
    <x v="1"/>
    <x v="19"/>
    <s v="Washington Commanders"/>
    <n v="0"/>
    <n v="0"/>
    <n v="0"/>
    <n v="0"/>
    <n v="0"/>
    <n v="3"/>
    <n v="12"/>
    <n v="1"/>
    <n v="77"/>
    <n v="1075"/>
    <n v="10"/>
    <n v="0"/>
    <n v="116.22499999999999"/>
    <x v="45"/>
    <x v="5"/>
  </r>
  <r>
    <x v="2"/>
    <x v="1"/>
    <n v="82"/>
    <x v="3"/>
    <x v="151"/>
    <d v="2001-09-17T00:00:00"/>
    <x v="127"/>
    <x v="11"/>
    <x v="40"/>
    <s v="Arizona Cardinals"/>
    <n v="0"/>
    <n v="0"/>
    <n v="0"/>
    <n v="0"/>
    <n v="0"/>
    <n v="0"/>
    <n v="0"/>
    <n v="0"/>
    <n v="36"/>
    <n v="359"/>
    <n v="4"/>
    <n v="0"/>
    <n v="43.45"/>
    <x v="42"/>
    <x v="6"/>
  </r>
  <r>
    <x v="2"/>
    <x v="2"/>
    <n v="101"/>
    <x v="3"/>
    <x v="152"/>
    <d v="2003-03-27T00:00:00"/>
    <x v="128"/>
    <x v="1"/>
    <x v="41"/>
    <s v="Carolina Panthers"/>
    <n v="0"/>
    <n v="0"/>
    <n v="0"/>
    <n v="0"/>
    <n v="0"/>
    <n v="1"/>
    <n v="12"/>
    <n v="0"/>
    <n v="99"/>
    <n v="1295"/>
    <n v="7"/>
    <n v="0"/>
    <n v="123.47499999999999"/>
    <x v="38"/>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3BEA46-E5C8-4EB1-B9FD-6299A35CDD21}" name="PivotTable1" cacheId="24"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0">
  <location ref="A3:B11" firstHeaderRow="1" firstDataRow="1" firstDataCol="1"/>
  <pivotFields count="25">
    <pivotField showAll="0">
      <items count="4">
        <item h="1" x="0"/>
        <item h="1" x="1"/>
        <item x="2"/>
        <item t="default"/>
      </items>
    </pivotField>
    <pivotField showAll="0">
      <items count="8">
        <item x="0"/>
        <item h="1" x="4"/>
        <item h="1" x="1"/>
        <item h="1" x="2"/>
        <item h="1" x="3"/>
        <item h="1" x="5"/>
        <item h="1" x="6"/>
        <item t="default"/>
      </items>
    </pivotField>
    <pivotField showAll="0"/>
    <pivotField showAll="0">
      <items count="5">
        <item h="1" x="0"/>
        <item h="1" x="1"/>
        <item h="1" x="3"/>
        <item x="2"/>
        <item t="default"/>
      </items>
    </pivotField>
    <pivotField axis="axisRow" showAll="0" sortType="ascending">
      <items count="154">
        <item x="139"/>
        <item x="55"/>
        <item x="33"/>
        <item x="100"/>
        <item x="50"/>
        <item x="97"/>
        <item x="128"/>
        <item x="4"/>
        <item x="150"/>
        <item x="56"/>
        <item x="119"/>
        <item x="116"/>
        <item x="127"/>
        <item x="6"/>
        <item x="107"/>
        <item x="11"/>
        <item x="132"/>
        <item x="149"/>
        <item x="48"/>
        <item x="122"/>
        <item x="42"/>
        <item x="111"/>
        <item x="110"/>
        <item x="84"/>
        <item x="89"/>
        <item x="44"/>
        <item x="65"/>
        <item x="47"/>
        <item x="24"/>
        <item x="68"/>
        <item x="28"/>
        <item x="49"/>
        <item x="102"/>
        <item x="12"/>
        <item x="43"/>
        <item x="109"/>
        <item x="37"/>
        <item x="101"/>
        <item x="88"/>
        <item x="1"/>
        <item x="69"/>
        <item x="61"/>
        <item x="147"/>
        <item x="71"/>
        <item x="92"/>
        <item x="22"/>
        <item x="113"/>
        <item x="98"/>
        <item x="66"/>
        <item x="67"/>
        <item x="23"/>
        <item x="32"/>
        <item x="40"/>
        <item x="16"/>
        <item x="52"/>
        <item x="125"/>
        <item x="46"/>
        <item x="14"/>
        <item x="64"/>
        <item x="148"/>
        <item x="26"/>
        <item x="57"/>
        <item x="45"/>
        <item x="53"/>
        <item x="143"/>
        <item x="36"/>
        <item x="83"/>
        <item x="138"/>
        <item x="8"/>
        <item x="25"/>
        <item x="74"/>
        <item x="152"/>
        <item x="146"/>
        <item x="112"/>
        <item x="79"/>
        <item x="121"/>
        <item x="39"/>
        <item x="41"/>
        <item x="141"/>
        <item x="19"/>
        <item x="115"/>
        <item x="30"/>
        <item x="117"/>
        <item x="78"/>
        <item x="77"/>
        <item x="85"/>
        <item x="91"/>
        <item x="95"/>
        <item x="59"/>
        <item x="7"/>
        <item x="73"/>
        <item x="0"/>
        <item x="136"/>
        <item x="20"/>
        <item x="137"/>
        <item x="72"/>
        <item x="144"/>
        <item x="105"/>
        <item x="106"/>
        <item x="140"/>
        <item x="130"/>
        <item x="2"/>
        <item x="120"/>
        <item x="129"/>
        <item x="81"/>
        <item x="3"/>
        <item x="104"/>
        <item x="114"/>
        <item x="86"/>
        <item x="94"/>
        <item x="15"/>
        <item x="93"/>
        <item x="75"/>
        <item x="9"/>
        <item x="80"/>
        <item x="124"/>
        <item x="134"/>
        <item x="142"/>
        <item x="131"/>
        <item x="63"/>
        <item x="5"/>
        <item x="103"/>
        <item x="126"/>
        <item x="34"/>
        <item x="18"/>
        <item x="54"/>
        <item x="62"/>
        <item x="82"/>
        <item x="151"/>
        <item x="87"/>
        <item x="118"/>
        <item x="38"/>
        <item x="96"/>
        <item x="27"/>
        <item x="145"/>
        <item x="108"/>
        <item x="21"/>
        <item x="60"/>
        <item x="17"/>
        <item x="90"/>
        <item x="31"/>
        <item x="10"/>
        <item x="35"/>
        <item x="29"/>
        <item x="51"/>
        <item x="123"/>
        <item x="99"/>
        <item x="135"/>
        <item x="133"/>
        <item x="58"/>
        <item x="70"/>
        <item x="13"/>
        <item x="7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items count="14">
        <item x="0"/>
        <item x="5"/>
        <item x="6"/>
        <item x="4"/>
        <item x="2"/>
        <item x="12"/>
        <item x="9"/>
        <item x="8"/>
        <item x="11"/>
        <item x="7"/>
        <item x="3"/>
        <item x="10"/>
        <item x="1"/>
        <item t="default"/>
      </items>
    </pivotField>
  </pivotFields>
  <rowFields count="1">
    <field x="4"/>
  </rowFields>
  <rowItems count="8">
    <i>
      <x v="16"/>
    </i>
    <i>
      <x v="100"/>
    </i>
    <i>
      <x v="103"/>
    </i>
    <i>
      <x v="116"/>
    </i>
    <i>
      <x v="118"/>
    </i>
    <i>
      <x v="147"/>
    </i>
    <i>
      <x v="148"/>
    </i>
    <i t="grand">
      <x/>
    </i>
  </rowItems>
  <colItems count="1">
    <i/>
  </colItems>
  <dataFields count="1">
    <dataField name="Summe von FantasyPoints" fld="22" baseField="0" baseItem="0"/>
  </dataFields>
  <chartFormats count="2">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130AA1-808A-4704-98F2-B89C6893BC2C}" name="PivotTable3" cacheId="24"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8">
  <location ref="A42:B47" firstHeaderRow="1" firstDataRow="1" firstDataCol="1"/>
  <pivotFields count="25">
    <pivotField showAll="0">
      <items count="4">
        <item h="1" x="0"/>
        <item h="1" x="1"/>
        <item x="2"/>
        <item t="default"/>
      </items>
    </pivotField>
    <pivotField showAll="0">
      <items count="8">
        <item x="0"/>
        <item x="4"/>
        <item x="1"/>
        <item x="2"/>
        <item x="3"/>
        <item x="5"/>
        <item x="6"/>
        <item t="default"/>
      </items>
    </pivotField>
    <pivotField showAll="0"/>
    <pivotField axis="axisRow" dataField="1" showAll="0">
      <items count="5">
        <item x="0"/>
        <item x="1"/>
        <item x="3"/>
        <item x="2"/>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4">
        <item x="0"/>
        <item x="5"/>
        <item x="6"/>
        <item x="4"/>
        <item x="2"/>
        <item x="12"/>
        <item x="9"/>
        <item x="8"/>
        <item x="11"/>
        <item x="7"/>
        <item x="3"/>
        <item x="10"/>
        <item x="1"/>
        <item t="default"/>
      </items>
    </pivotField>
  </pivotFields>
  <rowFields count="1">
    <field x="3"/>
  </rowFields>
  <rowItems count="5">
    <i>
      <x/>
    </i>
    <i>
      <x v="1"/>
    </i>
    <i>
      <x v="2"/>
    </i>
    <i>
      <x v="3"/>
    </i>
    <i t="grand">
      <x/>
    </i>
  </rowItems>
  <colItems count="1">
    <i/>
  </colItems>
  <dataFields count="1">
    <dataField name="Anzahl von Position" fld="3" subtotal="count"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2" format="9" series="1">
      <pivotArea type="data" outline="0" fieldPosition="0">
        <references count="2">
          <reference field="4294967294" count="1" selected="0">
            <x v="0"/>
          </reference>
          <reference field="3" count="1" selected="0">
            <x v="0"/>
          </reference>
        </references>
      </pivotArea>
    </chartFormat>
    <chartFormat chart="2" format="10" series="1">
      <pivotArea type="data" outline="0" fieldPosition="0">
        <references count="2">
          <reference field="4294967294" count="1" selected="0">
            <x v="0"/>
          </reference>
          <reference field="3" count="1" selected="0">
            <x v="1"/>
          </reference>
        </references>
      </pivotArea>
    </chartFormat>
    <chartFormat chart="2" format="11" series="1">
      <pivotArea type="data" outline="0" fieldPosition="0">
        <references count="2">
          <reference field="4294967294" count="1" selected="0">
            <x v="0"/>
          </reference>
          <reference field="3" count="1" selected="0">
            <x v="2"/>
          </reference>
        </references>
      </pivotArea>
    </chartFormat>
    <chartFormat chart="2" format="12" series="1">
      <pivotArea type="data" outline="0" fieldPosition="0">
        <references count="2">
          <reference field="4294967294" count="1" selected="0">
            <x v="0"/>
          </reference>
          <reference field="3" count="1" selected="0">
            <x v="3"/>
          </reference>
        </references>
      </pivotArea>
    </chartFormat>
    <chartFormat chart="2" format="1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01F23E-BD1B-42B4-AD0B-2B7AC45E4E37}" name="PivotTable4" cacheId="24"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0">
  <location ref="A56:D61" firstHeaderRow="0" firstDataRow="1" firstDataCol="1"/>
  <pivotFields count="25">
    <pivotField showAll="0">
      <items count="4">
        <item h="1" x="0"/>
        <item h="1" x="1"/>
        <item x="2"/>
        <item t="default"/>
      </items>
    </pivotField>
    <pivotField showAll="0">
      <items count="8">
        <item x="0"/>
        <item x="4"/>
        <item x="1"/>
        <item x="2"/>
        <item x="3"/>
        <item x="5"/>
        <item x="6"/>
        <item t="default"/>
      </items>
    </pivotField>
    <pivotField showAll="0"/>
    <pivotField axis="axisRow" showAll="0">
      <items count="5">
        <item x="0"/>
        <item x="1"/>
        <item x="3"/>
        <item x="2"/>
        <item t="default"/>
      </items>
    </pivotField>
    <pivotField showAll="0">
      <items count="154">
        <item x="139"/>
        <item x="55"/>
        <item x="33"/>
        <item x="100"/>
        <item x="50"/>
        <item x="97"/>
        <item x="128"/>
        <item x="4"/>
        <item x="150"/>
        <item x="56"/>
        <item x="119"/>
        <item x="116"/>
        <item x="127"/>
        <item x="6"/>
        <item x="107"/>
        <item x="11"/>
        <item x="132"/>
        <item x="149"/>
        <item x="48"/>
        <item x="122"/>
        <item x="42"/>
        <item x="111"/>
        <item x="110"/>
        <item x="84"/>
        <item x="89"/>
        <item x="44"/>
        <item x="65"/>
        <item x="47"/>
        <item x="24"/>
        <item x="68"/>
        <item x="28"/>
        <item x="49"/>
        <item x="102"/>
        <item x="12"/>
        <item x="43"/>
        <item x="109"/>
        <item x="37"/>
        <item x="101"/>
        <item x="88"/>
        <item x="1"/>
        <item x="69"/>
        <item x="61"/>
        <item x="147"/>
        <item x="71"/>
        <item x="92"/>
        <item x="22"/>
        <item x="113"/>
        <item x="98"/>
        <item x="66"/>
        <item x="67"/>
        <item x="23"/>
        <item x="32"/>
        <item x="40"/>
        <item x="16"/>
        <item x="52"/>
        <item x="125"/>
        <item x="46"/>
        <item x="14"/>
        <item x="64"/>
        <item x="148"/>
        <item x="26"/>
        <item x="57"/>
        <item x="45"/>
        <item x="53"/>
        <item x="143"/>
        <item x="36"/>
        <item x="83"/>
        <item x="138"/>
        <item x="8"/>
        <item x="25"/>
        <item x="74"/>
        <item x="152"/>
        <item x="146"/>
        <item x="112"/>
        <item x="79"/>
        <item x="121"/>
        <item x="39"/>
        <item x="41"/>
        <item x="141"/>
        <item x="19"/>
        <item x="115"/>
        <item x="30"/>
        <item x="117"/>
        <item x="78"/>
        <item x="77"/>
        <item x="85"/>
        <item x="91"/>
        <item x="95"/>
        <item x="59"/>
        <item x="7"/>
        <item x="73"/>
        <item x="0"/>
        <item x="136"/>
        <item x="20"/>
        <item x="137"/>
        <item x="72"/>
        <item x="144"/>
        <item x="105"/>
        <item x="106"/>
        <item x="140"/>
        <item x="130"/>
        <item x="2"/>
        <item x="120"/>
        <item x="129"/>
        <item x="81"/>
        <item x="3"/>
        <item x="104"/>
        <item x="114"/>
        <item x="86"/>
        <item x="94"/>
        <item x="15"/>
        <item x="93"/>
        <item x="75"/>
        <item x="9"/>
        <item x="80"/>
        <item x="124"/>
        <item x="134"/>
        <item x="142"/>
        <item x="131"/>
        <item x="63"/>
        <item x="5"/>
        <item x="103"/>
        <item x="126"/>
        <item x="34"/>
        <item x="18"/>
        <item x="54"/>
        <item x="62"/>
        <item x="82"/>
        <item x="151"/>
        <item x="87"/>
        <item x="118"/>
        <item x="38"/>
        <item x="96"/>
        <item x="27"/>
        <item x="145"/>
        <item x="108"/>
        <item x="21"/>
        <item x="60"/>
        <item x="17"/>
        <item x="90"/>
        <item x="31"/>
        <item x="10"/>
        <item x="35"/>
        <item x="29"/>
        <item x="51"/>
        <item x="123"/>
        <item x="99"/>
        <item x="135"/>
        <item x="133"/>
        <item x="58"/>
        <item x="70"/>
        <item x="13"/>
        <item x="76"/>
        <item t="default"/>
      </items>
    </pivotField>
    <pivotField numFmtId="14" showAll="0"/>
    <pivotField dataField="1" showAll="0">
      <items count="130">
        <item x="112"/>
        <item x="63"/>
        <item x="113"/>
        <item x="14"/>
        <item x="114"/>
        <item x="22"/>
        <item x="58"/>
        <item x="6"/>
        <item x="49"/>
        <item x="119"/>
        <item x="86"/>
        <item x="117"/>
        <item x="108"/>
        <item x="128"/>
        <item x="25"/>
        <item x="56"/>
        <item x="78"/>
        <item x="31"/>
        <item x="72"/>
        <item x="124"/>
        <item x="55"/>
        <item x="75"/>
        <item x="104"/>
        <item x="28"/>
        <item x="36"/>
        <item x="67"/>
        <item x="10"/>
        <item x="7"/>
        <item x="60"/>
        <item x="116"/>
        <item x="48"/>
        <item x="80"/>
        <item x="42"/>
        <item x="5"/>
        <item x="33"/>
        <item x="73"/>
        <item x="102"/>
        <item x="61"/>
        <item x="20"/>
        <item x="109"/>
        <item x="99"/>
        <item x="70"/>
        <item x="40"/>
        <item x="30"/>
        <item x="18"/>
        <item x="47"/>
        <item x="23"/>
        <item x="29"/>
        <item x="69"/>
        <item x="94"/>
        <item x="24"/>
        <item x="85"/>
        <item x="59"/>
        <item x="115"/>
        <item x="68"/>
        <item x="32"/>
        <item x="76"/>
        <item x="45"/>
        <item x="17"/>
        <item x="87"/>
        <item x="39"/>
        <item x="26"/>
        <item x="82"/>
        <item x="125"/>
        <item x="12"/>
        <item x="62"/>
        <item x="93"/>
        <item x="57"/>
        <item x="97"/>
        <item x="91"/>
        <item x="16"/>
        <item x="37"/>
        <item x="100"/>
        <item x="120"/>
        <item x="98"/>
        <item x="65"/>
        <item x="66"/>
        <item x="8"/>
        <item x="127"/>
        <item x="13"/>
        <item x="74"/>
        <item x="19"/>
        <item x="46"/>
        <item x="95"/>
        <item x="1"/>
        <item x="111"/>
        <item x="121"/>
        <item x="122"/>
        <item x="89"/>
        <item x="2"/>
        <item x="27"/>
        <item x="77"/>
        <item x="4"/>
        <item x="81"/>
        <item x="84"/>
        <item x="41"/>
        <item x="123"/>
        <item x="11"/>
        <item x="71"/>
        <item x="35"/>
        <item x="43"/>
        <item x="126"/>
        <item x="3"/>
        <item x="44"/>
        <item x="9"/>
        <item x="107"/>
        <item x="101"/>
        <item x="15"/>
        <item x="106"/>
        <item x="64"/>
        <item x="79"/>
        <item x="88"/>
        <item x="92"/>
        <item x="90"/>
        <item x="38"/>
        <item x="118"/>
        <item x="50"/>
        <item x="0"/>
        <item x="21"/>
        <item x="103"/>
        <item x="52"/>
        <item x="105"/>
        <item x="110"/>
        <item x="83"/>
        <item x="96"/>
        <item x="54"/>
        <item x="34"/>
        <item x="51"/>
        <item x="53"/>
        <item t="default"/>
      </items>
    </pivotField>
    <pivotField showAll="0">
      <items count="16">
        <item x="13"/>
        <item x="8"/>
        <item x="4"/>
        <item x="6"/>
        <item x="3"/>
        <item x="5"/>
        <item x="14"/>
        <item x="2"/>
        <item x="7"/>
        <item x="0"/>
        <item x="9"/>
        <item x="1"/>
        <item x="11"/>
        <item x="12"/>
        <item x="10"/>
        <item t="default"/>
      </items>
    </pivotField>
    <pivotField showAll="0">
      <items count="43">
        <item x="30"/>
        <item x="31"/>
        <item x="38"/>
        <item x="29"/>
        <item x="27"/>
        <item x="13"/>
        <item x="14"/>
        <item x="17"/>
        <item x="12"/>
        <item x="5"/>
        <item x="11"/>
        <item x="10"/>
        <item x="32"/>
        <item x="28"/>
        <item x="18"/>
        <item x="37"/>
        <item x="2"/>
        <item x="16"/>
        <item x="9"/>
        <item x="4"/>
        <item x="6"/>
        <item x="1"/>
        <item x="0"/>
        <item x="3"/>
        <item x="8"/>
        <item x="15"/>
        <item x="7"/>
        <item x="36"/>
        <item x="26"/>
        <item x="33"/>
        <item x="25"/>
        <item x="24"/>
        <item x="39"/>
        <item x="41"/>
        <item x="21"/>
        <item x="19"/>
        <item x="22"/>
        <item x="20"/>
        <item x="35"/>
        <item x="23"/>
        <item x="34"/>
        <item x="4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4">
        <item x="0"/>
        <item x="5"/>
        <item x="6"/>
        <item x="4"/>
        <item x="2"/>
        <item x="12"/>
        <item x="9"/>
        <item x="8"/>
        <item x="11"/>
        <item x="7"/>
        <item x="3"/>
        <item x="10"/>
        <item x="1"/>
        <item t="default"/>
      </items>
    </pivotField>
  </pivotFields>
  <rowFields count="1">
    <field x="3"/>
  </rowFields>
  <rowItems count="5">
    <i>
      <x/>
    </i>
    <i>
      <x v="1"/>
    </i>
    <i>
      <x v="2"/>
    </i>
    <i>
      <x v="3"/>
    </i>
    <i t="grand">
      <x/>
    </i>
  </rowItems>
  <colFields count="1">
    <field x="-2"/>
  </colFields>
  <colItems count="3">
    <i>
      <x/>
    </i>
    <i i="1">
      <x v="1"/>
    </i>
    <i i="2">
      <x v="2"/>
    </i>
  </colItems>
  <dataFields count="3">
    <dataField name="Min. Age" fld="6" subtotal="min" baseField="4" baseItem="0"/>
    <dataField name="Average Age" fld="6" subtotal="average" baseField="4" baseItem="0" numFmtId="2"/>
    <dataField name="Max. Age" fld="6" subtotal="max" baseField="4" baseItem="0" numFmtId="2"/>
  </dataFields>
  <formats count="1">
    <format dxfId="8">
      <pivotArea outline="0" collapsedLevelsAreSubtotals="1" fieldPosition="0">
        <references count="1">
          <reference field="4294967294" count="2" selected="0">
            <x v="1"/>
            <x v="2"/>
          </reference>
        </references>
      </pivotArea>
    </format>
  </formats>
  <chartFormats count="6">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9086E0-C5FE-4D54-83AE-72E1E6029423}" name="PivotTable5" cacheId="24"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6">
  <location ref="A72:D77" firstHeaderRow="0" firstDataRow="1" firstDataCol="1"/>
  <pivotFields count="25">
    <pivotField showAll="0">
      <items count="4">
        <item h="1" x="0"/>
        <item h="1" x="1"/>
        <item x="2"/>
        <item t="default"/>
      </items>
    </pivotField>
    <pivotField showAll="0">
      <items count="8">
        <item x="0"/>
        <item x="4"/>
        <item x="1"/>
        <item x="2"/>
        <item x="3"/>
        <item x="5"/>
        <item x="6"/>
        <item t="default"/>
      </items>
    </pivotField>
    <pivotField showAll="0"/>
    <pivotField axis="axisRow" showAll="0">
      <items count="5">
        <item x="0"/>
        <item x="1"/>
        <item x="3"/>
        <item x="2"/>
        <item t="default"/>
      </items>
    </pivotField>
    <pivotField showAll="0"/>
    <pivotField numFmtId="14"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4">
        <item x="0"/>
        <item x="5"/>
        <item x="6"/>
        <item x="4"/>
        <item x="2"/>
        <item x="12"/>
        <item x="9"/>
        <item x="8"/>
        <item x="11"/>
        <item x="7"/>
        <item x="3"/>
        <item x="10"/>
        <item x="1"/>
        <item t="default"/>
      </items>
    </pivotField>
  </pivotFields>
  <rowFields count="1">
    <field x="3"/>
  </rowFields>
  <rowItems count="5">
    <i>
      <x/>
    </i>
    <i>
      <x v="1"/>
    </i>
    <i>
      <x v="2"/>
    </i>
    <i>
      <x v="3"/>
    </i>
    <i t="grand">
      <x/>
    </i>
  </rowItems>
  <colFields count="1">
    <field x="-2"/>
  </colFields>
  <colItems count="3">
    <i>
      <x/>
    </i>
    <i i="1">
      <x v="1"/>
    </i>
    <i i="2">
      <x v="2"/>
    </i>
  </colItems>
  <dataFields count="3">
    <dataField name="Min. Height" fld="7" subtotal="min" baseField="3" baseItem="0"/>
    <dataField name="Average Height" fld="7" subtotal="average" baseField="3" baseItem="0" numFmtId="2"/>
    <dataField name="Max. Height" fld="7" subtotal="max" baseField="3" baseItem="0" numFmtId="2"/>
  </dataFields>
  <formats count="2">
    <format dxfId="9">
      <pivotArea collapsedLevelsAreSubtotals="1" fieldPosition="0">
        <references count="2">
          <reference field="4294967294" count="1" selected="0">
            <x v="1"/>
          </reference>
          <reference field="3" count="1">
            <x v="2"/>
          </reference>
        </references>
      </pivotArea>
    </format>
    <format dxfId="10">
      <pivotArea outline="0" collapsedLevelsAreSubtotals="1" fieldPosition="0">
        <references count="1">
          <reference field="4294967294" count="2" selected="0">
            <x v="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4C7C8C-9786-42E1-AE39-ADC373B85EA0}" name="PivotTable6" cacheId="24"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9">
  <location ref="A89:D94" firstHeaderRow="0" firstDataRow="1" firstDataCol="1"/>
  <pivotFields count="25">
    <pivotField showAll="0">
      <items count="4">
        <item h="1" x="0"/>
        <item h="1" x="1"/>
        <item x="2"/>
        <item t="default"/>
      </items>
    </pivotField>
    <pivotField showAll="0">
      <items count="8">
        <item x="0"/>
        <item x="4"/>
        <item x="1"/>
        <item x="2"/>
        <item x="3"/>
        <item x="5"/>
        <item x="6"/>
        <item t="default"/>
      </items>
    </pivotField>
    <pivotField showAll="0"/>
    <pivotField axis="axisRow" showAll="0">
      <items count="5">
        <item x="0"/>
        <item x="1"/>
        <item x="3"/>
        <item x="2"/>
        <item t="default"/>
      </items>
    </pivotField>
    <pivotField showAll="0"/>
    <pivotField numFmtId="14"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4">
        <item x="0"/>
        <item x="5"/>
        <item x="6"/>
        <item x="4"/>
        <item x="2"/>
        <item x="12"/>
        <item x="9"/>
        <item x="8"/>
        <item x="11"/>
        <item x="7"/>
        <item x="3"/>
        <item x="10"/>
        <item x="1"/>
        <item t="default"/>
      </items>
    </pivotField>
  </pivotFields>
  <rowFields count="1">
    <field x="3"/>
  </rowFields>
  <rowItems count="5">
    <i>
      <x/>
    </i>
    <i>
      <x v="1"/>
    </i>
    <i>
      <x v="2"/>
    </i>
    <i>
      <x v="3"/>
    </i>
    <i t="grand">
      <x/>
    </i>
  </rowItems>
  <colFields count="1">
    <field x="-2"/>
  </colFields>
  <colItems count="3">
    <i>
      <x/>
    </i>
    <i i="1">
      <x v="1"/>
    </i>
    <i i="2">
      <x v="2"/>
    </i>
  </colItems>
  <dataFields count="3">
    <dataField name="Min. Weight" fld="8" subtotal="min" baseField="3" baseItem="0"/>
    <dataField name="Average Weight" fld="8" subtotal="average" baseField="3" baseItem="0" numFmtId="2"/>
    <dataField name="Max. Weight" fld="8" subtotal="max" baseField="3" baseItem="0" numFmtId="2"/>
  </dataFields>
  <formats count="1">
    <format dxfId="11">
      <pivotArea outline="0" collapsedLevelsAreSubtotals="1" fieldPosition="0">
        <references count="1">
          <reference field="4294967294" count="2" selected="0">
            <x v="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FE7F07-52D4-4BFB-876F-ADF3BD3F871E}" name="PivotTable7" cacheId="24"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23">
  <location ref="A108:B117" firstHeaderRow="1" firstDataRow="1" firstDataCol="1"/>
  <pivotFields count="25">
    <pivotField showAll="0">
      <items count="4">
        <item h="1" x="0"/>
        <item h="1" x="1"/>
        <item x="2"/>
        <item t="default"/>
      </items>
    </pivotField>
    <pivotField showAll="0">
      <items count="8">
        <item x="0"/>
        <item x="4"/>
        <item x="1"/>
        <item x="2"/>
        <item x="3"/>
        <item x="5"/>
        <item x="6"/>
        <item t="default"/>
      </items>
    </pivotField>
    <pivotField showAll="0"/>
    <pivotField showAll="0">
      <items count="5">
        <item x="0"/>
        <item x="1"/>
        <item x="3"/>
        <item x="2"/>
        <item t="default"/>
      </items>
    </pivotField>
    <pivotField showAll="0">
      <items count="154">
        <item x="139"/>
        <item x="55"/>
        <item x="33"/>
        <item x="100"/>
        <item x="50"/>
        <item x="97"/>
        <item x="128"/>
        <item x="4"/>
        <item x="150"/>
        <item x="56"/>
        <item x="119"/>
        <item x="116"/>
        <item x="127"/>
        <item x="6"/>
        <item x="107"/>
        <item x="11"/>
        <item x="132"/>
        <item x="149"/>
        <item x="48"/>
        <item x="122"/>
        <item x="42"/>
        <item x="111"/>
        <item x="110"/>
        <item x="84"/>
        <item x="89"/>
        <item x="44"/>
        <item x="65"/>
        <item x="47"/>
        <item x="24"/>
        <item x="68"/>
        <item x="28"/>
        <item x="49"/>
        <item x="102"/>
        <item x="12"/>
        <item x="43"/>
        <item x="109"/>
        <item x="37"/>
        <item x="101"/>
        <item x="88"/>
        <item x="1"/>
        <item x="69"/>
        <item x="61"/>
        <item x="147"/>
        <item x="71"/>
        <item x="92"/>
        <item x="22"/>
        <item x="113"/>
        <item x="98"/>
        <item x="66"/>
        <item x="67"/>
        <item x="23"/>
        <item x="32"/>
        <item x="40"/>
        <item x="16"/>
        <item x="52"/>
        <item x="125"/>
        <item x="46"/>
        <item x="14"/>
        <item x="64"/>
        <item x="148"/>
        <item x="26"/>
        <item x="57"/>
        <item x="45"/>
        <item x="53"/>
        <item x="143"/>
        <item x="36"/>
        <item x="83"/>
        <item x="138"/>
        <item x="8"/>
        <item x="25"/>
        <item x="74"/>
        <item x="152"/>
        <item x="146"/>
        <item x="112"/>
        <item x="79"/>
        <item x="121"/>
        <item x="39"/>
        <item x="41"/>
        <item x="141"/>
        <item x="19"/>
        <item x="115"/>
        <item x="30"/>
        <item x="117"/>
        <item x="78"/>
        <item x="77"/>
        <item x="85"/>
        <item x="91"/>
        <item x="95"/>
        <item x="59"/>
        <item x="7"/>
        <item x="73"/>
        <item x="0"/>
        <item x="136"/>
        <item x="20"/>
        <item x="137"/>
        <item x="72"/>
        <item x="144"/>
        <item x="105"/>
        <item x="106"/>
        <item x="140"/>
        <item x="130"/>
        <item x="2"/>
        <item x="120"/>
        <item x="129"/>
        <item x="81"/>
        <item x="3"/>
        <item x="104"/>
        <item x="114"/>
        <item x="86"/>
        <item x="94"/>
        <item x="15"/>
        <item x="93"/>
        <item x="75"/>
        <item x="9"/>
        <item x="80"/>
        <item x="124"/>
        <item x="134"/>
        <item x="142"/>
        <item x="131"/>
        <item x="63"/>
        <item x="5"/>
        <item x="103"/>
        <item x="126"/>
        <item x="34"/>
        <item x="18"/>
        <item x="54"/>
        <item x="62"/>
        <item x="82"/>
        <item x="151"/>
        <item x="87"/>
        <item x="118"/>
        <item x="38"/>
        <item x="96"/>
        <item x="27"/>
        <item x="145"/>
        <item x="108"/>
        <item x="21"/>
        <item x="60"/>
        <item x="17"/>
        <item x="90"/>
        <item x="31"/>
        <item x="10"/>
        <item x="35"/>
        <item x="29"/>
        <item x="51"/>
        <item x="123"/>
        <item x="99"/>
        <item x="135"/>
        <item x="133"/>
        <item x="58"/>
        <item x="70"/>
        <item x="13"/>
        <item x="7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7">
        <item x="11"/>
        <item x="65"/>
        <item x="9"/>
        <item x="21"/>
        <item x="41"/>
        <item x="24"/>
        <item x="48"/>
        <item x="16"/>
        <item x="47"/>
        <item x="1"/>
        <item x="60"/>
        <item x="35"/>
        <item x="29"/>
        <item x="12"/>
        <item x="59"/>
        <item x="37"/>
        <item x="8"/>
        <item x="50"/>
        <item x="42"/>
        <item x="56"/>
        <item x="6"/>
        <item x="45"/>
        <item x="23"/>
        <item x="2"/>
        <item x="61"/>
        <item x="10"/>
        <item x="36"/>
        <item x="15"/>
        <item x="7"/>
        <item x="52"/>
        <item x="5"/>
        <item x="22"/>
        <item x="44"/>
        <item x="17"/>
        <item x="19"/>
        <item x="43"/>
        <item x="3"/>
        <item x="58"/>
        <item x="57"/>
        <item x="20"/>
        <item x="0"/>
        <item x="54"/>
        <item x="28"/>
        <item x="63"/>
        <item x="33"/>
        <item x="49"/>
        <item x="27"/>
        <item x="62"/>
        <item x="14"/>
        <item x="51"/>
        <item x="39"/>
        <item x="26"/>
        <item x="38"/>
        <item x="13"/>
        <item x="40"/>
        <item x="46"/>
        <item x="64"/>
        <item x="31"/>
        <item x="18"/>
        <item x="55"/>
        <item x="30"/>
        <item x="53"/>
        <item x="32"/>
        <item x="4"/>
        <item x="25"/>
        <item x="34"/>
        <item t="default"/>
      </items>
    </pivotField>
    <pivotField axis="axisRow" showAll="0" sortType="ascending">
      <items count="14">
        <item x="0"/>
        <item x="5"/>
        <item x="6"/>
        <item x="4"/>
        <item x="2"/>
        <item x="12"/>
        <item x="9"/>
        <item x="8"/>
        <item x="11"/>
        <item x="7"/>
        <item x="3"/>
        <item x="10"/>
        <item x="1"/>
        <item t="default"/>
      </items>
    </pivotField>
  </pivotFields>
  <rowFields count="1">
    <field x="24"/>
  </rowFields>
  <rowItems count="9">
    <i>
      <x/>
    </i>
    <i>
      <x v="1"/>
    </i>
    <i>
      <x v="2"/>
    </i>
    <i>
      <x v="3"/>
    </i>
    <i>
      <x v="4"/>
    </i>
    <i>
      <x v="9"/>
    </i>
    <i>
      <x v="10"/>
    </i>
    <i>
      <x v="12"/>
    </i>
    <i t="grand">
      <x/>
    </i>
  </rowItems>
  <colItems count="1">
    <i/>
  </colItems>
  <dataFields count="1">
    <dataField name="Anzahl von College" fld="23" subtotal="count"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Round" xr10:uid="{BEAF00DD-FFAE-400B-9F94-3248FD494657}" sourceName="Round *">
  <pivotTables>
    <pivotTable tabId="26" name="PivotTable1"/>
  </pivotTables>
  <data>
    <tabular pivotCacheId="1398854008">
      <items count="7">
        <i x="0" s="1"/>
        <i x="4"/>
        <i x="1"/>
        <i x="2"/>
        <i x="3" nd="1"/>
        <i x="5" nd="1"/>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Position" xr10:uid="{AB63FDE0-2473-4833-AC40-F5836273D238}" sourceName="Position">
  <pivotTables>
    <pivotTable tabId="26" name="PivotTable1"/>
  </pivotTables>
  <data>
    <tabular pivotCacheId="1398854008">
      <items count="4">
        <i x="0"/>
        <i x="3"/>
        <i x="2" s="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Draft_Class1" xr10:uid="{EA59E2FB-D87A-4E96-8C28-DFA55A95CD85}" sourceName="Draft Class ">
  <pivotTables>
    <pivotTable tabId="26" name="PivotTable3"/>
    <pivotTable tabId="26" name="PivotTable4"/>
    <pivotTable tabId="26" name="PivotTable5"/>
    <pivotTable tabId="26" name="PivotTable6"/>
    <pivotTable tabId="26" name="PivotTable7"/>
  </pivotTables>
  <data>
    <tabular pivotCacheId="1398854008">
      <items count="3">
        <i x="0"/>
        <i x="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Round1" xr10:uid="{FDA9D20A-184F-4271-9614-26270A190FFE}" sourceName="Round *">
  <pivotTables>
    <pivotTable tabId="26" name="PivotTable3"/>
    <pivotTable tabId="26" name="PivotTable4"/>
    <pivotTable tabId="26" name="PivotTable5"/>
    <pivotTable tabId="26" name="PivotTable6"/>
    <pivotTable tabId="26" name="PivotTable7"/>
  </pivotTables>
  <data>
    <tabular pivotCacheId="1398854008">
      <items count="7">
        <i x="0" s="1"/>
        <i x="4" s="1"/>
        <i x="1" s="1"/>
        <i x="2" s="1"/>
        <i x="3" s="1"/>
        <i x="5" s="1" nd="1"/>
        <i x="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Position1" xr10:uid="{F5979CF2-5139-4BF9-B0E3-0C90403C8E87}" sourceName="Position">
  <pivotTables>
    <pivotTable tabId="26" name="PivotTable3"/>
    <pivotTable tabId="26" name="PivotTable4"/>
    <pivotTable tabId="26" name="PivotTable5"/>
    <pivotTable tabId="26" name="PivotTable6"/>
    <pivotTable tabId="26" name="PivotTable7"/>
  </pivotTables>
  <data>
    <tabular pivotCacheId="1398854008">
      <items count="4">
        <i x="0" s="1"/>
        <i x="1" s="1"/>
        <i x="3"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Draft_Class" xr10:uid="{B9EBE051-95F7-44AC-8156-7B19FA8B6E96}" sourceName="Draft Class ">
  <pivotTables>
    <pivotTable tabId="26" name="PivotTable1"/>
  </pivotTables>
  <data>
    <tabular pivotCacheId="1398854008">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raft Class  1" xr10:uid="{511D255C-A279-48B3-931F-02B26EA23988}" cache="Datenschnitt_Draft_Class1" caption="Draft Class " rowHeight="241300"/>
  <slicer name="Round * 1" xr10:uid="{C3408257-7293-4031-B8F9-93FF6B1DD798}" cache="Datenschnitt_Round1" caption="Round *" rowHeight="241300"/>
  <slicer name="Position 1" xr10:uid="{113F8F66-A262-41BB-80B9-7FE80A3C4A24}" cache="Datenschnitt_Position1" caption="Posi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und *" xr10:uid="{79C72299-6E5C-4F6B-AA05-9F6C709B5E07}" cache="Datenschnitt_Round" caption="Round *" rowHeight="241300"/>
  <slicer name="Position" xr10:uid="{6FEC85C6-3378-4C91-B5B8-38BA657E4202}" cache="Datenschnitt_Position" caption="Position" rowHeight="241300"/>
  <slicer name="Draft Class " xr10:uid="{329E803A-70CC-4054-A7DF-872B5402E379}" cache="Datenschnitt_Draft_Class" caption="Draft Class " rowHeight="241300"/>
</slicer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E7236-1463-4CE1-A9B5-D4C08B311E91}">
  <dimension ref="A1:T121"/>
  <sheetViews>
    <sheetView showGridLines="0" workbookViewId="0">
      <selection activeCell="A29" sqref="A29"/>
    </sheetView>
  </sheetViews>
  <sheetFormatPr baseColWidth="10" defaultRowHeight="14.25" x14ac:dyDescent="0.45"/>
  <sheetData>
    <row r="1" spans="1:20" ht="14.25" customHeight="1" x14ac:dyDescent="0.45">
      <c r="A1" s="27" t="s">
        <v>511</v>
      </c>
      <c r="B1" s="27"/>
      <c r="C1" s="27"/>
      <c r="D1" s="27"/>
      <c r="E1" s="27"/>
      <c r="F1" s="27"/>
      <c r="G1" s="27"/>
      <c r="H1" s="27"/>
      <c r="I1" s="27"/>
      <c r="J1" s="27"/>
      <c r="K1" s="27"/>
      <c r="L1" s="27"/>
      <c r="M1" s="28"/>
      <c r="N1" s="28"/>
      <c r="O1" s="29"/>
      <c r="P1" s="29"/>
      <c r="Q1" s="29"/>
      <c r="R1" s="29"/>
      <c r="S1" s="29"/>
      <c r="T1" s="29"/>
    </row>
    <row r="2" spans="1:20" x14ac:dyDescent="0.45">
      <c r="A2" s="27"/>
      <c r="B2" s="27"/>
      <c r="C2" s="27"/>
      <c r="D2" s="27"/>
      <c r="E2" s="27"/>
      <c r="F2" s="27"/>
      <c r="G2" s="27"/>
      <c r="H2" s="27"/>
      <c r="I2" s="27"/>
      <c r="J2" s="27"/>
      <c r="K2" s="27"/>
      <c r="L2" s="27"/>
      <c r="M2" s="28"/>
      <c r="N2" s="28"/>
      <c r="O2" s="29"/>
      <c r="P2" s="29"/>
      <c r="Q2" s="29"/>
      <c r="R2" s="29"/>
      <c r="S2" s="29"/>
      <c r="T2" s="29"/>
    </row>
    <row r="3" spans="1:20" x14ac:dyDescent="0.45">
      <c r="A3" s="27"/>
      <c r="B3" s="27"/>
      <c r="C3" s="27"/>
      <c r="D3" s="27"/>
      <c r="E3" s="27"/>
      <c r="F3" s="27"/>
      <c r="G3" s="27"/>
      <c r="H3" s="27"/>
      <c r="I3" s="27"/>
      <c r="J3" s="27"/>
      <c r="K3" s="27"/>
      <c r="L3" s="27"/>
      <c r="M3" s="28"/>
      <c r="N3" s="28"/>
      <c r="O3" s="29"/>
      <c r="P3" s="29"/>
      <c r="Q3" s="29"/>
      <c r="R3" s="29"/>
      <c r="S3" s="29"/>
      <c r="T3" s="29"/>
    </row>
    <row r="4" spans="1:20" x14ac:dyDescent="0.45">
      <c r="A4" s="27"/>
      <c r="B4" s="27"/>
      <c r="C4" s="27"/>
      <c r="D4" s="27"/>
      <c r="E4" s="27"/>
      <c r="F4" s="27"/>
      <c r="G4" s="27"/>
      <c r="H4" s="27"/>
      <c r="I4" s="27"/>
      <c r="J4" s="27"/>
      <c r="K4" s="27"/>
      <c r="L4" s="27"/>
      <c r="M4" s="28"/>
      <c r="N4" s="28"/>
      <c r="O4" s="29"/>
      <c r="P4" s="29"/>
      <c r="Q4" s="29"/>
      <c r="R4" s="29"/>
      <c r="S4" s="29"/>
      <c r="T4" s="29"/>
    </row>
    <row r="5" spans="1:20" x14ac:dyDescent="0.45">
      <c r="A5" s="27"/>
      <c r="B5" s="27"/>
      <c r="C5" s="27"/>
      <c r="D5" s="27"/>
      <c r="E5" s="27"/>
      <c r="F5" s="27"/>
      <c r="G5" s="27"/>
      <c r="H5" s="27"/>
      <c r="I5" s="27"/>
      <c r="J5" s="27"/>
      <c r="K5" s="27"/>
      <c r="L5" s="27"/>
      <c r="M5" s="28"/>
      <c r="N5" s="28"/>
      <c r="O5" s="29"/>
      <c r="P5" s="29"/>
      <c r="Q5" s="29"/>
      <c r="R5" s="29"/>
      <c r="S5" s="29"/>
      <c r="T5" s="29"/>
    </row>
    <row r="6" spans="1:20" x14ac:dyDescent="0.45">
      <c r="A6" s="27"/>
      <c r="B6" s="27"/>
      <c r="C6" s="27"/>
      <c r="D6" s="27"/>
      <c r="E6" s="27"/>
      <c r="F6" s="27"/>
      <c r="G6" s="27"/>
      <c r="H6" s="27"/>
      <c r="I6" s="27"/>
      <c r="J6" s="27"/>
      <c r="K6" s="27"/>
      <c r="L6" s="27"/>
      <c r="M6" s="28"/>
      <c r="N6" s="28"/>
      <c r="O6" s="29"/>
      <c r="P6" s="29"/>
      <c r="Q6" s="29"/>
      <c r="R6" s="29"/>
      <c r="S6" s="29"/>
      <c r="T6" s="29"/>
    </row>
    <row r="7" spans="1:20" x14ac:dyDescent="0.45">
      <c r="A7" s="27"/>
      <c r="B7" s="27"/>
      <c r="C7" s="27"/>
      <c r="D7" s="27"/>
      <c r="E7" s="27"/>
      <c r="F7" s="27"/>
      <c r="G7" s="27"/>
      <c r="H7" s="27"/>
      <c r="I7" s="27"/>
      <c r="J7" s="27"/>
      <c r="K7" s="27"/>
      <c r="L7" s="27"/>
      <c r="M7" s="28"/>
      <c r="N7" s="28"/>
      <c r="O7" s="29"/>
      <c r="P7" s="29"/>
      <c r="Q7" s="29"/>
      <c r="R7" s="29"/>
      <c r="S7" s="29"/>
      <c r="T7" s="29"/>
    </row>
    <row r="8" spans="1:20" x14ac:dyDescent="0.45">
      <c r="A8" s="27"/>
      <c r="B8" s="27"/>
      <c r="C8" s="27"/>
      <c r="D8" s="27"/>
      <c r="E8" s="27"/>
      <c r="F8" s="27"/>
      <c r="G8" s="27"/>
      <c r="H8" s="27"/>
      <c r="I8" s="27"/>
      <c r="J8" s="27"/>
      <c r="K8" s="27"/>
      <c r="L8" s="27"/>
      <c r="M8" s="28"/>
      <c r="N8" s="28"/>
      <c r="O8" s="29"/>
      <c r="P8" s="29"/>
      <c r="Q8" s="29"/>
      <c r="R8" s="29"/>
      <c r="S8" s="29"/>
      <c r="T8" s="29"/>
    </row>
    <row r="9" spans="1:20" x14ac:dyDescent="0.45">
      <c r="A9" s="27"/>
      <c r="B9" s="27"/>
      <c r="C9" s="27"/>
      <c r="D9" s="27"/>
      <c r="E9" s="27"/>
      <c r="F9" s="27"/>
      <c r="G9" s="27"/>
      <c r="H9" s="27"/>
      <c r="I9" s="27"/>
      <c r="J9" s="27"/>
      <c r="K9" s="27"/>
      <c r="L9" s="27"/>
      <c r="M9" s="28"/>
      <c r="N9" s="28"/>
      <c r="O9" s="29"/>
      <c r="P9" s="29"/>
      <c r="Q9" s="29"/>
      <c r="R9" s="29"/>
      <c r="S9" s="29"/>
      <c r="T9" s="29"/>
    </row>
    <row r="10" spans="1:20" x14ac:dyDescent="0.45">
      <c r="A10" s="27"/>
      <c r="B10" s="27"/>
      <c r="C10" s="27"/>
      <c r="D10" s="27"/>
      <c r="E10" s="27"/>
      <c r="F10" s="27"/>
      <c r="G10" s="27"/>
      <c r="H10" s="27"/>
      <c r="I10" s="27"/>
      <c r="J10" s="27"/>
      <c r="K10" s="27"/>
      <c r="L10" s="27"/>
      <c r="M10" s="28"/>
      <c r="N10" s="28"/>
      <c r="O10" s="29"/>
      <c r="P10" s="29"/>
      <c r="Q10" s="29"/>
      <c r="R10" s="29"/>
      <c r="S10" s="29"/>
      <c r="T10" s="29"/>
    </row>
    <row r="11" spans="1:20" x14ac:dyDescent="0.45">
      <c r="A11" s="28"/>
      <c r="B11" s="28"/>
      <c r="C11" s="28"/>
      <c r="D11" s="28"/>
      <c r="E11" s="28"/>
      <c r="F11" s="28"/>
      <c r="G11" s="28"/>
      <c r="H11" s="28"/>
      <c r="I11" s="28"/>
      <c r="J11" s="28"/>
      <c r="K11" s="28"/>
      <c r="L11" s="28"/>
      <c r="M11" s="28"/>
      <c r="N11" s="28"/>
      <c r="O11" s="29"/>
      <c r="P11" s="29"/>
      <c r="Q11" s="29"/>
      <c r="R11" s="29"/>
      <c r="S11" s="29"/>
      <c r="T11" s="29"/>
    </row>
    <row r="12" spans="1:20" ht="14.25" customHeight="1" x14ac:dyDescent="0.45">
      <c r="A12" s="30" t="s">
        <v>512</v>
      </c>
      <c r="B12" s="30"/>
      <c r="C12" s="30"/>
      <c r="D12" s="30"/>
      <c r="E12" s="30"/>
      <c r="F12" s="30"/>
      <c r="G12" s="30"/>
      <c r="H12" s="30"/>
      <c r="I12" s="30"/>
      <c r="J12" s="30"/>
      <c r="K12" s="30"/>
      <c r="L12" s="30"/>
      <c r="M12" s="28"/>
      <c r="N12" s="28"/>
      <c r="O12" s="29"/>
      <c r="P12" s="29"/>
      <c r="Q12" s="29"/>
      <c r="R12" s="29"/>
      <c r="S12" s="29"/>
      <c r="T12" s="29"/>
    </row>
    <row r="13" spans="1:20" x14ac:dyDescent="0.45">
      <c r="A13" s="30"/>
      <c r="B13" s="30"/>
      <c r="C13" s="30"/>
      <c r="D13" s="30"/>
      <c r="E13" s="30"/>
      <c r="F13" s="30"/>
      <c r="G13" s="30"/>
      <c r="H13" s="30"/>
      <c r="I13" s="30"/>
      <c r="J13" s="30"/>
      <c r="K13" s="30"/>
      <c r="L13" s="30"/>
      <c r="M13" s="28"/>
      <c r="N13" s="28"/>
      <c r="O13" s="29"/>
      <c r="P13" s="29"/>
      <c r="Q13" s="29"/>
      <c r="R13" s="29"/>
      <c r="S13" s="29"/>
      <c r="T13" s="29"/>
    </row>
    <row r="14" spans="1:20" x14ac:dyDescent="0.45">
      <c r="A14" s="30"/>
      <c r="B14" s="30"/>
      <c r="C14" s="30"/>
      <c r="D14" s="30"/>
      <c r="E14" s="30"/>
      <c r="F14" s="30"/>
      <c r="G14" s="30"/>
      <c r="H14" s="30"/>
      <c r="I14" s="30"/>
      <c r="J14" s="30"/>
      <c r="K14" s="30"/>
      <c r="L14" s="30"/>
      <c r="M14" s="28"/>
      <c r="N14" s="28"/>
      <c r="O14" s="29"/>
      <c r="P14" s="29"/>
      <c r="Q14" s="29"/>
      <c r="R14" s="29"/>
      <c r="S14" s="29"/>
      <c r="T14" s="29"/>
    </row>
    <row r="15" spans="1:20" x14ac:dyDescent="0.45">
      <c r="A15" s="30"/>
      <c r="B15" s="30"/>
      <c r="C15" s="30"/>
      <c r="D15" s="30"/>
      <c r="E15" s="30"/>
      <c r="F15" s="30"/>
      <c r="G15" s="30"/>
      <c r="H15" s="30"/>
      <c r="I15" s="30"/>
      <c r="J15" s="30"/>
      <c r="K15" s="30"/>
      <c r="L15" s="30"/>
      <c r="M15" s="28"/>
      <c r="N15" s="28"/>
      <c r="O15" s="29"/>
      <c r="P15" s="29"/>
      <c r="Q15" s="29"/>
      <c r="R15" s="29"/>
      <c r="S15" s="29"/>
      <c r="T15" s="29"/>
    </row>
    <row r="16" spans="1:20" x14ac:dyDescent="0.45">
      <c r="A16" s="30"/>
      <c r="B16" s="30"/>
      <c r="C16" s="30"/>
      <c r="D16" s="30"/>
      <c r="E16" s="30"/>
      <c r="F16" s="30"/>
      <c r="G16" s="30"/>
      <c r="H16" s="30"/>
      <c r="I16" s="30"/>
      <c r="J16" s="30"/>
      <c r="K16" s="30"/>
      <c r="L16" s="30"/>
      <c r="M16" s="28"/>
      <c r="N16" s="28"/>
      <c r="O16" s="29"/>
      <c r="P16" s="29"/>
      <c r="Q16" s="29"/>
      <c r="R16" s="29"/>
      <c r="S16" s="29"/>
      <c r="T16" s="29"/>
    </row>
    <row r="17" spans="1:20" x14ac:dyDescent="0.45">
      <c r="A17" s="30"/>
      <c r="B17" s="30"/>
      <c r="C17" s="30"/>
      <c r="D17" s="30"/>
      <c r="E17" s="30"/>
      <c r="F17" s="30"/>
      <c r="G17" s="30"/>
      <c r="H17" s="30"/>
      <c r="I17" s="30"/>
      <c r="J17" s="30"/>
      <c r="K17" s="30"/>
      <c r="L17" s="30"/>
      <c r="M17" s="28"/>
      <c r="N17" s="28"/>
      <c r="O17" s="29"/>
      <c r="P17" s="29"/>
      <c r="Q17" s="29"/>
      <c r="R17" s="29"/>
      <c r="S17" s="29"/>
      <c r="T17" s="29"/>
    </row>
    <row r="18" spans="1:20" x14ac:dyDescent="0.45">
      <c r="A18" s="30"/>
      <c r="B18" s="30"/>
      <c r="C18" s="30"/>
      <c r="D18" s="30"/>
      <c r="E18" s="30"/>
      <c r="F18" s="30"/>
      <c r="G18" s="30"/>
      <c r="H18" s="30"/>
      <c r="I18" s="30"/>
      <c r="J18" s="30"/>
      <c r="K18" s="30"/>
      <c r="L18" s="30"/>
      <c r="M18" s="28"/>
      <c r="N18" s="28"/>
      <c r="O18" s="29"/>
      <c r="P18" s="29"/>
      <c r="Q18" s="29"/>
      <c r="R18" s="29"/>
      <c r="S18" s="29"/>
      <c r="T18" s="29"/>
    </row>
    <row r="19" spans="1:20" ht="14.25" customHeight="1" x14ac:dyDescent="0.45">
      <c r="A19" s="27" t="s">
        <v>513</v>
      </c>
      <c r="B19" s="27"/>
      <c r="C19" s="27"/>
      <c r="D19" s="27"/>
      <c r="E19" s="27"/>
      <c r="F19" s="27"/>
      <c r="G19" s="27"/>
      <c r="H19" s="27"/>
      <c r="I19" s="27"/>
      <c r="J19" s="27"/>
      <c r="K19" s="27"/>
      <c r="L19" s="27"/>
      <c r="M19" s="28"/>
      <c r="N19" s="28"/>
      <c r="O19" s="29"/>
      <c r="P19" s="29"/>
      <c r="Q19" s="29"/>
      <c r="R19" s="29"/>
      <c r="S19" s="29"/>
      <c r="T19" s="29"/>
    </row>
    <row r="20" spans="1:20" x14ac:dyDescent="0.45">
      <c r="A20" s="27"/>
      <c r="B20" s="27"/>
      <c r="C20" s="27"/>
      <c r="D20" s="27"/>
      <c r="E20" s="27"/>
      <c r="F20" s="27"/>
      <c r="G20" s="27"/>
      <c r="H20" s="27"/>
      <c r="I20" s="27"/>
      <c r="J20" s="27"/>
      <c r="K20" s="27"/>
      <c r="L20" s="27"/>
      <c r="M20" s="28"/>
      <c r="N20" s="28"/>
      <c r="O20" s="29"/>
      <c r="P20" s="29"/>
      <c r="Q20" s="29"/>
      <c r="R20" s="29"/>
      <c r="S20" s="29"/>
      <c r="T20" s="29"/>
    </row>
    <row r="21" spans="1:20" x14ac:dyDescent="0.45">
      <c r="A21" s="27"/>
      <c r="B21" s="27"/>
      <c r="C21" s="27"/>
      <c r="D21" s="27"/>
      <c r="E21" s="27"/>
      <c r="F21" s="27"/>
      <c r="G21" s="27"/>
      <c r="H21" s="27"/>
      <c r="I21" s="27"/>
      <c r="J21" s="27"/>
      <c r="K21" s="27"/>
      <c r="L21" s="27"/>
      <c r="M21" s="28"/>
      <c r="N21" s="28"/>
      <c r="O21" s="29"/>
      <c r="P21" s="29"/>
      <c r="Q21" s="29"/>
      <c r="R21" s="29"/>
      <c r="S21" s="29"/>
      <c r="T21" s="29"/>
    </row>
    <row r="22" spans="1:20" x14ac:dyDescent="0.45">
      <c r="A22" s="27"/>
      <c r="B22" s="27"/>
      <c r="C22" s="27"/>
      <c r="D22" s="27"/>
      <c r="E22" s="27"/>
      <c r="F22" s="27"/>
      <c r="G22" s="27"/>
      <c r="H22" s="27"/>
      <c r="I22" s="27"/>
      <c r="J22" s="27"/>
      <c r="K22" s="27"/>
      <c r="L22" s="27"/>
      <c r="M22" s="28"/>
      <c r="N22" s="28"/>
      <c r="O22" s="29"/>
      <c r="P22" s="29"/>
      <c r="Q22" s="29"/>
      <c r="R22" s="29"/>
      <c r="S22" s="29"/>
      <c r="T22" s="29"/>
    </row>
    <row r="23" spans="1:20" x14ac:dyDescent="0.45">
      <c r="A23" s="27"/>
      <c r="B23" s="27"/>
      <c r="C23" s="27"/>
      <c r="D23" s="27"/>
      <c r="E23" s="27"/>
      <c r="F23" s="27"/>
      <c r="G23" s="27"/>
      <c r="H23" s="27"/>
      <c r="I23" s="27"/>
      <c r="J23" s="27"/>
      <c r="K23" s="27"/>
      <c r="L23" s="27"/>
      <c r="M23" s="28"/>
      <c r="N23" s="28"/>
      <c r="O23" s="29"/>
      <c r="P23" s="29"/>
      <c r="Q23" s="29"/>
      <c r="R23" s="29"/>
      <c r="S23" s="29"/>
      <c r="T23" s="29"/>
    </row>
    <row r="24" spans="1:20" x14ac:dyDescent="0.45">
      <c r="A24" s="27"/>
      <c r="B24" s="27"/>
      <c r="C24" s="27"/>
      <c r="D24" s="27"/>
      <c r="E24" s="27"/>
      <c r="F24" s="27"/>
      <c r="G24" s="27"/>
      <c r="H24" s="27"/>
      <c r="I24" s="27"/>
      <c r="J24" s="27"/>
      <c r="K24" s="27"/>
      <c r="L24" s="27"/>
      <c r="M24" s="28"/>
      <c r="N24" s="28"/>
      <c r="O24" s="29"/>
      <c r="P24" s="29"/>
      <c r="Q24" s="29"/>
      <c r="R24" s="29"/>
      <c r="S24" s="29"/>
      <c r="T24" s="29"/>
    </row>
    <row r="25" spans="1:20" x14ac:dyDescent="0.45">
      <c r="A25" s="27"/>
      <c r="B25" s="27"/>
      <c r="C25" s="27"/>
      <c r="D25" s="27"/>
      <c r="E25" s="27"/>
      <c r="F25" s="27"/>
      <c r="G25" s="27"/>
      <c r="H25" s="27"/>
      <c r="I25" s="27"/>
      <c r="J25" s="27"/>
      <c r="K25" s="27"/>
      <c r="L25" s="27"/>
      <c r="M25" s="28"/>
      <c r="N25" s="28"/>
      <c r="O25" s="29"/>
      <c r="P25" s="29"/>
      <c r="Q25" s="29"/>
      <c r="R25" s="29"/>
      <c r="S25" s="29"/>
      <c r="T25" s="29"/>
    </row>
    <row r="26" spans="1:20" x14ac:dyDescent="0.45">
      <c r="A26" s="27"/>
      <c r="B26" s="27"/>
      <c r="C26" s="27"/>
      <c r="D26" s="27"/>
      <c r="E26" s="27"/>
      <c r="F26" s="27"/>
      <c r="G26" s="27"/>
      <c r="H26" s="27"/>
      <c r="I26" s="27"/>
      <c r="J26" s="27"/>
      <c r="K26" s="27"/>
      <c r="L26" s="27"/>
      <c r="M26" s="28"/>
      <c r="N26" s="28"/>
      <c r="O26" s="29"/>
      <c r="P26" s="29"/>
      <c r="Q26" s="29"/>
      <c r="R26" s="29"/>
      <c r="S26" s="29"/>
      <c r="T26" s="29"/>
    </row>
    <row r="27" spans="1:20" x14ac:dyDescent="0.45">
      <c r="A27" s="27"/>
      <c r="B27" s="27"/>
      <c r="C27" s="27"/>
      <c r="D27" s="27"/>
      <c r="E27" s="27"/>
      <c r="F27" s="27"/>
      <c r="G27" s="27"/>
      <c r="H27" s="27"/>
      <c r="I27" s="27"/>
      <c r="J27" s="27"/>
      <c r="K27" s="27"/>
      <c r="L27" s="27"/>
      <c r="M27" s="28"/>
      <c r="N27" s="28"/>
      <c r="O27" s="29"/>
      <c r="P27" s="29"/>
      <c r="Q27" s="29"/>
      <c r="R27" s="29"/>
      <c r="S27" s="29"/>
      <c r="T27" s="29"/>
    </row>
    <row r="28" spans="1:20" x14ac:dyDescent="0.45">
      <c r="A28" s="27"/>
      <c r="B28" s="27"/>
      <c r="C28" s="27"/>
      <c r="D28" s="27"/>
      <c r="E28" s="27"/>
      <c r="F28" s="27"/>
      <c r="G28" s="27"/>
      <c r="H28" s="27"/>
      <c r="I28" s="27"/>
      <c r="J28" s="27"/>
      <c r="K28" s="27"/>
      <c r="L28" s="27"/>
      <c r="M28" s="28"/>
      <c r="N28" s="28"/>
      <c r="O28" s="29"/>
      <c r="P28" s="29"/>
      <c r="Q28" s="29"/>
      <c r="R28" s="29"/>
      <c r="S28" s="29"/>
      <c r="T28" s="29"/>
    </row>
    <row r="29" spans="1:20" x14ac:dyDescent="0.45">
      <c r="A29" s="29"/>
      <c r="B29" s="29"/>
      <c r="C29" s="29"/>
      <c r="D29" s="29"/>
      <c r="E29" s="29"/>
      <c r="F29" s="29"/>
      <c r="G29" s="29"/>
      <c r="H29" s="29"/>
      <c r="I29" s="29"/>
      <c r="J29" s="29"/>
      <c r="K29" s="29"/>
      <c r="L29" s="29"/>
      <c r="M29" s="29"/>
      <c r="N29" s="29"/>
      <c r="O29" s="29"/>
      <c r="P29" s="29"/>
      <c r="Q29" s="29"/>
      <c r="R29" s="29"/>
      <c r="S29" s="29"/>
      <c r="T29" s="29"/>
    </row>
    <row r="30" spans="1:20" x14ac:dyDescent="0.45">
      <c r="A30" s="29"/>
      <c r="B30" s="29"/>
      <c r="C30" s="29"/>
      <c r="D30" s="29"/>
      <c r="E30" s="29"/>
      <c r="F30" s="29"/>
      <c r="G30" s="29"/>
      <c r="H30" s="29"/>
      <c r="I30" s="29"/>
      <c r="J30" s="29"/>
      <c r="K30" s="29"/>
      <c r="L30" s="29"/>
      <c r="M30" s="29"/>
      <c r="N30" s="29"/>
      <c r="O30" s="29"/>
      <c r="P30" s="29"/>
      <c r="Q30" s="29"/>
      <c r="R30" s="29"/>
      <c r="S30" s="29"/>
      <c r="T30" s="29"/>
    </row>
    <row r="31" spans="1:20" x14ac:dyDescent="0.45">
      <c r="A31" s="29"/>
      <c r="B31" s="29"/>
      <c r="C31" s="29"/>
      <c r="D31" s="29"/>
      <c r="E31" s="29"/>
      <c r="F31" s="29"/>
      <c r="G31" s="29"/>
      <c r="H31" s="29"/>
      <c r="I31" s="29"/>
      <c r="J31" s="29"/>
      <c r="K31" s="29"/>
      <c r="L31" s="29"/>
      <c r="M31" s="29"/>
      <c r="N31" s="29"/>
      <c r="O31" s="29"/>
      <c r="P31" s="29"/>
      <c r="Q31" s="29"/>
      <c r="R31" s="29"/>
      <c r="S31" s="29"/>
      <c r="T31" s="29"/>
    </row>
    <row r="32" spans="1:20" x14ac:dyDescent="0.45">
      <c r="A32" s="29"/>
      <c r="B32" s="29"/>
      <c r="C32" s="29"/>
      <c r="D32" s="29"/>
      <c r="E32" s="29"/>
      <c r="F32" s="29"/>
      <c r="G32" s="29"/>
      <c r="H32" s="29"/>
      <c r="I32" s="29"/>
      <c r="J32" s="29"/>
      <c r="K32" s="29"/>
      <c r="L32" s="29"/>
      <c r="M32" s="29"/>
      <c r="N32" s="29"/>
      <c r="O32" s="29"/>
      <c r="P32" s="29"/>
      <c r="Q32" s="29"/>
      <c r="R32" s="29"/>
      <c r="S32" s="29"/>
      <c r="T32" s="29"/>
    </row>
    <row r="33" spans="1:20" x14ac:dyDescent="0.45">
      <c r="A33" s="29"/>
      <c r="B33" s="29"/>
      <c r="C33" s="29"/>
      <c r="D33" s="29"/>
      <c r="E33" s="29"/>
      <c r="F33" s="29"/>
      <c r="G33" s="29"/>
      <c r="H33" s="29"/>
      <c r="I33" s="29"/>
      <c r="J33" s="29"/>
      <c r="K33" s="29"/>
      <c r="L33" s="29"/>
      <c r="M33" s="29"/>
      <c r="N33" s="29"/>
      <c r="O33" s="29"/>
      <c r="P33" s="29"/>
      <c r="Q33" s="29"/>
      <c r="R33" s="29"/>
      <c r="S33" s="29"/>
      <c r="T33" s="29"/>
    </row>
    <row r="34" spans="1:20" x14ac:dyDescent="0.45">
      <c r="A34" s="29"/>
      <c r="B34" s="29"/>
      <c r="C34" s="29"/>
      <c r="D34" s="29"/>
      <c r="E34" s="29"/>
      <c r="F34" s="29"/>
      <c r="G34" s="29"/>
      <c r="H34" s="29"/>
      <c r="I34" s="29"/>
      <c r="J34" s="29"/>
      <c r="K34" s="29"/>
      <c r="L34" s="29"/>
      <c r="M34" s="29"/>
      <c r="N34" s="29"/>
      <c r="O34" s="29"/>
      <c r="P34" s="29"/>
      <c r="Q34" s="29"/>
      <c r="R34" s="29"/>
      <c r="S34" s="29"/>
      <c r="T34" s="29"/>
    </row>
    <row r="35" spans="1:20" x14ac:dyDescent="0.45">
      <c r="A35" s="29"/>
      <c r="B35" s="29"/>
      <c r="C35" s="29"/>
      <c r="D35" s="29"/>
      <c r="E35" s="29"/>
      <c r="F35" s="29"/>
      <c r="G35" s="29"/>
      <c r="H35" s="29"/>
      <c r="I35" s="29"/>
      <c r="J35" s="29"/>
      <c r="K35" s="29"/>
      <c r="L35" s="29"/>
      <c r="M35" s="29"/>
      <c r="N35" s="29"/>
      <c r="O35" s="29"/>
      <c r="P35" s="29"/>
      <c r="Q35" s="29"/>
      <c r="R35" s="29"/>
      <c r="S35" s="29"/>
      <c r="T35" s="29"/>
    </row>
    <row r="36" spans="1:20" x14ac:dyDescent="0.45">
      <c r="A36" s="29"/>
      <c r="B36" s="29"/>
      <c r="C36" s="29"/>
      <c r="D36" s="29"/>
      <c r="E36" s="29"/>
      <c r="F36" s="29"/>
      <c r="G36" s="29"/>
      <c r="H36" s="29"/>
      <c r="I36" s="29"/>
      <c r="J36" s="29"/>
      <c r="K36" s="29"/>
      <c r="L36" s="29"/>
      <c r="M36" s="29"/>
      <c r="N36" s="29"/>
      <c r="O36" s="29"/>
      <c r="P36" s="29"/>
      <c r="Q36" s="29"/>
      <c r="R36" s="29"/>
      <c r="S36" s="29"/>
      <c r="T36" s="29"/>
    </row>
    <row r="37" spans="1:20" x14ac:dyDescent="0.45">
      <c r="A37" s="29"/>
      <c r="B37" s="29"/>
      <c r="C37" s="29"/>
      <c r="D37" s="29"/>
      <c r="E37" s="29"/>
      <c r="F37" s="29"/>
      <c r="G37" s="29"/>
      <c r="H37" s="29"/>
      <c r="I37" s="29"/>
      <c r="J37" s="29"/>
      <c r="K37" s="29"/>
      <c r="L37" s="29"/>
      <c r="M37" s="29"/>
      <c r="N37" s="29"/>
      <c r="O37" s="29"/>
      <c r="P37" s="29"/>
      <c r="Q37" s="29"/>
      <c r="R37" s="29"/>
      <c r="S37" s="29"/>
      <c r="T37" s="29"/>
    </row>
    <row r="38" spans="1:20" x14ac:dyDescent="0.45">
      <c r="A38" s="29"/>
      <c r="B38" s="29"/>
      <c r="C38" s="29"/>
      <c r="D38" s="29"/>
      <c r="E38" s="29"/>
      <c r="F38" s="29"/>
      <c r="G38" s="29"/>
      <c r="H38" s="29"/>
      <c r="I38" s="29"/>
      <c r="J38" s="29"/>
      <c r="K38" s="29"/>
      <c r="L38" s="29"/>
      <c r="M38" s="29"/>
      <c r="N38" s="29"/>
      <c r="O38" s="29"/>
      <c r="P38" s="29"/>
      <c r="Q38" s="29"/>
      <c r="R38" s="29"/>
      <c r="S38" s="29"/>
      <c r="T38" s="29"/>
    </row>
    <row r="39" spans="1:20" x14ac:dyDescent="0.45">
      <c r="A39" s="29"/>
      <c r="B39" s="29"/>
      <c r="C39" s="29"/>
      <c r="D39" s="29"/>
      <c r="E39" s="29"/>
      <c r="F39" s="29"/>
      <c r="G39" s="29"/>
      <c r="H39" s="29"/>
      <c r="I39" s="29"/>
      <c r="J39" s="29"/>
      <c r="K39" s="29"/>
      <c r="L39" s="29"/>
      <c r="M39" s="29"/>
      <c r="N39" s="29"/>
      <c r="O39" s="29"/>
      <c r="P39" s="29"/>
      <c r="Q39" s="29"/>
      <c r="R39" s="29"/>
      <c r="S39" s="29"/>
      <c r="T39" s="29"/>
    </row>
    <row r="40" spans="1:20" x14ac:dyDescent="0.45">
      <c r="A40" s="29"/>
      <c r="B40" s="29"/>
      <c r="C40" s="29"/>
      <c r="D40" s="29"/>
      <c r="E40" s="29"/>
      <c r="F40" s="29"/>
      <c r="G40" s="29"/>
      <c r="H40" s="29"/>
      <c r="I40" s="29"/>
      <c r="J40" s="29"/>
      <c r="K40" s="29"/>
      <c r="L40" s="29"/>
      <c r="M40" s="29"/>
      <c r="N40" s="29"/>
      <c r="O40" s="29"/>
      <c r="P40" s="29"/>
      <c r="Q40" s="29"/>
      <c r="R40" s="29"/>
      <c r="S40" s="29"/>
      <c r="T40" s="29"/>
    </row>
    <row r="41" spans="1:20" x14ac:dyDescent="0.45">
      <c r="A41" s="29"/>
      <c r="B41" s="29"/>
      <c r="C41" s="29"/>
      <c r="D41" s="29"/>
      <c r="E41" s="29"/>
      <c r="F41" s="29"/>
      <c r="G41" s="29"/>
      <c r="H41" s="29"/>
      <c r="I41" s="29"/>
      <c r="J41" s="29"/>
      <c r="K41" s="29"/>
      <c r="L41" s="29"/>
      <c r="M41" s="29"/>
      <c r="N41" s="29"/>
      <c r="O41" s="29"/>
      <c r="P41" s="29"/>
      <c r="Q41" s="29"/>
      <c r="R41" s="29"/>
      <c r="S41" s="29"/>
      <c r="T41" s="29"/>
    </row>
    <row r="42" spans="1:20" x14ac:dyDescent="0.45">
      <c r="A42" s="29"/>
      <c r="B42" s="29"/>
      <c r="C42" s="29"/>
      <c r="D42" s="29"/>
      <c r="E42" s="29"/>
      <c r="F42" s="29"/>
      <c r="G42" s="29"/>
      <c r="H42" s="29"/>
      <c r="I42" s="29"/>
      <c r="J42" s="29"/>
      <c r="K42" s="29"/>
      <c r="L42" s="29"/>
      <c r="M42" s="29"/>
      <c r="N42" s="29"/>
      <c r="O42" s="29"/>
      <c r="P42" s="29"/>
      <c r="Q42" s="29"/>
      <c r="R42" s="29"/>
      <c r="S42" s="29"/>
      <c r="T42" s="29"/>
    </row>
    <row r="43" spans="1:20" x14ac:dyDescent="0.45">
      <c r="A43" s="29"/>
      <c r="B43" s="29"/>
      <c r="C43" s="29"/>
      <c r="D43" s="29"/>
      <c r="E43" s="29"/>
      <c r="F43" s="29"/>
      <c r="G43" s="29"/>
      <c r="H43" s="29"/>
      <c r="I43" s="29"/>
      <c r="J43" s="29"/>
      <c r="K43" s="29"/>
      <c r="L43" s="29"/>
      <c r="M43" s="29"/>
      <c r="N43" s="29"/>
      <c r="O43" s="29"/>
      <c r="P43" s="29"/>
      <c r="Q43" s="29"/>
      <c r="R43" s="29"/>
      <c r="S43" s="29"/>
      <c r="T43" s="29"/>
    </row>
    <row r="44" spans="1:20" x14ac:dyDescent="0.45">
      <c r="A44" s="29"/>
      <c r="B44" s="29"/>
      <c r="C44" s="29"/>
      <c r="D44" s="29"/>
      <c r="E44" s="29"/>
      <c r="F44" s="29"/>
      <c r="G44" s="29"/>
      <c r="H44" s="29"/>
      <c r="I44" s="29"/>
      <c r="J44" s="29"/>
      <c r="K44" s="29"/>
      <c r="L44" s="29"/>
      <c r="M44" s="29"/>
      <c r="N44" s="29"/>
      <c r="O44" s="29"/>
      <c r="P44" s="29"/>
      <c r="Q44" s="29"/>
      <c r="R44" s="29"/>
      <c r="S44" s="29"/>
      <c r="T44" s="29"/>
    </row>
    <row r="45" spans="1:20" x14ac:dyDescent="0.45">
      <c r="A45" s="29"/>
      <c r="B45" s="29"/>
      <c r="C45" s="29"/>
      <c r="D45" s="29"/>
      <c r="E45" s="29"/>
      <c r="F45" s="29"/>
      <c r="G45" s="29"/>
      <c r="H45" s="29"/>
      <c r="I45" s="29"/>
      <c r="J45" s="29"/>
      <c r="K45" s="29"/>
      <c r="L45" s="29"/>
      <c r="M45" s="29"/>
      <c r="N45" s="29"/>
      <c r="O45" s="29"/>
      <c r="P45" s="29"/>
      <c r="Q45" s="29"/>
      <c r="R45" s="29"/>
      <c r="S45" s="29"/>
      <c r="T45" s="29"/>
    </row>
    <row r="46" spans="1:20" x14ac:dyDescent="0.45">
      <c r="A46" s="29"/>
      <c r="B46" s="29"/>
      <c r="C46" s="29"/>
      <c r="D46" s="29"/>
      <c r="E46" s="29"/>
      <c r="F46" s="29"/>
      <c r="G46" s="29"/>
      <c r="H46" s="29"/>
      <c r="I46" s="29"/>
      <c r="J46" s="29"/>
      <c r="K46" s="29"/>
      <c r="L46" s="29"/>
      <c r="M46" s="29"/>
      <c r="N46" s="29"/>
      <c r="O46" s="29"/>
      <c r="P46" s="29"/>
      <c r="Q46" s="29"/>
      <c r="R46" s="29"/>
      <c r="S46" s="29"/>
      <c r="T46" s="29"/>
    </row>
    <row r="47" spans="1:20" x14ac:dyDescent="0.45">
      <c r="A47" s="29"/>
      <c r="B47" s="29"/>
      <c r="C47" s="29"/>
      <c r="D47" s="29"/>
      <c r="E47" s="29"/>
      <c r="F47" s="29"/>
      <c r="G47" s="29"/>
      <c r="H47" s="29"/>
      <c r="I47" s="29"/>
      <c r="J47" s="29"/>
      <c r="K47" s="29"/>
      <c r="L47" s="29"/>
      <c r="M47" s="29"/>
      <c r="N47" s="29"/>
      <c r="O47" s="29"/>
      <c r="P47" s="29"/>
      <c r="Q47" s="29"/>
      <c r="R47" s="29"/>
      <c r="S47" s="29"/>
      <c r="T47" s="29"/>
    </row>
    <row r="48" spans="1:20" x14ac:dyDescent="0.45">
      <c r="A48" s="29"/>
      <c r="B48" s="29"/>
      <c r="C48" s="29"/>
      <c r="D48" s="29"/>
      <c r="E48" s="29"/>
      <c r="F48" s="29"/>
      <c r="G48" s="29"/>
      <c r="H48" s="29"/>
      <c r="I48" s="29"/>
      <c r="J48" s="29"/>
      <c r="K48" s="29"/>
      <c r="L48" s="29"/>
      <c r="M48" s="29"/>
      <c r="N48" s="29"/>
      <c r="O48" s="29"/>
      <c r="P48" s="29"/>
      <c r="Q48" s="29"/>
      <c r="R48" s="29"/>
      <c r="S48" s="29"/>
      <c r="T48" s="29"/>
    </row>
    <row r="49" spans="1:20" x14ac:dyDescent="0.45">
      <c r="A49" s="29"/>
      <c r="B49" s="29"/>
      <c r="C49" s="29"/>
      <c r="D49" s="29"/>
      <c r="E49" s="29"/>
      <c r="F49" s="29"/>
      <c r="G49" s="29"/>
      <c r="H49" s="29"/>
      <c r="I49" s="29"/>
      <c r="J49" s="29"/>
      <c r="K49" s="29"/>
      <c r="L49" s="29"/>
      <c r="M49" s="29"/>
      <c r="N49" s="29"/>
      <c r="O49" s="29"/>
      <c r="P49" s="29"/>
      <c r="Q49" s="29"/>
      <c r="R49" s="29"/>
      <c r="S49" s="29"/>
      <c r="T49" s="29"/>
    </row>
    <row r="50" spans="1:20" x14ac:dyDescent="0.45">
      <c r="A50" s="29"/>
      <c r="B50" s="29"/>
      <c r="C50" s="29"/>
      <c r="D50" s="29"/>
      <c r="E50" s="29"/>
      <c r="F50" s="29"/>
      <c r="G50" s="29"/>
      <c r="H50" s="29"/>
      <c r="I50" s="29"/>
      <c r="J50" s="29"/>
      <c r="K50" s="29"/>
      <c r="L50" s="29"/>
      <c r="M50" s="29"/>
      <c r="N50" s="29"/>
      <c r="O50" s="29"/>
      <c r="P50" s="29"/>
      <c r="Q50" s="29"/>
      <c r="R50" s="29"/>
      <c r="S50" s="29"/>
      <c r="T50" s="29"/>
    </row>
    <row r="51" spans="1:20" x14ac:dyDescent="0.45">
      <c r="A51" s="29"/>
      <c r="B51" s="29"/>
      <c r="C51" s="29"/>
      <c r="D51" s="29"/>
      <c r="E51" s="29"/>
      <c r="F51" s="29"/>
      <c r="G51" s="29"/>
      <c r="H51" s="29"/>
      <c r="I51" s="29"/>
      <c r="J51" s="29"/>
      <c r="K51" s="29"/>
      <c r="L51" s="29"/>
      <c r="M51" s="29"/>
      <c r="N51" s="29"/>
      <c r="O51" s="29"/>
      <c r="P51" s="29"/>
      <c r="Q51" s="29"/>
      <c r="R51" s="29"/>
      <c r="S51" s="29"/>
      <c r="T51" s="29"/>
    </row>
    <row r="52" spans="1:20" x14ac:dyDescent="0.45">
      <c r="A52" s="29"/>
      <c r="B52" s="29"/>
      <c r="C52" s="29"/>
      <c r="D52" s="29"/>
      <c r="E52" s="29"/>
      <c r="F52" s="29"/>
      <c r="G52" s="29"/>
      <c r="H52" s="29"/>
      <c r="I52" s="29"/>
      <c r="J52" s="29"/>
      <c r="K52" s="29"/>
      <c r="L52" s="29"/>
      <c r="M52" s="29"/>
      <c r="N52" s="29"/>
      <c r="O52" s="29"/>
      <c r="P52" s="29"/>
      <c r="Q52" s="29"/>
      <c r="R52" s="29"/>
      <c r="S52" s="29"/>
      <c r="T52" s="29"/>
    </row>
    <row r="53" spans="1:20" x14ac:dyDescent="0.45">
      <c r="A53" s="29"/>
      <c r="B53" s="29"/>
      <c r="C53" s="29"/>
      <c r="D53" s="29"/>
      <c r="E53" s="29"/>
      <c r="F53" s="29"/>
      <c r="G53" s="29"/>
      <c r="H53" s="29"/>
      <c r="I53" s="29"/>
      <c r="J53" s="29"/>
      <c r="K53" s="29"/>
      <c r="L53" s="29"/>
      <c r="M53" s="29"/>
      <c r="N53" s="29"/>
      <c r="O53" s="29"/>
      <c r="P53" s="29"/>
      <c r="Q53" s="29"/>
      <c r="R53" s="29"/>
      <c r="S53" s="29"/>
      <c r="T53" s="29"/>
    </row>
    <row r="54" spans="1:20" x14ac:dyDescent="0.45">
      <c r="A54" s="29"/>
      <c r="B54" s="29"/>
      <c r="C54" s="29"/>
      <c r="D54" s="29"/>
      <c r="E54" s="29"/>
      <c r="F54" s="29"/>
      <c r="G54" s="29"/>
      <c r="H54" s="29"/>
      <c r="I54" s="29"/>
      <c r="J54" s="29"/>
      <c r="K54" s="29"/>
      <c r="L54" s="29"/>
      <c r="M54" s="29"/>
      <c r="N54" s="29"/>
      <c r="O54" s="29"/>
      <c r="P54" s="29"/>
      <c r="Q54" s="29"/>
      <c r="R54" s="29"/>
      <c r="S54" s="29"/>
      <c r="T54" s="29"/>
    </row>
    <row r="55" spans="1:20" x14ac:dyDescent="0.45">
      <c r="A55" s="29"/>
      <c r="B55" s="29"/>
      <c r="C55" s="29"/>
      <c r="D55" s="29"/>
      <c r="E55" s="29"/>
      <c r="F55" s="29"/>
      <c r="G55" s="29"/>
      <c r="H55" s="29"/>
      <c r="I55" s="29"/>
      <c r="J55" s="29"/>
      <c r="K55" s="29"/>
      <c r="L55" s="29"/>
      <c r="M55" s="29"/>
      <c r="N55" s="29"/>
      <c r="O55" s="29"/>
      <c r="P55" s="29"/>
      <c r="Q55" s="29"/>
      <c r="R55" s="29"/>
      <c r="S55" s="29"/>
      <c r="T55" s="29"/>
    </row>
    <row r="56" spans="1:20" x14ac:dyDescent="0.45">
      <c r="A56" s="29"/>
      <c r="B56" s="29"/>
      <c r="C56" s="29"/>
      <c r="D56" s="29"/>
      <c r="E56" s="29"/>
      <c r="F56" s="29"/>
      <c r="G56" s="29"/>
      <c r="H56" s="29"/>
      <c r="I56" s="29"/>
      <c r="J56" s="29"/>
      <c r="K56" s="29"/>
      <c r="L56" s="29"/>
      <c r="M56" s="29"/>
      <c r="N56" s="29"/>
      <c r="O56" s="29"/>
      <c r="P56" s="29"/>
      <c r="Q56" s="29"/>
      <c r="R56" s="29"/>
      <c r="S56" s="29"/>
      <c r="T56" s="29"/>
    </row>
    <row r="57" spans="1:20" x14ac:dyDescent="0.45">
      <c r="A57" s="29"/>
      <c r="B57" s="29"/>
      <c r="C57" s="29"/>
      <c r="D57" s="29"/>
      <c r="E57" s="29"/>
      <c r="F57" s="29"/>
      <c r="G57" s="29"/>
      <c r="H57" s="29"/>
      <c r="I57" s="29"/>
      <c r="J57" s="29"/>
      <c r="K57" s="29"/>
      <c r="L57" s="29"/>
      <c r="M57" s="29"/>
      <c r="N57" s="29"/>
      <c r="O57" s="29"/>
      <c r="P57" s="29"/>
      <c r="Q57" s="29"/>
      <c r="R57" s="29"/>
      <c r="S57" s="29"/>
      <c r="T57" s="29"/>
    </row>
    <row r="58" spans="1:20" x14ac:dyDescent="0.45">
      <c r="A58" s="29"/>
      <c r="B58" s="29"/>
      <c r="C58" s="29"/>
      <c r="D58" s="29"/>
      <c r="E58" s="29"/>
      <c r="F58" s="29"/>
      <c r="G58" s="29"/>
      <c r="H58" s="29"/>
      <c r="I58" s="29"/>
      <c r="J58" s="29"/>
      <c r="K58" s="29"/>
      <c r="L58" s="29"/>
      <c r="M58" s="29"/>
      <c r="N58" s="29"/>
      <c r="O58" s="29"/>
      <c r="P58" s="29"/>
      <c r="Q58" s="29"/>
      <c r="R58" s="29"/>
      <c r="S58" s="29"/>
      <c r="T58" s="29"/>
    </row>
    <row r="59" spans="1:20" x14ac:dyDescent="0.45">
      <c r="A59" s="29"/>
      <c r="B59" s="29"/>
      <c r="C59" s="29"/>
      <c r="D59" s="29"/>
      <c r="E59" s="29"/>
      <c r="F59" s="29"/>
      <c r="G59" s="29"/>
      <c r="H59" s="29"/>
      <c r="I59" s="29"/>
      <c r="J59" s="29"/>
      <c r="K59" s="29"/>
      <c r="L59" s="29"/>
      <c r="M59" s="29"/>
      <c r="N59" s="29"/>
      <c r="O59" s="29"/>
      <c r="P59" s="29"/>
      <c r="Q59" s="29"/>
      <c r="R59" s="29"/>
      <c r="S59" s="29"/>
      <c r="T59" s="29"/>
    </row>
    <row r="60" spans="1:20" x14ac:dyDescent="0.45">
      <c r="A60" s="29"/>
      <c r="B60" s="29"/>
      <c r="C60" s="29"/>
      <c r="D60" s="29"/>
      <c r="E60" s="29"/>
      <c r="F60" s="29"/>
      <c r="G60" s="29"/>
      <c r="H60" s="29"/>
      <c r="I60" s="29"/>
      <c r="J60" s="29"/>
      <c r="K60" s="29"/>
      <c r="L60" s="29"/>
      <c r="M60" s="29"/>
      <c r="N60" s="29"/>
      <c r="O60" s="29"/>
      <c r="P60" s="29"/>
      <c r="Q60" s="29"/>
      <c r="R60" s="29"/>
      <c r="S60" s="29"/>
      <c r="T60" s="29"/>
    </row>
    <row r="61" spans="1:20" x14ac:dyDescent="0.45">
      <c r="A61" s="29"/>
      <c r="B61" s="29"/>
      <c r="C61" s="29"/>
      <c r="D61" s="29"/>
      <c r="E61" s="29"/>
      <c r="F61" s="29"/>
      <c r="G61" s="29"/>
      <c r="H61" s="29"/>
      <c r="I61" s="29"/>
      <c r="J61" s="29"/>
      <c r="K61" s="29"/>
      <c r="L61" s="29"/>
      <c r="M61" s="29"/>
      <c r="N61" s="29"/>
      <c r="O61" s="29"/>
      <c r="P61" s="29"/>
      <c r="Q61" s="29"/>
      <c r="R61" s="29"/>
      <c r="S61" s="29"/>
      <c r="T61" s="29"/>
    </row>
    <row r="62" spans="1:20" x14ac:dyDescent="0.45">
      <c r="A62" s="29"/>
      <c r="B62" s="29"/>
      <c r="C62" s="29"/>
      <c r="D62" s="29"/>
      <c r="E62" s="29"/>
      <c r="F62" s="29"/>
      <c r="G62" s="29"/>
      <c r="H62" s="29"/>
      <c r="I62" s="29"/>
      <c r="J62" s="29"/>
      <c r="K62" s="29"/>
      <c r="L62" s="29"/>
      <c r="M62" s="29"/>
      <c r="N62" s="29"/>
      <c r="O62" s="29"/>
      <c r="P62" s="29"/>
      <c r="Q62" s="29"/>
      <c r="R62" s="29"/>
      <c r="S62" s="29"/>
      <c r="T62" s="29"/>
    </row>
    <row r="63" spans="1:20" x14ac:dyDescent="0.45">
      <c r="A63" s="29"/>
      <c r="B63" s="29"/>
      <c r="C63" s="29"/>
      <c r="D63" s="29"/>
      <c r="E63" s="29"/>
      <c r="F63" s="29"/>
      <c r="G63" s="29"/>
      <c r="H63" s="29"/>
      <c r="I63" s="29"/>
      <c r="J63" s="29"/>
      <c r="K63" s="29"/>
      <c r="L63" s="29"/>
      <c r="M63" s="29"/>
      <c r="N63" s="29"/>
      <c r="O63" s="29"/>
      <c r="P63" s="29"/>
      <c r="Q63" s="29"/>
      <c r="R63" s="29"/>
      <c r="S63" s="29"/>
      <c r="T63" s="29"/>
    </row>
    <row r="64" spans="1:20" x14ac:dyDescent="0.45">
      <c r="A64" s="29"/>
      <c r="B64" s="29"/>
      <c r="C64" s="29"/>
      <c r="D64" s="29"/>
      <c r="E64" s="29"/>
      <c r="F64" s="29"/>
      <c r="G64" s="29"/>
      <c r="H64" s="29"/>
      <c r="I64" s="29"/>
      <c r="J64" s="29"/>
      <c r="K64" s="29"/>
      <c r="L64" s="29"/>
      <c r="M64" s="29"/>
      <c r="N64" s="29"/>
      <c r="O64" s="29"/>
      <c r="P64" s="29"/>
      <c r="Q64" s="29"/>
      <c r="R64" s="29"/>
      <c r="S64" s="29"/>
      <c r="T64" s="29"/>
    </row>
    <row r="65" spans="1:20" x14ac:dyDescent="0.45">
      <c r="A65" s="29"/>
      <c r="B65" s="29"/>
      <c r="C65" s="29"/>
      <c r="D65" s="29"/>
      <c r="E65" s="29"/>
      <c r="F65" s="29"/>
      <c r="G65" s="29"/>
      <c r="H65" s="29"/>
      <c r="I65" s="29"/>
      <c r="J65" s="29"/>
      <c r="K65" s="29"/>
      <c r="L65" s="29"/>
      <c r="M65" s="29"/>
      <c r="N65" s="29"/>
      <c r="O65" s="29"/>
      <c r="P65" s="29"/>
      <c r="Q65" s="29"/>
      <c r="R65" s="29"/>
      <c r="S65" s="29"/>
      <c r="T65" s="29"/>
    </row>
    <row r="66" spans="1:20" x14ac:dyDescent="0.45">
      <c r="A66" s="29"/>
      <c r="B66" s="29"/>
      <c r="C66" s="29"/>
      <c r="D66" s="29"/>
      <c r="E66" s="29"/>
      <c r="F66" s="29"/>
      <c r="G66" s="29"/>
      <c r="H66" s="29"/>
      <c r="I66" s="29"/>
      <c r="J66" s="29"/>
      <c r="K66" s="29"/>
      <c r="L66" s="29"/>
      <c r="M66" s="29"/>
      <c r="N66" s="29"/>
      <c r="O66" s="29"/>
      <c r="P66" s="29"/>
      <c r="Q66" s="29"/>
      <c r="R66" s="29"/>
      <c r="S66" s="29"/>
      <c r="T66" s="29"/>
    </row>
    <row r="67" spans="1:20" x14ac:dyDescent="0.45">
      <c r="A67" s="29"/>
      <c r="B67" s="29"/>
      <c r="C67" s="29"/>
      <c r="D67" s="29"/>
      <c r="E67" s="29"/>
      <c r="F67" s="29"/>
      <c r="G67" s="29"/>
      <c r="H67" s="29"/>
      <c r="I67" s="29"/>
      <c r="J67" s="29"/>
      <c r="K67" s="29"/>
      <c r="L67" s="29"/>
      <c r="M67" s="29"/>
      <c r="N67" s="29"/>
      <c r="O67" s="29"/>
      <c r="P67" s="29"/>
      <c r="Q67" s="29"/>
      <c r="R67" s="29"/>
      <c r="S67" s="29"/>
      <c r="T67" s="29"/>
    </row>
    <row r="68" spans="1:20" x14ac:dyDescent="0.45">
      <c r="A68" s="29"/>
      <c r="B68" s="29"/>
      <c r="C68" s="29"/>
      <c r="D68" s="29"/>
      <c r="E68" s="29"/>
      <c r="F68" s="29"/>
      <c r="G68" s="29"/>
      <c r="H68" s="29"/>
      <c r="I68" s="29"/>
      <c r="J68" s="29"/>
      <c r="K68" s="29"/>
      <c r="L68" s="29"/>
      <c r="M68" s="29"/>
      <c r="N68" s="29"/>
      <c r="O68" s="29"/>
      <c r="P68" s="29"/>
      <c r="Q68" s="29"/>
      <c r="R68" s="29"/>
      <c r="S68" s="29"/>
      <c r="T68" s="29"/>
    </row>
    <row r="69" spans="1:20" x14ac:dyDescent="0.45">
      <c r="A69" s="29"/>
      <c r="B69" s="29"/>
      <c r="C69" s="29"/>
      <c r="D69" s="29"/>
      <c r="E69" s="29"/>
      <c r="F69" s="29"/>
      <c r="G69" s="29"/>
      <c r="H69" s="29"/>
      <c r="I69" s="29"/>
      <c r="J69" s="29"/>
      <c r="K69" s="29"/>
      <c r="L69" s="29"/>
      <c r="M69" s="29"/>
      <c r="N69" s="29"/>
      <c r="O69" s="29"/>
      <c r="P69" s="29"/>
      <c r="Q69" s="29"/>
      <c r="R69" s="29"/>
      <c r="S69" s="29"/>
      <c r="T69" s="29"/>
    </row>
    <row r="70" spans="1:20" x14ac:dyDescent="0.45">
      <c r="A70" s="29"/>
      <c r="B70" s="29"/>
      <c r="C70" s="29"/>
      <c r="D70" s="29"/>
      <c r="E70" s="29"/>
      <c r="F70" s="29"/>
      <c r="G70" s="29"/>
      <c r="H70" s="29"/>
      <c r="I70" s="29"/>
      <c r="J70" s="29"/>
      <c r="K70" s="29"/>
      <c r="L70" s="29"/>
      <c r="M70" s="29"/>
      <c r="N70" s="29"/>
      <c r="O70" s="29"/>
      <c r="P70" s="29"/>
      <c r="Q70" s="29"/>
      <c r="R70" s="29"/>
      <c r="S70" s="29"/>
      <c r="T70" s="29"/>
    </row>
    <row r="71" spans="1:20" x14ac:dyDescent="0.45">
      <c r="A71" s="29"/>
      <c r="B71" s="29"/>
      <c r="C71" s="29"/>
      <c r="D71" s="29"/>
      <c r="E71" s="29"/>
      <c r="F71" s="29"/>
      <c r="G71" s="29"/>
      <c r="H71" s="29"/>
      <c r="I71" s="29"/>
      <c r="J71" s="29"/>
      <c r="K71" s="29"/>
      <c r="L71" s="29"/>
      <c r="M71" s="29"/>
      <c r="N71" s="29"/>
      <c r="O71" s="29"/>
      <c r="P71" s="29"/>
      <c r="Q71" s="29"/>
      <c r="R71" s="29"/>
      <c r="S71" s="29"/>
      <c r="T71" s="29"/>
    </row>
    <row r="72" spans="1:20" x14ac:dyDescent="0.45">
      <c r="A72" s="29"/>
      <c r="B72" s="29"/>
      <c r="C72" s="29"/>
      <c r="D72" s="29"/>
      <c r="E72" s="29"/>
      <c r="F72" s="29"/>
      <c r="G72" s="29"/>
      <c r="H72" s="29"/>
      <c r="I72" s="29"/>
      <c r="J72" s="29"/>
      <c r="K72" s="29"/>
      <c r="L72" s="29"/>
      <c r="M72" s="29"/>
      <c r="N72" s="29"/>
      <c r="O72" s="29"/>
      <c r="P72" s="29"/>
      <c r="Q72" s="29"/>
      <c r="R72" s="29"/>
      <c r="S72" s="29"/>
      <c r="T72" s="29"/>
    </row>
    <row r="73" spans="1:20" x14ac:dyDescent="0.45">
      <c r="A73" s="29"/>
      <c r="B73" s="29"/>
      <c r="C73" s="29"/>
      <c r="D73" s="29"/>
      <c r="E73" s="29"/>
      <c r="F73" s="29"/>
      <c r="G73" s="29"/>
      <c r="H73" s="29"/>
      <c r="I73" s="29"/>
      <c r="J73" s="29"/>
      <c r="K73" s="29"/>
      <c r="L73" s="29"/>
      <c r="M73" s="29"/>
      <c r="N73" s="29"/>
      <c r="O73" s="29"/>
      <c r="P73" s="29"/>
      <c r="Q73" s="29"/>
      <c r="R73" s="29"/>
      <c r="S73" s="29"/>
      <c r="T73" s="29"/>
    </row>
    <row r="74" spans="1:20" x14ac:dyDescent="0.45">
      <c r="A74" s="29"/>
      <c r="B74" s="29"/>
      <c r="C74" s="29"/>
      <c r="D74" s="29"/>
      <c r="E74" s="29"/>
      <c r="F74" s="29"/>
      <c r="G74" s="29"/>
      <c r="H74" s="29"/>
      <c r="I74" s="29"/>
      <c r="J74" s="29"/>
      <c r="K74" s="29"/>
      <c r="L74" s="29"/>
      <c r="M74" s="29"/>
      <c r="N74" s="29"/>
      <c r="O74" s="29"/>
      <c r="P74" s="29"/>
      <c r="Q74" s="29"/>
      <c r="R74" s="29"/>
      <c r="S74" s="29"/>
      <c r="T74" s="29"/>
    </row>
    <row r="75" spans="1:20" x14ac:dyDescent="0.45">
      <c r="A75" s="29"/>
      <c r="B75" s="29"/>
      <c r="C75" s="29"/>
      <c r="D75" s="29"/>
      <c r="E75" s="29"/>
      <c r="F75" s="29"/>
      <c r="G75" s="29"/>
      <c r="H75" s="29"/>
      <c r="I75" s="29"/>
      <c r="J75" s="29"/>
      <c r="K75" s="29"/>
      <c r="L75" s="29"/>
      <c r="M75" s="29"/>
      <c r="N75" s="29"/>
      <c r="O75" s="29"/>
      <c r="P75" s="29"/>
      <c r="Q75" s="29"/>
      <c r="R75" s="29"/>
      <c r="S75" s="29"/>
      <c r="T75" s="29"/>
    </row>
    <row r="76" spans="1:20" x14ac:dyDescent="0.45">
      <c r="A76" s="29"/>
      <c r="B76" s="29"/>
      <c r="C76" s="29"/>
      <c r="D76" s="29"/>
      <c r="E76" s="29"/>
      <c r="F76" s="29"/>
      <c r="G76" s="29"/>
      <c r="H76" s="29"/>
      <c r="I76" s="29"/>
      <c r="J76" s="29"/>
      <c r="K76" s="29"/>
      <c r="L76" s="29"/>
      <c r="M76" s="29"/>
      <c r="N76" s="29"/>
      <c r="O76" s="29"/>
      <c r="P76" s="29"/>
      <c r="Q76" s="29"/>
      <c r="R76" s="29"/>
      <c r="S76" s="29"/>
      <c r="T76" s="29"/>
    </row>
    <row r="77" spans="1:20" x14ac:dyDescent="0.45">
      <c r="A77" s="29"/>
      <c r="B77" s="29"/>
      <c r="C77" s="29"/>
      <c r="D77" s="29"/>
      <c r="E77" s="29"/>
      <c r="F77" s="29"/>
      <c r="G77" s="29"/>
      <c r="H77" s="29"/>
      <c r="I77" s="29"/>
      <c r="J77" s="29"/>
      <c r="K77" s="29"/>
      <c r="L77" s="29"/>
      <c r="M77" s="29"/>
      <c r="N77" s="29"/>
      <c r="O77" s="29"/>
      <c r="P77" s="29"/>
      <c r="Q77" s="29"/>
      <c r="R77" s="29"/>
      <c r="S77" s="29"/>
      <c r="T77" s="29"/>
    </row>
    <row r="78" spans="1:20" x14ac:dyDescent="0.45">
      <c r="A78" s="29"/>
      <c r="B78" s="29"/>
      <c r="C78" s="29"/>
      <c r="D78" s="29"/>
      <c r="E78" s="29"/>
      <c r="F78" s="29"/>
      <c r="G78" s="29"/>
      <c r="H78" s="29"/>
      <c r="I78" s="29"/>
      <c r="J78" s="29"/>
      <c r="K78" s="29"/>
      <c r="L78" s="29"/>
      <c r="M78" s="29"/>
      <c r="N78" s="29"/>
      <c r="O78" s="29"/>
      <c r="P78" s="29"/>
      <c r="Q78" s="29"/>
      <c r="R78" s="29"/>
      <c r="S78" s="29"/>
      <c r="T78" s="29"/>
    </row>
    <row r="79" spans="1:20" x14ac:dyDescent="0.45">
      <c r="A79" s="29"/>
      <c r="B79" s="29"/>
      <c r="C79" s="29"/>
      <c r="D79" s="29"/>
      <c r="E79" s="29"/>
      <c r="F79" s="29"/>
      <c r="G79" s="29"/>
      <c r="H79" s="29"/>
      <c r="I79" s="29"/>
      <c r="J79" s="29"/>
      <c r="K79" s="29"/>
      <c r="L79" s="29"/>
      <c r="M79" s="29"/>
      <c r="N79" s="29"/>
      <c r="O79" s="29"/>
      <c r="P79" s="29"/>
      <c r="Q79" s="29"/>
      <c r="R79" s="29"/>
      <c r="S79" s="29"/>
      <c r="T79" s="29"/>
    </row>
    <row r="80" spans="1:20" x14ac:dyDescent="0.45">
      <c r="A80" s="29"/>
      <c r="B80" s="29"/>
      <c r="C80" s="29"/>
      <c r="D80" s="29"/>
      <c r="E80" s="29"/>
      <c r="F80" s="29"/>
      <c r="G80" s="29"/>
      <c r="H80" s="29"/>
      <c r="I80" s="29"/>
      <c r="J80" s="29"/>
      <c r="K80" s="29"/>
      <c r="L80" s="29"/>
      <c r="M80" s="29"/>
      <c r="N80" s="29"/>
      <c r="O80" s="29"/>
      <c r="P80" s="29"/>
      <c r="Q80" s="29"/>
      <c r="R80" s="29"/>
      <c r="S80" s="29"/>
      <c r="T80" s="29"/>
    </row>
    <row r="81" spans="1:20" x14ac:dyDescent="0.45">
      <c r="A81" s="29"/>
      <c r="B81" s="29"/>
      <c r="C81" s="29"/>
      <c r="D81" s="29"/>
      <c r="E81" s="29"/>
      <c r="F81" s="29"/>
      <c r="G81" s="29"/>
      <c r="H81" s="29"/>
      <c r="I81" s="29"/>
      <c r="J81" s="29"/>
      <c r="K81" s="29"/>
      <c r="L81" s="29"/>
      <c r="M81" s="29"/>
      <c r="N81" s="29"/>
      <c r="O81" s="29"/>
      <c r="P81" s="29"/>
      <c r="Q81" s="29"/>
      <c r="R81" s="29"/>
      <c r="S81" s="29"/>
      <c r="T81" s="29"/>
    </row>
    <row r="82" spans="1:20" x14ac:dyDescent="0.45">
      <c r="A82" s="29"/>
      <c r="B82" s="29"/>
      <c r="C82" s="29"/>
      <c r="D82" s="29"/>
      <c r="E82" s="29"/>
      <c r="F82" s="29"/>
      <c r="G82" s="29"/>
      <c r="H82" s="29"/>
      <c r="I82" s="29"/>
      <c r="J82" s="29"/>
      <c r="K82" s="29"/>
      <c r="L82" s="29"/>
      <c r="M82" s="29"/>
      <c r="N82" s="29"/>
      <c r="O82" s="29"/>
      <c r="P82" s="29"/>
      <c r="Q82" s="29"/>
      <c r="R82" s="29"/>
      <c r="S82" s="29"/>
      <c r="T82" s="29"/>
    </row>
    <row r="83" spans="1:20" x14ac:dyDescent="0.45">
      <c r="A83" s="29"/>
      <c r="B83" s="29"/>
      <c r="C83" s="29"/>
      <c r="D83" s="29"/>
      <c r="E83" s="29"/>
      <c r="F83" s="29"/>
      <c r="G83" s="29"/>
      <c r="H83" s="29"/>
      <c r="I83" s="29"/>
      <c r="J83" s="29"/>
      <c r="K83" s="29"/>
      <c r="L83" s="29"/>
      <c r="M83" s="29"/>
      <c r="N83" s="29"/>
      <c r="O83" s="29"/>
      <c r="P83" s="29"/>
      <c r="Q83" s="29"/>
      <c r="R83" s="29"/>
      <c r="S83" s="29"/>
      <c r="T83" s="29"/>
    </row>
    <row r="84" spans="1:20" x14ac:dyDescent="0.45">
      <c r="A84" s="29"/>
      <c r="B84" s="29"/>
      <c r="C84" s="29"/>
      <c r="D84" s="29"/>
      <c r="E84" s="29"/>
      <c r="F84" s="29"/>
      <c r="G84" s="29"/>
      <c r="H84" s="29"/>
      <c r="I84" s="29"/>
      <c r="J84" s="29"/>
      <c r="K84" s="29"/>
      <c r="L84" s="29"/>
      <c r="M84" s="29"/>
      <c r="N84" s="29"/>
      <c r="O84" s="29"/>
      <c r="P84" s="29"/>
      <c r="Q84" s="29"/>
      <c r="R84" s="29"/>
      <c r="S84" s="29"/>
      <c r="T84" s="29"/>
    </row>
    <row r="85" spans="1:20" x14ac:dyDescent="0.45">
      <c r="A85" s="29"/>
      <c r="B85" s="29"/>
      <c r="C85" s="29"/>
      <c r="D85" s="29"/>
      <c r="E85" s="29"/>
      <c r="F85" s="29"/>
      <c r="G85" s="29"/>
      <c r="H85" s="29"/>
      <c r="I85" s="29"/>
      <c r="J85" s="29"/>
      <c r="K85" s="29"/>
      <c r="L85" s="29"/>
      <c r="M85" s="29"/>
      <c r="N85" s="29"/>
      <c r="O85" s="29"/>
      <c r="P85" s="29"/>
      <c r="Q85" s="29"/>
      <c r="R85" s="29"/>
      <c r="S85" s="29"/>
      <c r="T85" s="29"/>
    </row>
    <row r="86" spans="1:20" x14ac:dyDescent="0.45">
      <c r="A86" s="29"/>
      <c r="B86" s="29"/>
      <c r="C86" s="29"/>
      <c r="D86" s="29"/>
      <c r="E86" s="29"/>
      <c r="F86" s="29"/>
      <c r="G86" s="29"/>
      <c r="H86" s="29"/>
      <c r="I86" s="29"/>
      <c r="J86" s="29"/>
      <c r="K86" s="29"/>
      <c r="L86" s="29"/>
      <c r="M86" s="29"/>
      <c r="N86" s="29"/>
      <c r="O86" s="29"/>
      <c r="P86" s="29"/>
      <c r="Q86" s="29"/>
      <c r="R86" s="29"/>
      <c r="S86" s="29"/>
      <c r="T86" s="29"/>
    </row>
    <row r="87" spans="1:20" x14ac:dyDescent="0.45">
      <c r="A87" s="29"/>
      <c r="B87" s="29"/>
      <c r="C87" s="29"/>
      <c r="D87" s="29"/>
      <c r="E87" s="29"/>
      <c r="F87" s="29"/>
      <c r="G87" s="29"/>
      <c r="H87" s="29"/>
      <c r="I87" s="29"/>
      <c r="J87" s="29"/>
      <c r="K87" s="29"/>
      <c r="L87" s="29"/>
      <c r="M87" s="29"/>
      <c r="N87" s="29"/>
      <c r="O87" s="29"/>
      <c r="P87" s="29"/>
      <c r="Q87" s="29"/>
      <c r="R87" s="29"/>
      <c r="S87" s="29"/>
      <c r="T87" s="29"/>
    </row>
    <row r="88" spans="1:20" x14ac:dyDescent="0.45">
      <c r="A88" s="29"/>
      <c r="B88" s="29"/>
      <c r="C88" s="29"/>
      <c r="D88" s="29"/>
      <c r="E88" s="29"/>
      <c r="F88" s="29"/>
      <c r="G88" s="29"/>
      <c r="H88" s="29"/>
      <c r="I88" s="29"/>
      <c r="J88" s="29"/>
      <c r="K88" s="29"/>
      <c r="L88" s="29"/>
      <c r="M88" s="29"/>
      <c r="N88" s="29"/>
      <c r="O88" s="29"/>
      <c r="P88" s="29"/>
      <c r="Q88" s="29"/>
      <c r="R88" s="29"/>
      <c r="S88" s="29"/>
      <c r="T88" s="29"/>
    </row>
    <row r="89" spans="1:20" x14ac:dyDescent="0.45">
      <c r="A89" s="29"/>
      <c r="B89" s="29"/>
      <c r="C89" s="29"/>
      <c r="D89" s="29"/>
      <c r="E89" s="29"/>
      <c r="F89" s="29"/>
      <c r="G89" s="29"/>
      <c r="H89" s="29"/>
      <c r="I89" s="29"/>
      <c r="J89" s="29"/>
      <c r="K89" s="29"/>
      <c r="L89" s="29"/>
      <c r="M89" s="29"/>
      <c r="N89" s="29"/>
      <c r="O89" s="29"/>
      <c r="P89" s="29"/>
      <c r="Q89" s="29"/>
      <c r="R89" s="29"/>
      <c r="S89" s="29"/>
      <c r="T89" s="29"/>
    </row>
    <row r="90" spans="1:20" x14ac:dyDescent="0.45">
      <c r="A90" s="29"/>
      <c r="B90" s="29"/>
      <c r="C90" s="29"/>
      <c r="D90" s="29"/>
      <c r="E90" s="29"/>
      <c r="F90" s="29"/>
      <c r="G90" s="29"/>
      <c r="H90" s="29"/>
      <c r="I90" s="29"/>
      <c r="J90" s="29"/>
      <c r="K90" s="29"/>
      <c r="L90" s="29"/>
      <c r="M90" s="29"/>
      <c r="N90" s="29"/>
      <c r="O90" s="29"/>
      <c r="P90" s="29"/>
      <c r="Q90" s="29"/>
      <c r="R90" s="29"/>
      <c r="S90" s="29"/>
      <c r="T90" s="29"/>
    </row>
    <row r="91" spans="1:20" x14ac:dyDescent="0.45">
      <c r="A91" s="29"/>
      <c r="B91" s="29"/>
      <c r="C91" s="29"/>
      <c r="D91" s="29"/>
      <c r="E91" s="29"/>
      <c r="F91" s="29"/>
      <c r="G91" s="29"/>
      <c r="H91" s="29"/>
      <c r="I91" s="29"/>
      <c r="J91" s="29"/>
      <c r="K91" s="29"/>
      <c r="L91" s="29"/>
      <c r="M91" s="29"/>
      <c r="N91" s="29"/>
      <c r="O91" s="29"/>
      <c r="P91" s="29"/>
      <c r="Q91" s="29"/>
      <c r="R91" s="29"/>
      <c r="S91" s="29"/>
      <c r="T91" s="29"/>
    </row>
    <row r="92" spans="1:20" x14ac:dyDescent="0.45">
      <c r="A92" s="29"/>
      <c r="B92" s="29"/>
      <c r="C92" s="29"/>
      <c r="D92" s="29"/>
      <c r="E92" s="29"/>
      <c r="F92" s="29"/>
      <c r="G92" s="29"/>
      <c r="H92" s="29"/>
      <c r="I92" s="29"/>
      <c r="J92" s="29"/>
      <c r="K92" s="29"/>
      <c r="L92" s="29"/>
      <c r="M92" s="29"/>
      <c r="N92" s="29"/>
      <c r="O92" s="29"/>
      <c r="P92" s="29"/>
      <c r="Q92" s="29"/>
      <c r="R92" s="29"/>
      <c r="S92" s="29"/>
      <c r="T92" s="29"/>
    </row>
    <row r="93" spans="1:20" x14ac:dyDescent="0.45">
      <c r="A93" s="29"/>
      <c r="B93" s="29"/>
      <c r="C93" s="29"/>
      <c r="D93" s="29"/>
      <c r="E93" s="29"/>
      <c r="F93" s="29"/>
      <c r="G93" s="29"/>
      <c r="H93" s="29"/>
      <c r="I93" s="29"/>
      <c r="J93" s="29"/>
      <c r="K93" s="29"/>
      <c r="L93" s="29"/>
      <c r="M93" s="29"/>
      <c r="N93" s="29"/>
      <c r="O93" s="29"/>
      <c r="P93" s="29"/>
      <c r="Q93" s="29"/>
      <c r="R93" s="29"/>
      <c r="S93" s="29"/>
      <c r="T93" s="29"/>
    </row>
    <row r="94" spans="1:20" x14ac:dyDescent="0.45">
      <c r="A94" s="29"/>
      <c r="B94" s="29"/>
      <c r="C94" s="29"/>
      <c r="D94" s="29"/>
      <c r="E94" s="29"/>
      <c r="F94" s="29"/>
      <c r="G94" s="29"/>
      <c r="H94" s="29"/>
      <c r="I94" s="29"/>
      <c r="J94" s="29"/>
      <c r="K94" s="29"/>
      <c r="L94" s="29"/>
      <c r="M94" s="29"/>
      <c r="N94" s="29"/>
      <c r="O94" s="29"/>
      <c r="P94" s="29"/>
      <c r="Q94" s="29"/>
      <c r="R94" s="29"/>
      <c r="S94" s="29"/>
      <c r="T94" s="29"/>
    </row>
    <row r="95" spans="1:20" x14ac:dyDescent="0.45">
      <c r="A95" s="29"/>
      <c r="B95" s="29"/>
      <c r="C95" s="29"/>
      <c r="D95" s="29"/>
      <c r="E95" s="29"/>
      <c r="F95" s="29"/>
      <c r="G95" s="29"/>
      <c r="H95" s="29"/>
      <c r="I95" s="29"/>
      <c r="J95" s="29"/>
      <c r="K95" s="29"/>
      <c r="L95" s="29"/>
      <c r="M95" s="29"/>
      <c r="N95" s="29"/>
      <c r="O95" s="29"/>
      <c r="P95" s="29"/>
      <c r="Q95" s="29"/>
      <c r="R95" s="29"/>
      <c r="S95" s="29"/>
      <c r="T95" s="29"/>
    </row>
    <row r="96" spans="1:20" x14ac:dyDescent="0.45">
      <c r="A96" s="29"/>
      <c r="B96" s="29"/>
      <c r="C96" s="29"/>
      <c r="D96" s="29"/>
      <c r="E96" s="29"/>
      <c r="F96" s="29"/>
      <c r="G96" s="29"/>
      <c r="H96" s="29"/>
      <c r="I96" s="29"/>
      <c r="J96" s="29"/>
      <c r="K96" s="29"/>
      <c r="L96" s="29"/>
      <c r="M96" s="29"/>
      <c r="N96" s="29"/>
      <c r="O96" s="29"/>
      <c r="P96" s="29"/>
      <c r="Q96" s="29"/>
      <c r="R96" s="29"/>
      <c r="S96" s="29"/>
      <c r="T96" s="29"/>
    </row>
    <row r="97" spans="1:20" x14ac:dyDescent="0.45">
      <c r="A97" s="29"/>
      <c r="B97" s="29"/>
      <c r="C97" s="29"/>
      <c r="D97" s="29"/>
      <c r="E97" s="29"/>
      <c r="F97" s="29"/>
      <c r="G97" s="29"/>
      <c r="H97" s="29"/>
      <c r="I97" s="29"/>
      <c r="J97" s="29"/>
      <c r="K97" s="29"/>
      <c r="L97" s="29"/>
      <c r="M97" s="29"/>
      <c r="N97" s="29"/>
      <c r="O97" s="29"/>
      <c r="P97" s="29"/>
      <c r="Q97" s="29"/>
      <c r="R97" s="29"/>
      <c r="S97" s="29"/>
      <c r="T97" s="29"/>
    </row>
    <row r="98" spans="1:20" x14ac:dyDescent="0.45">
      <c r="A98" s="29"/>
      <c r="B98" s="29"/>
      <c r="C98" s="29"/>
      <c r="D98" s="29"/>
      <c r="E98" s="29"/>
      <c r="F98" s="29"/>
      <c r="G98" s="29"/>
      <c r="H98" s="29"/>
      <c r="I98" s="29"/>
      <c r="J98" s="29"/>
      <c r="K98" s="29"/>
      <c r="L98" s="29"/>
      <c r="M98" s="29"/>
      <c r="N98" s="29"/>
      <c r="O98" s="29"/>
      <c r="P98" s="29"/>
      <c r="Q98" s="29"/>
      <c r="R98" s="29"/>
      <c r="S98" s="29"/>
      <c r="T98" s="29"/>
    </row>
    <row r="99" spans="1:20" x14ac:dyDescent="0.45">
      <c r="A99" s="29"/>
      <c r="B99" s="29"/>
      <c r="C99" s="29"/>
      <c r="D99" s="29"/>
      <c r="E99" s="29"/>
      <c r="F99" s="29"/>
      <c r="G99" s="29"/>
      <c r="H99" s="29"/>
      <c r="I99" s="29"/>
      <c r="J99" s="29"/>
      <c r="K99" s="29"/>
      <c r="L99" s="29"/>
      <c r="M99" s="29"/>
      <c r="N99" s="29"/>
      <c r="O99" s="29"/>
      <c r="P99" s="29"/>
      <c r="Q99" s="29"/>
      <c r="R99" s="29"/>
      <c r="S99" s="29"/>
      <c r="T99" s="29"/>
    </row>
    <row r="100" spans="1:20" x14ac:dyDescent="0.45">
      <c r="A100" s="29"/>
      <c r="B100" s="29"/>
      <c r="C100" s="29"/>
      <c r="D100" s="29"/>
      <c r="E100" s="29"/>
      <c r="F100" s="29"/>
      <c r="G100" s="29"/>
      <c r="H100" s="29"/>
      <c r="I100" s="29"/>
      <c r="J100" s="29"/>
      <c r="K100" s="29"/>
      <c r="L100" s="29"/>
      <c r="M100" s="29"/>
      <c r="N100" s="29"/>
      <c r="O100" s="29"/>
      <c r="P100" s="29"/>
      <c r="Q100" s="29"/>
      <c r="R100" s="29"/>
      <c r="S100" s="29"/>
      <c r="T100" s="29"/>
    </row>
    <row r="101" spans="1:20" x14ac:dyDescent="0.45">
      <c r="A101" s="29"/>
      <c r="B101" s="29"/>
      <c r="C101" s="29"/>
      <c r="D101" s="29"/>
      <c r="E101" s="29"/>
      <c r="F101" s="29"/>
      <c r="G101" s="29"/>
      <c r="H101" s="29"/>
      <c r="I101" s="29"/>
      <c r="J101" s="29"/>
      <c r="K101" s="29"/>
      <c r="L101" s="29"/>
      <c r="M101" s="29"/>
      <c r="N101" s="29"/>
      <c r="O101" s="29"/>
      <c r="P101" s="29"/>
      <c r="Q101" s="29"/>
      <c r="R101" s="29"/>
      <c r="S101" s="29"/>
      <c r="T101" s="29"/>
    </row>
    <row r="102" spans="1:20" x14ac:dyDescent="0.45">
      <c r="A102" s="29"/>
      <c r="B102" s="29"/>
      <c r="C102" s="29"/>
      <c r="D102" s="29"/>
      <c r="E102" s="29"/>
      <c r="F102" s="29"/>
      <c r="G102" s="29"/>
      <c r="H102" s="29"/>
      <c r="I102" s="29"/>
      <c r="J102" s="29"/>
      <c r="K102" s="29"/>
      <c r="L102" s="29"/>
      <c r="M102" s="29"/>
      <c r="N102" s="29"/>
      <c r="O102" s="29"/>
      <c r="P102" s="29"/>
      <c r="Q102" s="29"/>
      <c r="R102" s="29"/>
      <c r="S102" s="29"/>
      <c r="T102" s="29"/>
    </row>
    <row r="103" spans="1:20" x14ac:dyDescent="0.45">
      <c r="A103" s="29"/>
      <c r="B103" s="29"/>
      <c r="C103" s="29"/>
      <c r="D103" s="29"/>
      <c r="E103" s="29"/>
      <c r="F103" s="29"/>
      <c r="G103" s="29"/>
      <c r="H103" s="29"/>
      <c r="I103" s="29"/>
      <c r="J103" s="29"/>
      <c r="K103" s="29"/>
      <c r="L103" s="29"/>
      <c r="M103" s="29"/>
      <c r="N103" s="29"/>
      <c r="O103" s="29"/>
      <c r="P103" s="29"/>
      <c r="Q103" s="29"/>
      <c r="R103" s="29"/>
      <c r="S103" s="29"/>
      <c r="T103" s="29"/>
    </row>
    <row r="104" spans="1:20" x14ac:dyDescent="0.45">
      <c r="A104" s="29"/>
      <c r="B104" s="29"/>
      <c r="C104" s="29"/>
      <c r="D104" s="29"/>
      <c r="E104" s="29"/>
      <c r="F104" s="29"/>
      <c r="G104" s="29"/>
      <c r="H104" s="29"/>
      <c r="I104" s="29"/>
      <c r="J104" s="29"/>
      <c r="K104" s="29"/>
      <c r="L104" s="29"/>
      <c r="M104" s="29"/>
      <c r="N104" s="29"/>
      <c r="O104" s="29"/>
      <c r="P104" s="29"/>
      <c r="Q104" s="29"/>
      <c r="R104" s="29"/>
      <c r="S104" s="29"/>
      <c r="T104" s="29"/>
    </row>
    <row r="105" spans="1:20" x14ac:dyDescent="0.45">
      <c r="A105" s="29"/>
      <c r="B105" s="29"/>
      <c r="C105" s="29"/>
      <c r="D105" s="29"/>
      <c r="E105" s="29"/>
      <c r="F105" s="29"/>
      <c r="G105" s="29"/>
      <c r="H105" s="29"/>
      <c r="I105" s="29"/>
      <c r="J105" s="29"/>
      <c r="K105" s="29"/>
      <c r="L105" s="29"/>
      <c r="M105" s="29"/>
      <c r="N105" s="29"/>
      <c r="O105" s="29"/>
      <c r="P105" s="29"/>
      <c r="Q105" s="29"/>
      <c r="R105" s="29"/>
      <c r="S105" s="29"/>
      <c r="T105" s="29"/>
    </row>
    <row r="106" spans="1:20" x14ac:dyDescent="0.45">
      <c r="A106" s="29"/>
      <c r="B106" s="29"/>
      <c r="C106" s="29"/>
      <c r="D106" s="29"/>
      <c r="E106" s="29"/>
      <c r="F106" s="29"/>
      <c r="G106" s="29"/>
      <c r="H106" s="29"/>
      <c r="I106" s="29"/>
      <c r="J106" s="29"/>
      <c r="K106" s="29"/>
      <c r="L106" s="29"/>
      <c r="M106" s="29"/>
      <c r="N106" s="29"/>
      <c r="O106" s="29"/>
      <c r="P106" s="29"/>
      <c r="Q106" s="29"/>
      <c r="R106" s="29"/>
      <c r="S106" s="29"/>
      <c r="T106" s="29"/>
    </row>
    <row r="107" spans="1:20" x14ac:dyDescent="0.45">
      <c r="A107" s="29"/>
      <c r="B107" s="29"/>
      <c r="C107" s="29"/>
      <c r="D107" s="29"/>
      <c r="E107" s="29"/>
      <c r="F107" s="29"/>
      <c r="G107" s="29"/>
      <c r="H107" s="29"/>
      <c r="I107" s="29"/>
      <c r="J107" s="29"/>
      <c r="K107" s="29"/>
      <c r="L107" s="29"/>
      <c r="M107" s="29"/>
      <c r="N107" s="29"/>
      <c r="O107" s="29"/>
      <c r="P107" s="29"/>
      <c r="Q107" s="29"/>
      <c r="R107" s="29"/>
      <c r="S107" s="29"/>
      <c r="T107" s="29"/>
    </row>
    <row r="108" spans="1:20" x14ac:dyDescent="0.45">
      <c r="A108" s="29"/>
      <c r="B108" s="29"/>
      <c r="C108" s="29"/>
      <c r="D108" s="29"/>
      <c r="E108" s="29"/>
      <c r="F108" s="29"/>
      <c r="G108" s="29"/>
      <c r="H108" s="29"/>
      <c r="I108" s="29"/>
      <c r="J108" s="29"/>
      <c r="K108" s="29"/>
      <c r="L108" s="29"/>
      <c r="M108" s="29"/>
      <c r="N108" s="29"/>
      <c r="O108" s="29"/>
      <c r="P108" s="29"/>
      <c r="Q108" s="29"/>
      <c r="R108" s="29"/>
      <c r="S108" s="29"/>
      <c r="T108" s="29"/>
    </row>
    <row r="109" spans="1:20" x14ac:dyDescent="0.45">
      <c r="A109" s="29"/>
      <c r="B109" s="29"/>
      <c r="C109" s="29"/>
      <c r="D109" s="29"/>
      <c r="E109" s="29"/>
      <c r="F109" s="29"/>
      <c r="G109" s="29"/>
      <c r="H109" s="29"/>
      <c r="I109" s="29"/>
      <c r="J109" s="29"/>
      <c r="K109" s="29"/>
      <c r="L109" s="29"/>
      <c r="M109" s="29"/>
      <c r="N109" s="29"/>
      <c r="O109" s="29"/>
      <c r="P109" s="29"/>
      <c r="Q109" s="29"/>
      <c r="R109" s="29"/>
      <c r="S109" s="29"/>
      <c r="T109" s="29"/>
    </row>
    <row r="110" spans="1:20" x14ac:dyDescent="0.45">
      <c r="A110" s="29"/>
      <c r="B110" s="29"/>
      <c r="C110" s="29"/>
      <c r="D110" s="29"/>
      <c r="E110" s="29"/>
      <c r="F110" s="29"/>
      <c r="G110" s="29"/>
      <c r="H110" s="29"/>
      <c r="I110" s="29"/>
      <c r="J110" s="29"/>
      <c r="K110" s="29"/>
      <c r="L110" s="29"/>
      <c r="M110" s="29"/>
      <c r="N110" s="29"/>
      <c r="O110" s="29"/>
      <c r="P110" s="29"/>
      <c r="Q110" s="29"/>
      <c r="R110" s="29"/>
      <c r="S110" s="29"/>
      <c r="T110" s="29"/>
    </row>
    <row r="111" spans="1:20" x14ac:dyDescent="0.45">
      <c r="A111" s="29"/>
      <c r="B111" s="29"/>
      <c r="C111" s="29"/>
      <c r="D111" s="29"/>
      <c r="E111" s="29"/>
      <c r="F111" s="29"/>
      <c r="G111" s="29"/>
      <c r="H111" s="29"/>
      <c r="I111" s="29"/>
      <c r="J111" s="29"/>
      <c r="K111" s="29"/>
      <c r="L111" s="29"/>
      <c r="M111" s="29"/>
      <c r="N111" s="29"/>
      <c r="O111" s="29"/>
      <c r="P111" s="29"/>
      <c r="Q111" s="29"/>
      <c r="R111" s="29"/>
      <c r="S111" s="29"/>
      <c r="T111" s="29"/>
    </row>
    <row r="112" spans="1:20" x14ac:dyDescent="0.45">
      <c r="A112" s="29"/>
      <c r="B112" s="29"/>
      <c r="C112" s="29"/>
      <c r="D112" s="29"/>
      <c r="E112" s="29"/>
      <c r="F112" s="29"/>
      <c r="G112" s="29"/>
      <c r="H112" s="29"/>
      <c r="I112" s="29"/>
      <c r="J112" s="29"/>
      <c r="K112" s="29"/>
      <c r="L112" s="29"/>
      <c r="M112" s="29"/>
      <c r="N112" s="29"/>
      <c r="O112" s="29"/>
      <c r="P112" s="29"/>
      <c r="Q112" s="29"/>
      <c r="R112" s="29"/>
      <c r="S112" s="29"/>
      <c r="T112" s="29"/>
    </row>
    <row r="113" spans="1:20" x14ac:dyDescent="0.45">
      <c r="A113" s="29"/>
      <c r="B113" s="29"/>
      <c r="C113" s="29"/>
      <c r="D113" s="29"/>
      <c r="E113" s="29"/>
      <c r="F113" s="29"/>
      <c r="G113" s="29"/>
      <c r="H113" s="29"/>
      <c r="I113" s="29"/>
      <c r="J113" s="29"/>
      <c r="K113" s="29"/>
      <c r="L113" s="29"/>
      <c r="M113" s="29"/>
      <c r="N113" s="29"/>
      <c r="O113" s="29"/>
      <c r="P113" s="29"/>
      <c r="Q113" s="29"/>
      <c r="R113" s="29"/>
      <c r="S113" s="29"/>
      <c r="T113" s="29"/>
    </row>
    <row r="114" spans="1:20" x14ac:dyDescent="0.45">
      <c r="A114" s="29"/>
      <c r="B114" s="29"/>
      <c r="C114" s="29"/>
      <c r="D114" s="29"/>
      <c r="E114" s="29"/>
      <c r="F114" s="29"/>
      <c r="G114" s="29"/>
      <c r="H114" s="29"/>
      <c r="I114" s="29"/>
      <c r="J114" s="29"/>
      <c r="K114" s="29"/>
      <c r="L114" s="29"/>
      <c r="M114" s="29"/>
      <c r="N114" s="29"/>
      <c r="O114" s="29"/>
      <c r="P114" s="29"/>
      <c r="Q114" s="29"/>
      <c r="R114" s="29"/>
      <c r="S114" s="29"/>
      <c r="T114" s="29"/>
    </row>
    <row r="115" spans="1:20" x14ac:dyDescent="0.45">
      <c r="A115" s="29"/>
      <c r="B115" s="29"/>
      <c r="C115" s="29"/>
      <c r="D115" s="29"/>
      <c r="E115" s="29"/>
      <c r="F115" s="29"/>
      <c r="G115" s="29"/>
      <c r="H115" s="29"/>
      <c r="I115" s="29"/>
      <c r="J115" s="29"/>
      <c r="K115" s="29"/>
      <c r="L115" s="29"/>
      <c r="M115" s="29"/>
      <c r="N115" s="29"/>
      <c r="O115" s="29"/>
      <c r="P115" s="29"/>
      <c r="Q115" s="29"/>
      <c r="R115" s="29"/>
      <c r="S115" s="29"/>
      <c r="T115" s="29"/>
    </row>
    <row r="116" spans="1:20" x14ac:dyDescent="0.45">
      <c r="A116" s="29"/>
      <c r="B116" s="29"/>
      <c r="C116" s="29"/>
      <c r="D116" s="29"/>
      <c r="E116" s="29"/>
      <c r="F116" s="29"/>
      <c r="G116" s="29"/>
      <c r="H116" s="29"/>
      <c r="I116" s="29"/>
      <c r="J116" s="29"/>
      <c r="K116" s="29"/>
      <c r="L116" s="29"/>
      <c r="M116" s="29"/>
      <c r="N116" s="29"/>
      <c r="O116" s="29"/>
      <c r="P116" s="29"/>
      <c r="Q116" s="29"/>
      <c r="R116" s="29"/>
      <c r="S116" s="29"/>
      <c r="T116" s="29"/>
    </row>
    <row r="117" spans="1:20" x14ac:dyDescent="0.45">
      <c r="A117" s="29"/>
      <c r="B117" s="29"/>
      <c r="C117" s="29"/>
      <c r="D117" s="29"/>
      <c r="E117" s="29"/>
      <c r="F117" s="29"/>
      <c r="G117" s="29"/>
      <c r="H117" s="29"/>
      <c r="I117" s="29"/>
      <c r="J117" s="29"/>
      <c r="K117" s="29"/>
      <c r="L117" s="29"/>
      <c r="M117" s="29"/>
      <c r="N117" s="29"/>
      <c r="O117" s="29"/>
      <c r="P117" s="29"/>
      <c r="Q117" s="29"/>
      <c r="R117" s="29"/>
      <c r="S117" s="29"/>
      <c r="T117" s="29"/>
    </row>
    <row r="118" spans="1:20" x14ac:dyDescent="0.45">
      <c r="A118" s="29"/>
      <c r="B118" s="29"/>
      <c r="C118" s="29"/>
      <c r="D118" s="29"/>
      <c r="E118" s="29"/>
      <c r="F118" s="29"/>
      <c r="G118" s="29"/>
      <c r="H118" s="29"/>
      <c r="I118" s="29"/>
      <c r="J118" s="29"/>
      <c r="K118" s="29"/>
      <c r="L118" s="29"/>
      <c r="M118" s="29"/>
      <c r="N118" s="29"/>
      <c r="O118" s="29"/>
      <c r="P118" s="29"/>
      <c r="Q118" s="29"/>
      <c r="R118" s="29"/>
      <c r="S118" s="29"/>
      <c r="T118" s="29"/>
    </row>
    <row r="119" spans="1:20" x14ac:dyDescent="0.45">
      <c r="A119" s="29"/>
      <c r="B119" s="29"/>
      <c r="C119" s="29"/>
      <c r="D119" s="29"/>
      <c r="E119" s="29"/>
      <c r="F119" s="29"/>
      <c r="G119" s="29"/>
      <c r="H119" s="29"/>
      <c r="I119" s="29"/>
      <c r="J119" s="29"/>
      <c r="K119" s="29"/>
      <c r="L119" s="29"/>
      <c r="M119" s="29"/>
      <c r="N119" s="29"/>
      <c r="O119" s="29"/>
      <c r="P119" s="29"/>
      <c r="Q119" s="29"/>
      <c r="R119" s="29"/>
      <c r="S119" s="29"/>
      <c r="T119" s="29"/>
    </row>
    <row r="120" spans="1:20" x14ac:dyDescent="0.45">
      <c r="A120" s="29"/>
      <c r="B120" s="29"/>
      <c r="C120" s="29"/>
      <c r="D120" s="29"/>
      <c r="E120" s="29"/>
      <c r="F120" s="29"/>
      <c r="G120" s="29"/>
      <c r="H120" s="29"/>
      <c r="I120" s="29"/>
      <c r="J120" s="29"/>
      <c r="K120" s="29"/>
      <c r="L120" s="29"/>
      <c r="M120" s="29"/>
      <c r="N120" s="29"/>
      <c r="O120" s="29"/>
      <c r="P120" s="29"/>
      <c r="Q120" s="29"/>
      <c r="R120" s="29"/>
      <c r="S120" s="29"/>
      <c r="T120" s="29"/>
    </row>
    <row r="121" spans="1:20" x14ac:dyDescent="0.45">
      <c r="A121" s="29"/>
      <c r="B121" s="29"/>
      <c r="C121" s="29"/>
      <c r="D121" s="29"/>
      <c r="E121" s="29"/>
      <c r="F121" s="29"/>
      <c r="G121" s="29"/>
      <c r="H121" s="29"/>
      <c r="I121" s="29"/>
      <c r="J121" s="29"/>
      <c r="K121" s="29"/>
      <c r="L121" s="29"/>
      <c r="M121" s="29"/>
      <c r="N121" s="29"/>
      <c r="O121" s="29"/>
      <c r="P121" s="29"/>
      <c r="Q121" s="29"/>
      <c r="R121" s="29"/>
      <c r="S121" s="29"/>
      <c r="T121" s="29"/>
    </row>
  </sheetData>
  <mergeCells count="3">
    <mergeCell ref="A1:L10"/>
    <mergeCell ref="A12:L18"/>
    <mergeCell ref="A19:L28"/>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053EA-6AC9-488B-A8C7-4402735123C2}">
  <dimension ref="A1:W158"/>
  <sheetViews>
    <sheetView topLeftCell="L1" workbookViewId="0">
      <pane ySplit="1" topLeftCell="A2" activePane="bottomLeft" state="frozen"/>
      <selection sqref="A1:T121"/>
      <selection pane="bottomLeft" sqref="A1:T121"/>
    </sheetView>
  </sheetViews>
  <sheetFormatPr baseColWidth="10" defaultRowHeight="14.25" x14ac:dyDescent="0.45"/>
  <cols>
    <col min="1" max="1" width="10.6640625" customWidth="1"/>
    <col min="2" max="2" width="8.265625" customWidth="1"/>
    <col min="3" max="3" width="10.6640625" customWidth="1"/>
    <col min="4" max="4" width="16.19921875" bestFit="1" customWidth="1"/>
    <col min="5" max="5" width="16.73046875" bestFit="1" customWidth="1"/>
    <col min="8" max="8" width="11.06640625" bestFit="1" customWidth="1"/>
    <col min="9" max="9" width="13.06640625" bestFit="1" customWidth="1"/>
    <col min="10" max="10" width="13.59765625" bestFit="1" customWidth="1"/>
    <col min="11" max="11" width="13.59765625" customWidth="1"/>
    <col min="14" max="14" width="11.53125" bestFit="1" customWidth="1"/>
    <col min="15" max="15" width="12.06640625" bestFit="1" customWidth="1"/>
    <col min="19" max="19" width="11.796875" bestFit="1" customWidth="1"/>
    <col min="20" max="20" width="11.86328125" bestFit="1" customWidth="1"/>
    <col min="21" max="21" width="11.86328125" customWidth="1"/>
    <col min="22" max="22" width="24.6640625" bestFit="1" customWidth="1"/>
    <col min="23" max="23" width="12.73046875" bestFit="1" customWidth="1"/>
  </cols>
  <sheetData>
    <row r="1" spans="1:23" x14ac:dyDescent="0.45">
      <c r="A1" s="1" t="s">
        <v>272</v>
      </c>
      <c r="B1" s="1" t="s">
        <v>300</v>
      </c>
      <c r="C1" s="1" t="s">
        <v>273</v>
      </c>
      <c r="D1" s="1" t="s">
        <v>76</v>
      </c>
      <c r="E1" s="1" t="s">
        <v>274</v>
      </c>
      <c r="F1" s="1" t="s">
        <v>290</v>
      </c>
      <c r="G1" s="1" t="s">
        <v>275</v>
      </c>
      <c r="H1" s="1" t="s">
        <v>276</v>
      </c>
      <c r="I1" s="1" t="s">
        <v>286</v>
      </c>
      <c r="J1" s="1" t="s">
        <v>277</v>
      </c>
      <c r="K1" s="1" t="s">
        <v>287</v>
      </c>
      <c r="L1" s="1" t="s">
        <v>278</v>
      </c>
      <c r="M1" s="1" t="s">
        <v>103</v>
      </c>
      <c r="N1" s="1" t="s">
        <v>279</v>
      </c>
      <c r="O1" s="1" t="s">
        <v>280</v>
      </c>
      <c r="P1" s="1" t="s">
        <v>281</v>
      </c>
      <c r="Q1" s="1" t="s">
        <v>282</v>
      </c>
      <c r="R1" s="1" t="s">
        <v>283</v>
      </c>
      <c r="S1" s="1" t="s">
        <v>284</v>
      </c>
      <c r="T1" s="1" t="s">
        <v>285</v>
      </c>
      <c r="U1" s="1" t="s">
        <v>288</v>
      </c>
      <c r="V1" s="1" t="s">
        <v>75</v>
      </c>
      <c r="W1" s="1" t="s">
        <v>102</v>
      </c>
    </row>
    <row r="2" spans="1:23" x14ac:dyDescent="0.45">
      <c r="A2" s="2">
        <v>2022</v>
      </c>
      <c r="B2" s="2">
        <v>1</v>
      </c>
      <c r="C2" s="3">
        <v>20</v>
      </c>
      <c r="D2" s="3" t="s">
        <v>32</v>
      </c>
      <c r="E2" s="2" t="s">
        <v>196</v>
      </c>
      <c r="F2" s="12" t="s">
        <v>356</v>
      </c>
      <c r="G2" s="2">
        <v>1.9</v>
      </c>
      <c r="H2" s="2">
        <v>99</v>
      </c>
      <c r="I2" s="2" t="s">
        <v>165</v>
      </c>
      <c r="J2" s="2">
        <f>(61.1+67.2)/2</f>
        <v>64.150000000000006</v>
      </c>
      <c r="K2" s="2">
        <f>2408+4319</f>
        <v>6727</v>
      </c>
      <c r="L2" s="2">
        <f>13+42</f>
        <v>55</v>
      </c>
      <c r="M2" s="2">
        <f>9+7</f>
        <v>16</v>
      </c>
      <c r="N2" s="2">
        <f>(129.6+165.3)/2</f>
        <v>147.44999999999999</v>
      </c>
      <c r="O2" s="2">
        <f>81+97</f>
        <v>178</v>
      </c>
      <c r="P2" s="2">
        <f>145+241</f>
        <v>386</v>
      </c>
      <c r="Q2" s="2">
        <f>8+5</f>
        <v>13</v>
      </c>
      <c r="R2" s="2" t="s">
        <v>289</v>
      </c>
      <c r="S2" s="2" t="s">
        <v>289</v>
      </c>
      <c r="T2" s="2" t="s">
        <v>289</v>
      </c>
      <c r="U2" s="2">
        <v>0</v>
      </c>
      <c r="V2" s="2" t="s">
        <v>48</v>
      </c>
      <c r="W2" s="2" t="s">
        <v>4</v>
      </c>
    </row>
    <row r="3" spans="1:23" x14ac:dyDescent="0.45">
      <c r="A3" s="2">
        <v>2022</v>
      </c>
      <c r="B3" s="2">
        <v>3</v>
      </c>
      <c r="C3" s="3">
        <v>74</v>
      </c>
      <c r="D3" s="3" t="s">
        <v>32</v>
      </c>
      <c r="E3" s="2" t="s">
        <v>201</v>
      </c>
      <c r="F3" s="12" t="s">
        <v>357</v>
      </c>
      <c r="G3" s="2">
        <v>1.93</v>
      </c>
      <c r="H3" s="2">
        <v>98</v>
      </c>
      <c r="I3" s="2" t="s">
        <v>146</v>
      </c>
      <c r="J3" s="2">
        <f>(66.2+64.9)/2</f>
        <v>65.550000000000011</v>
      </c>
      <c r="K3" s="2">
        <f>2296+3334</f>
        <v>5630</v>
      </c>
      <c r="L3" s="2">
        <f>19+30</f>
        <v>49</v>
      </c>
      <c r="M3" s="2">
        <f>6+8</f>
        <v>14</v>
      </c>
      <c r="N3" s="2">
        <f>(152.9+158.7)/2</f>
        <v>155.80000000000001</v>
      </c>
      <c r="O3" s="2">
        <f>98+110</f>
        <v>208</v>
      </c>
      <c r="P3" s="2">
        <f>592+355</f>
        <v>947</v>
      </c>
      <c r="Q3" s="2">
        <f>12+6</f>
        <v>18</v>
      </c>
      <c r="R3" s="2" t="s">
        <v>289</v>
      </c>
      <c r="S3" s="2" t="s">
        <v>289</v>
      </c>
      <c r="T3" s="2" t="s">
        <v>289</v>
      </c>
      <c r="U3" s="2">
        <v>0</v>
      </c>
      <c r="V3" s="2" t="s">
        <v>22</v>
      </c>
      <c r="W3" s="2" t="s">
        <v>21</v>
      </c>
    </row>
    <row r="4" spans="1:23" x14ac:dyDescent="0.45">
      <c r="A4" s="2">
        <v>2022</v>
      </c>
      <c r="B4" s="2">
        <v>3</v>
      </c>
      <c r="C4" s="3">
        <v>86</v>
      </c>
      <c r="D4" s="3" t="s">
        <v>32</v>
      </c>
      <c r="E4" s="2" t="s">
        <v>200</v>
      </c>
      <c r="F4" s="12" t="s">
        <v>358</v>
      </c>
      <c r="G4" s="2">
        <v>1.85</v>
      </c>
      <c r="H4" s="2">
        <v>99</v>
      </c>
      <c r="I4" s="2" t="s">
        <v>144</v>
      </c>
      <c r="J4" s="2">
        <f>(64.2+61.1)/2</f>
        <v>62.650000000000006</v>
      </c>
      <c r="K4" s="2">
        <f>2260+2857</f>
        <v>5117</v>
      </c>
      <c r="L4" s="2">
        <f>20+27</f>
        <v>47</v>
      </c>
      <c r="M4" s="2">
        <f>6+12</f>
        <v>18</v>
      </c>
      <c r="N4" s="2">
        <f>(156.2+151.1)/2</f>
        <v>153.64999999999998</v>
      </c>
      <c r="O4" s="2">
        <f>141+197</f>
        <v>338</v>
      </c>
      <c r="P4" s="2">
        <f>944+878</f>
        <v>1822</v>
      </c>
      <c r="Q4" s="2">
        <f>14+13</f>
        <v>27</v>
      </c>
      <c r="R4" s="2" t="s">
        <v>289</v>
      </c>
      <c r="S4" s="2" t="s">
        <v>289</v>
      </c>
      <c r="T4" s="2" t="s">
        <v>289</v>
      </c>
      <c r="U4" s="2">
        <v>0</v>
      </c>
      <c r="V4" s="2" t="s">
        <v>58</v>
      </c>
      <c r="W4" s="2" t="s">
        <v>14</v>
      </c>
    </row>
    <row r="5" spans="1:23" x14ac:dyDescent="0.45">
      <c r="A5" s="2">
        <v>2022</v>
      </c>
      <c r="B5" s="2">
        <v>3</v>
      </c>
      <c r="C5" s="3">
        <v>94</v>
      </c>
      <c r="D5" s="3" t="s">
        <v>32</v>
      </c>
      <c r="E5" s="2" t="s">
        <v>248</v>
      </c>
      <c r="F5" s="12" t="s">
        <v>359</v>
      </c>
      <c r="G5" s="2">
        <v>1.85</v>
      </c>
      <c r="H5" s="2">
        <v>93</v>
      </c>
      <c r="I5" s="2" t="s">
        <v>141</v>
      </c>
      <c r="J5" s="2">
        <f>(70.9+67.9)/2</f>
        <v>69.400000000000006</v>
      </c>
      <c r="K5" s="2">
        <f>3337+3349</f>
        <v>6686</v>
      </c>
      <c r="L5" s="2">
        <f>29+20</f>
        <v>49</v>
      </c>
      <c r="M5" s="2">
        <f>14+5</f>
        <v>19</v>
      </c>
      <c r="N5" s="2">
        <f>(177.6+155.3)/2</f>
        <v>166.45</v>
      </c>
      <c r="O5" s="2">
        <f>112+152</f>
        <v>264</v>
      </c>
      <c r="P5" s="2">
        <f>506+614</f>
        <v>1120</v>
      </c>
      <c r="Q5" s="2">
        <f>4+11</f>
        <v>15</v>
      </c>
      <c r="R5" s="2" t="s">
        <v>289</v>
      </c>
      <c r="S5" s="2" t="s">
        <v>289</v>
      </c>
      <c r="T5" s="2" t="s">
        <v>289</v>
      </c>
      <c r="U5" s="2">
        <v>0</v>
      </c>
      <c r="V5" s="2" t="s">
        <v>24</v>
      </c>
      <c r="W5" s="2" t="s">
        <v>23</v>
      </c>
    </row>
    <row r="6" spans="1:23" x14ac:dyDescent="0.45">
      <c r="A6" s="2">
        <v>2022</v>
      </c>
      <c r="B6" s="2">
        <v>4</v>
      </c>
      <c r="C6" s="3">
        <v>137</v>
      </c>
      <c r="D6" s="3" t="s">
        <v>32</v>
      </c>
      <c r="E6" s="2" t="s">
        <v>221</v>
      </c>
      <c r="F6" s="12" t="s">
        <v>360</v>
      </c>
      <c r="G6" s="2">
        <v>1.85</v>
      </c>
      <c r="H6" s="2">
        <v>99</v>
      </c>
      <c r="I6" s="2" t="s">
        <v>182</v>
      </c>
      <c r="J6" s="2">
        <f>(65.6+69.2)/2</f>
        <v>67.400000000000006</v>
      </c>
      <c r="K6" s="2">
        <f>1833+5967</f>
        <v>7800</v>
      </c>
      <c r="L6" s="2">
        <f>15+62</f>
        <v>77</v>
      </c>
      <c r="M6" s="2">
        <f>1+11</f>
        <v>12</v>
      </c>
      <c r="N6" s="2">
        <f>(159.3+168.9)/2</f>
        <v>164.10000000000002</v>
      </c>
      <c r="O6" s="2">
        <f>19+51</f>
        <v>70</v>
      </c>
      <c r="P6" s="2">
        <f>14+17</f>
        <v>31</v>
      </c>
      <c r="Q6" s="2">
        <f>0+3</f>
        <v>3</v>
      </c>
      <c r="R6" s="2" t="s">
        <v>289</v>
      </c>
      <c r="S6" s="2" t="s">
        <v>289</v>
      </c>
      <c r="T6" s="2" t="s">
        <v>289</v>
      </c>
      <c r="U6" s="2">
        <v>0</v>
      </c>
      <c r="V6" s="2" t="s">
        <v>37</v>
      </c>
      <c r="W6" s="2" t="s">
        <v>25</v>
      </c>
    </row>
    <row r="7" spans="1:23" x14ac:dyDescent="0.45">
      <c r="A7" s="2">
        <v>2022</v>
      </c>
      <c r="B7" s="2">
        <v>5</v>
      </c>
      <c r="C7" s="3">
        <v>144</v>
      </c>
      <c r="D7" s="3" t="s">
        <v>32</v>
      </c>
      <c r="E7" s="2" t="s">
        <v>213</v>
      </c>
      <c r="F7" s="12" t="s">
        <v>361</v>
      </c>
      <c r="G7" s="2">
        <v>1.85</v>
      </c>
      <c r="H7" s="2">
        <v>99</v>
      </c>
      <c r="I7" s="2" t="s">
        <v>173</v>
      </c>
      <c r="J7" s="2">
        <f>(68.1+62.5)/2</f>
        <v>65.3</v>
      </c>
      <c r="K7" s="2">
        <f>3586+3056</f>
        <v>6642</v>
      </c>
      <c r="L7" s="2">
        <f>30+24</f>
        <v>54</v>
      </c>
      <c r="M7" s="2">
        <f>7+9</f>
        <v>16</v>
      </c>
      <c r="N7" s="2">
        <f>(179+154.2)/2</f>
        <v>166.6</v>
      </c>
      <c r="O7" s="2">
        <f>92+183</f>
        <v>275</v>
      </c>
      <c r="P7" s="2">
        <f>146+828</f>
        <v>974</v>
      </c>
      <c r="Q7" s="2">
        <f>5+11</f>
        <v>16</v>
      </c>
      <c r="R7" s="2" t="s">
        <v>289</v>
      </c>
      <c r="S7" s="2" t="s">
        <v>289</v>
      </c>
      <c r="T7" s="2" t="s">
        <v>289</v>
      </c>
      <c r="U7" s="2">
        <v>0</v>
      </c>
      <c r="V7" s="2" t="s">
        <v>5</v>
      </c>
      <c r="W7" s="2" t="s">
        <v>4</v>
      </c>
    </row>
    <row r="8" spans="1:23" x14ac:dyDescent="0.45">
      <c r="A8" s="2">
        <v>2022</v>
      </c>
      <c r="B8" s="2">
        <v>2</v>
      </c>
      <c r="C8" s="3">
        <v>36</v>
      </c>
      <c r="D8" s="3" t="s">
        <v>10</v>
      </c>
      <c r="E8" s="2" t="s">
        <v>219</v>
      </c>
      <c r="F8" s="12" t="s">
        <v>362</v>
      </c>
      <c r="G8" s="2">
        <v>1.8</v>
      </c>
      <c r="H8" s="2">
        <v>100</v>
      </c>
      <c r="I8" s="2" t="s">
        <v>171</v>
      </c>
      <c r="J8" s="2" t="s">
        <v>289</v>
      </c>
      <c r="K8" s="2" t="s">
        <v>289</v>
      </c>
      <c r="L8" s="2" t="s">
        <v>289</v>
      </c>
      <c r="M8" s="2" t="s">
        <v>289</v>
      </c>
      <c r="N8" s="2" t="s">
        <v>289</v>
      </c>
      <c r="O8" s="2">
        <f>279+253</f>
        <v>532</v>
      </c>
      <c r="P8" s="2">
        <f>1572+1472</f>
        <v>3044</v>
      </c>
      <c r="Q8" s="2">
        <f>21+20</f>
        <v>41</v>
      </c>
      <c r="R8" s="2">
        <f>23+36</f>
        <v>59</v>
      </c>
      <c r="S8" s="2">
        <f>180+302</f>
        <v>482</v>
      </c>
      <c r="T8" s="2">
        <f>2+3</f>
        <v>5</v>
      </c>
      <c r="U8" s="2">
        <v>0</v>
      </c>
      <c r="V8" s="2" t="s">
        <v>43</v>
      </c>
      <c r="W8" s="2" t="s">
        <v>26</v>
      </c>
    </row>
    <row r="9" spans="1:23" x14ac:dyDescent="0.45">
      <c r="A9" s="2">
        <v>2022</v>
      </c>
      <c r="B9" s="2">
        <v>2</v>
      </c>
      <c r="C9" s="3">
        <v>41</v>
      </c>
      <c r="D9" s="3" t="s">
        <v>10</v>
      </c>
      <c r="E9" s="2" t="s">
        <v>249</v>
      </c>
      <c r="F9" s="12" t="s">
        <v>363</v>
      </c>
      <c r="G9" s="2">
        <v>1.75</v>
      </c>
      <c r="H9" s="2">
        <v>96</v>
      </c>
      <c r="I9" s="2" t="s">
        <v>147</v>
      </c>
      <c r="J9" s="2" t="s">
        <v>289</v>
      </c>
      <c r="K9" s="2" t="s">
        <v>289</v>
      </c>
      <c r="L9" s="2" t="s">
        <v>289</v>
      </c>
      <c r="M9" s="2" t="s">
        <v>289</v>
      </c>
      <c r="N9" s="2" t="s">
        <v>289</v>
      </c>
      <c r="O9" s="2">
        <f>119+263</f>
        <v>382</v>
      </c>
      <c r="P9" s="2">
        <f>579+1636</f>
        <v>2215</v>
      </c>
      <c r="Q9" s="2">
        <f>13+18</f>
        <v>31</v>
      </c>
      <c r="R9" s="2">
        <f>3+13</f>
        <v>16</v>
      </c>
      <c r="S9" s="2">
        <f>30+89</f>
        <v>119</v>
      </c>
      <c r="T9" s="2">
        <f>0+1</f>
        <v>1</v>
      </c>
      <c r="U9" s="2">
        <v>0</v>
      </c>
      <c r="V9" s="2" t="s">
        <v>68</v>
      </c>
      <c r="W9" s="2" t="s">
        <v>13</v>
      </c>
    </row>
    <row r="10" spans="1:23" x14ac:dyDescent="0.45">
      <c r="A10" s="2">
        <v>2022</v>
      </c>
      <c r="B10" s="2">
        <v>2</v>
      </c>
      <c r="C10" s="3">
        <v>63</v>
      </c>
      <c r="D10" s="3" t="s">
        <v>10</v>
      </c>
      <c r="E10" s="2" t="s">
        <v>222</v>
      </c>
      <c r="F10" s="12" t="s">
        <v>364</v>
      </c>
      <c r="G10" s="2">
        <v>1.8</v>
      </c>
      <c r="H10" s="2">
        <v>86</v>
      </c>
      <c r="I10" s="2" t="s">
        <v>163</v>
      </c>
      <c r="J10" s="2" t="s">
        <v>289</v>
      </c>
      <c r="K10" s="2" t="s">
        <v>289</v>
      </c>
      <c r="L10" s="2" t="s">
        <v>289</v>
      </c>
      <c r="M10" s="2" t="s">
        <v>289</v>
      </c>
      <c r="N10" s="2" t="s">
        <v>289</v>
      </c>
      <c r="O10" s="2">
        <f>45+113</f>
        <v>158</v>
      </c>
      <c r="P10" s="2">
        <f>303+728</f>
        <v>1031</v>
      </c>
      <c r="Q10" s="2">
        <f>3+7</f>
        <v>10</v>
      </c>
      <c r="R10" s="2">
        <f>16+27</f>
        <v>43</v>
      </c>
      <c r="S10" s="2">
        <f>225+284</f>
        <v>509</v>
      </c>
      <c r="T10" s="2">
        <f>2+4</f>
        <v>6</v>
      </c>
      <c r="U10" s="2">
        <v>0</v>
      </c>
      <c r="V10" s="2" t="s">
        <v>39</v>
      </c>
      <c r="W10" s="2" t="s">
        <v>23</v>
      </c>
    </row>
    <row r="11" spans="1:23" x14ac:dyDescent="0.45">
      <c r="A11" s="2">
        <v>2022</v>
      </c>
      <c r="B11" s="2">
        <v>3</v>
      </c>
      <c r="C11" s="3">
        <v>91</v>
      </c>
      <c r="D11" s="3" t="s">
        <v>10</v>
      </c>
      <c r="E11" s="2" t="s">
        <v>250</v>
      </c>
      <c r="F11" s="12" t="s">
        <v>365</v>
      </c>
      <c r="G11" s="2">
        <v>1.83</v>
      </c>
      <c r="H11" s="2">
        <v>97</v>
      </c>
      <c r="I11" s="2" t="s">
        <v>183</v>
      </c>
      <c r="J11" s="2" t="s">
        <v>289</v>
      </c>
      <c r="K11" s="2" t="s">
        <v>289</v>
      </c>
      <c r="L11" s="2" t="s">
        <v>289</v>
      </c>
      <c r="M11" s="2" t="s">
        <v>289</v>
      </c>
      <c r="N11" s="2" t="s">
        <v>289</v>
      </c>
      <c r="O11" s="2">
        <f>42+182</f>
        <v>224</v>
      </c>
      <c r="P11" s="2">
        <f>420+1006</f>
        <v>1426</v>
      </c>
      <c r="Q11" s="2">
        <f>5+15</f>
        <v>20</v>
      </c>
      <c r="R11" s="2">
        <f>8+43</f>
        <v>51</v>
      </c>
      <c r="S11" s="2">
        <f>151+456</f>
        <v>607</v>
      </c>
      <c r="T11" s="2">
        <f>1+1</f>
        <v>2</v>
      </c>
      <c r="U11" s="2">
        <v>0</v>
      </c>
      <c r="V11" s="2" t="s">
        <v>30</v>
      </c>
      <c r="W11" s="2" t="s">
        <v>6</v>
      </c>
    </row>
    <row r="12" spans="1:23" x14ac:dyDescent="0.45">
      <c r="A12" s="2">
        <v>2022</v>
      </c>
      <c r="B12" s="2">
        <v>3</v>
      </c>
      <c r="C12" s="3">
        <v>93</v>
      </c>
      <c r="D12" s="3" t="s">
        <v>10</v>
      </c>
      <c r="E12" s="2" t="s">
        <v>205</v>
      </c>
      <c r="F12" s="12" t="s">
        <v>366</v>
      </c>
      <c r="G12" s="2">
        <v>1.85</v>
      </c>
      <c r="H12" s="2">
        <v>99</v>
      </c>
      <c r="I12" s="2" t="s">
        <v>166</v>
      </c>
      <c r="J12" s="2" t="s">
        <v>289</v>
      </c>
      <c r="K12" s="2" t="s">
        <v>289</v>
      </c>
      <c r="L12" s="2" t="s">
        <v>289</v>
      </c>
      <c r="M12" s="2" t="s">
        <v>289</v>
      </c>
      <c r="N12" s="2" t="s">
        <v>289</v>
      </c>
      <c r="O12" s="2">
        <f>104+211</f>
        <v>315</v>
      </c>
      <c r="P12" s="2">
        <f>446+1003</f>
        <v>1449</v>
      </c>
      <c r="Q12" s="2">
        <f>3+6</f>
        <v>9</v>
      </c>
      <c r="R12" s="2">
        <f>8+10</f>
        <v>18</v>
      </c>
      <c r="S12" s="2">
        <f>47+64</f>
        <v>111</v>
      </c>
      <c r="T12" s="2">
        <f>0</f>
        <v>0</v>
      </c>
      <c r="U12" s="2">
        <v>0</v>
      </c>
      <c r="V12" s="2" t="s">
        <v>45</v>
      </c>
      <c r="W12" s="2" t="s">
        <v>23</v>
      </c>
    </row>
    <row r="13" spans="1:23" x14ac:dyDescent="0.45">
      <c r="A13" s="2">
        <v>2022</v>
      </c>
      <c r="B13" s="2" t="s">
        <v>54</v>
      </c>
      <c r="C13" s="3">
        <v>98</v>
      </c>
      <c r="D13" s="3" t="s">
        <v>10</v>
      </c>
      <c r="E13" s="2" t="s">
        <v>202</v>
      </c>
      <c r="F13" s="12" t="s">
        <v>367</v>
      </c>
      <c r="G13" s="2">
        <v>1.85</v>
      </c>
      <c r="H13" s="2">
        <v>103</v>
      </c>
      <c r="I13" s="2" t="s">
        <v>173</v>
      </c>
      <c r="J13" s="2" t="s">
        <v>289</v>
      </c>
      <c r="K13" s="2" t="s">
        <v>289</v>
      </c>
      <c r="L13" s="2" t="s">
        <v>289</v>
      </c>
      <c r="M13" s="2" t="s">
        <v>289</v>
      </c>
      <c r="N13" s="2" t="s">
        <v>289</v>
      </c>
      <c r="O13" s="2">
        <f>91+271</f>
        <v>362</v>
      </c>
      <c r="P13" s="2">
        <f>483+1343</f>
        <v>1826</v>
      </c>
      <c r="Q13" s="2">
        <f>6+14</f>
        <v>20</v>
      </c>
      <c r="R13" s="2">
        <f>6+35</f>
        <v>41</v>
      </c>
      <c r="S13" s="2">
        <f>26+296</f>
        <v>322</v>
      </c>
      <c r="T13" s="2">
        <f>0+2</f>
        <v>2</v>
      </c>
      <c r="U13" s="2">
        <v>0</v>
      </c>
      <c r="V13" s="2" t="s">
        <v>47</v>
      </c>
      <c r="W13" s="2" t="s">
        <v>23</v>
      </c>
    </row>
    <row r="14" spans="1:23" x14ac:dyDescent="0.45">
      <c r="A14" s="2">
        <v>2022</v>
      </c>
      <c r="B14" s="2">
        <v>4</v>
      </c>
      <c r="C14" s="3">
        <v>107</v>
      </c>
      <c r="D14" s="3" t="s">
        <v>10</v>
      </c>
      <c r="E14" s="2" t="s">
        <v>190</v>
      </c>
      <c r="F14" s="12" t="s">
        <v>368</v>
      </c>
      <c r="G14" s="2">
        <v>1.78</v>
      </c>
      <c r="H14" s="2">
        <v>99</v>
      </c>
      <c r="I14" s="2" t="s">
        <v>142</v>
      </c>
      <c r="J14" s="2" t="s">
        <v>289</v>
      </c>
      <c r="K14" s="2" t="s">
        <v>289</v>
      </c>
      <c r="L14" s="2" t="s">
        <v>289</v>
      </c>
      <c r="M14" s="2" t="s">
        <v>289</v>
      </c>
      <c r="N14" s="2" t="s">
        <v>289</v>
      </c>
      <c r="O14" s="2">
        <f>106+100</f>
        <v>206</v>
      </c>
      <c r="P14" s="2">
        <f>503+574</f>
        <v>1077</v>
      </c>
      <c r="Q14" s="2">
        <f>4+13</f>
        <v>17</v>
      </c>
      <c r="R14" s="2">
        <f>17+19</f>
        <v>36</v>
      </c>
      <c r="S14" s="2">
        <f>156+216</f>
        <v>372</v>
      </c>
      <c r="T14" s="2">
        <f>1+3</f>
        <v>4</v>
      </c>
      <c r="U14" s="2">
        <v>0</v>
      </c>
      <c r="V14" s="2" t="s">
        <v>50</v>
      </c>
      <c r="W14" s="2" t="s">
        <v>23</v>
      </c>
    </row>
    <row r="15" spans="1:23" x14ac:dyDescent="0.45">
      <c r="A15" s="2">
        <v>2022</v>
      </c>
      <c r="B15" s="2">
        <v>4</v>
      </c>
      <c r="C15" s="3">
        <v>122</v>
      </c>
      <c r="D15" s="3" t="s">
        <v>10</v>
      </c>
      <c r="E15" s="2" t="s">
        <v>208</v>
      </c>
      <c r="F15" s="12" t="s">
        <v>369</v>
      </c>
      <c r="G15" s="2">
        <v>1.83</v>
      </c>
      <c r="H15" s="2">
        <v>98</v>
      </c>
      <c r="I15" s="2" t="s">
        <v>162</v>
      </c>
      <c r="J15" s="2" t="s">
        <v>289</v>
      </c>
      <c r="K15" s="2" t="s">
        <v>289</v>
      </c>
      <c r="L15" s="2" t="s">
        <v>289</v>
      </c>
      <c r="M15" s="2" t="s">
        <v>289</v>
      </c>
      <c r="N15" s="2" t="s">
        <v>289</v>
      </c>
      <c r="O15" s="2">
        <f>144+160</f>
        <v>304</v>
      </c>
      <c r="P15" s="2">
        <f>779+856</f>
        <v>1635</v>
      </c>
      <c r="Q15" s="2">
        <f>11+11</f>
        <v>22</v>
      </c>
      <c r="R15" s="2">
        <f>6+9</f>
        <v>15</v>
      </c>
      <c r="S15" s="2">
        <f>37+75</f>
        <v>112</v>
      </c>
      <c r="T15" s="2">
        <f>0</f>
        <v>0</v>
      </c>
      <c r="U15" s="2">
        <v>0</v>
      </c>
      <c r="V15" s="2" t="s">
        <v>39</v>
      </c>
      <c r="W15" s="2" t="s">
        <v>23</v>
      </c>
    </row>
    <row r="16" spans="1:23" x14ac:dyDescent="0.45">
      <c r="A16" s="2">
        <v>2022</v>
      </c>
      <c r="B16" s="2">
        <v>4</v>
      </c>
      <c r="C16" s="3">
        <v>123</v>
      </c>
      <c r="D16" s="3" t="s">
        <v>10</v>
      </c>
      <c r="E16" s="2" t="s">
        <v>194</v>
      </c>
      <c r="F16" s="12" t="s">
        <v>370</v>
      </c>
      <c r="G16" s="2">
        <v>1.85</v>
      </c>
      <c r="H16" s="2">
        <v>98</v>
      </c>
      <c r="I16" s="2" t="s">
        <v>153</v>
      </c>
      <c r="J16" s="2" t="s">
        <v>289</v>
      </c>
      <c r="K16" s="2" t="s">
        <v>289</v>
      </c>
      <c r="L16" s="2" t="s">
        <v>289</v>
      </c>
      <c r="M16" s="2" t="s">
        <v>289</v>
      </c>
      <c r="N16" s="2" t="s">
        <v>289</v>
      </c>
      <c r="O16" s="2">
        <f>188+179</f>
        <v>367</v>
      </c>
      <c r="P16" s="2">
        <f>1036+1011</f>
        <v>2047</v>
      </c>
      <c r="Q16" s="2">
        <f>9+6</f>
        <v>15</v>
      </c>
      <c r="R16" s="2">
        <f>20+25</f>
        <v>45</v>
      </c>
      <c r="S16" s="2">
        <f>193+189</f>
        <v>382</v>
      </c>
      <c r="T16" s="2">
        <f>0+1</f>
        <v>1</v>
      </c>
      <c r="U16" s="2">
        <v>0</v>
      </c>
      <c r="V16" s="2" t="s">
        <v>46</v>
      </c>
      <c r="W16" s="2" t="s">
        <v>23</v>
      </c>
    </row>
    <row r="17" spans="1:23" x14ac:dyDescent="0.45">
      <c r="A17" s="2">
        <v>2022</v>
      </c>
      <c r="B17" s="2">
        <v>4</v>
      </c>
      <c r="C17" s="3">
        <v>127</v>
      </c>
      <c r="D17" s="3" t="s">
        <v>10</v>
      </c>
      <c r="E17" s="2" t="s">
        <v>251</v>
      </c>
      <c r="F17" s="12" t="s">
        <v>371</v>
      </c>
      <c r="G17" s="2">
        <v>1.8</v>
      </c>
      <c r="H17" s="2">
        <v>98</v>
      </c>
      <c r="I17" s="2" t="s">
        <v>182</v>
      </c>
      <c r="J17" s="2" t="s">
        <v>289</v>
      </c>
      <c r="K17" s="2" t="s">
        <v>289</v>
      </c>
      <c r="L17" s="2" t="s">
        <v>289</v>
      </c>
      <c r="M17" s="2" t="s">
        <v>289</v>
      </c>
      <c r="N17" s="2" t="s">
        <v>289</v>
      </c>
      <c r="O17" s="2">
        <f>130+240</f>
        <v>370</v>
      </c>
      <c r="P17" s="2">
        <f>688+1673</f>
        <v>2361</v>
      </c>
      <c r="Q17" s="2">
        <f>3+18</f>
        <v>21</v>
      </c>
      <c r="R17" s="2">
        <f>21+22</f>
        <v>43</v>
      </c>
      <c r="S17" s="2">
        <f>197+150</f>
        <v>347</v>
      </c>
      <c r="T17" s="2">
        <f>1+0</f>
        <v>1</v>
      </c>
      <c r="U17" s="2">
        <v>0</v>
      </c>
      <c r="V17" s="2" t="s">
        <v>44</v>
      </c>
      <c r="W17" s="2" t="s">
        <v>19</v>
      </c>
    </row>
    <row r="18" spans="1:23" x14ac:dyDescent="0.45">
      <c r="A18" s="2">
        <v>2022</v>
      </c>
      <c r="B18" s="2">
        <v>4</v>
      </c>
      <c r="C18" s="3">
        <v>131</v>
      </c>
      <c r="D18" s="3" t="s">
        <v>10</v>
      </c>
      <c r="E18" s="2" t="s">
        <v>210</v>
      </c>
      <c r="F18" s="12" t="s">
        <v>372</v>
      </c>
      <c r="G18" s="2">
        <v>1.88</v>
      </c>
      <c r="H18" s="2">
        <v>103</v>
      </c>
      <c r="I18" s="2" t="s">
        <v>144</v>
      </c>
      <c r="J18" s="2" t="s">
        <v>289</v>
      </c>
      <c r="K18" s="2" t="s">
        <v>289</v>
      </c>
      <c r="L18" s="2" t="s">
        <v>289</v>
      </c>
      <c r="M18" s="2" t="s">
        <v>289</v>
      </c>
      <c r="N18" s="2" t="s">
        <v>289</v>
      </c>
      <c r="O18" s="2">
        <f>61+270</f>
        <v>331</v>
      </c>
      <c r="P18" s="2">
        <f>375+1327</f>
        <v>1702</v>
      </c>
      <c r="Q18" s="2">
        <f>6+20</f>
        <v>26</v>
      </c>
      <c r="R18" s="2">
        <f>0+18</f>
        <v>18</v>
      </c>
      <c r="S18" s="2">
        <f>0+131</f>
        <v>131</v>
      </c>
      <c r="T18" s="2">
        <v>0</v>
      </c>
      <c r="U18" s="2">
        <v>0</v>
      </c>
      <c r="V18" s="2" t="s">
        <v>40</v>
      </c>
      <c r="W18" s="2" t="s">
        <v>13</v>
      </c>
    </row>
    <row r="19" spans="1:23" x14ac:dyDescent="0.45">
      <c r="A19" s="2">
        <v>2022</v>
      </c>
      <c r="B19" s="2">
        <v>5</v>
      </c>
      <c r="C19" s="3">
        <v>151</v>
      </c>
      <c r="D19" s="3" t="s">
        <v>10</v>
      </c>
      <c r="E19" s="2" t="s">
        <v>203</v>
      </c>
      <c r="F19" s="12" t="s">
        <v>373</v>
      </c>
      <c r="G19" s="2">
        <v>1.8</v>
      </c>
      <c r="H19" s="2">
        <v>100</v>
      </c>
      <c r="I19" s="2" t="s">
        <v>146</v>
      </c>
      <c r="J19" s="2" t="s">
        <v>289</v>
      </c>
      <c r="K19" s="2" t="s">
        <v>289</v>
      </c>
      <c r="L19" s="2" t="s">
        <v>289</v>
      </c>
      <c r="M19" s="2" t="s">
        <v>289</v>
      </c>
      <c r="N19" s="2" t="s">
        <v>289</v>
      </c>
      <c r="O19" s="2">
        <f>150+276</f>
        <v>426</v>
      </c>
      <c r="P19" s="2">
        <f>1130+1606</f>
        <v>2736</v>
      </c>
      <c r="Q19" s="2">
        <f>13+23</f>
        <v>36</v>
      </c>
      <c r="R19" s="2">
        <f>14+28</f>
        <v>42</v>
      </c>
      <c r="S19" s="2">
        <f>174+199</f>
        <v>373</v>
      </c>
      <c r="T19" s="2">
        <v>0</v>
      </c>
      <c r="U19" s="2">
        <v>0</v>
      </c>
      <c r="V19" s="2" t="s">
        <v>28</v>
      </c>
      <c r="W19" s="2" t="s">
        <v>14</v>
      </c>
    </row>
    <row r="20" spans="1:23" x14ac:dyDescent="0.45">
      <c r="A20" s="2">
        <v>2022</v>
      </c>
      <c r="B20" s="2">
        <v>5</v>
      </c>
      <c r="C20" s="3">
        <v>154</v>
      </c>
      <c r="D20" s="3" t="s">
        <v>10</v>
      </c>
      <c r="E20" s="2" t="s">
        <v>212</v>
      </c>
      <c r="F20" s="12" t="s">
        <v>374</v>
      </c>
      <c r="G20" s="2">
        <v>1.78</v>
      </c>
      <c r="H20" s="2">
        <v>101</v>
      </c>
      <c r="I20" s="2" t="s">
        <v>150</v>
      </c>
      <c r="J20" s="2" t="s">
        <v>289</v>
      </c>
      <c r="K20" s="2" t="s">
        <v>289</v>
      </c>
      <c r="L20" s="2" t="s">
        <v>289</v>
      </c>
      <c r="M20" s="2" t="s">
        <v>289</v>
      </c>
      <c r="N20" s="2" t="s">
        <v>289</v>
      </c>
      <c r="O20" s="2">
        <f>93+130</f>
        <v>223</v>
      </c>
      <c r="P20" s="2">
        <f>421+647</f>
        <v>1068</v>
      </c>
      <c r="Q20" s="2">
        <f>8+13</f>
        <v>21</v>
      </c>
      <c r="R20" s="2">
        <f>12+14</f>
        <v>26</v>
      </c>
      <c r="S20" s="2">
        <f>83+82</f>
        <v>165</v>
      </c>
      <c r="T20" s="2">
        <v>0</v>
      </c>
      <c r="U20" s="2">
        <v>0</v>
      </c>
      <c r="V20" s="2" t="s">
        <v>24</v>
      </c>
      <c r="W20" s="2" t="s">
        <v>23</v>
      </c>
    </row>
    <row r="21" spans="1:23" x14ac:dyDescent="0.45">
      <c r="A21" s="2">
        <v>2022</v>
      </c>
      <c r="B21" s="2">
        <v>5</v>
      </c>
      <c r="C21" s="3">
        <v>156</v>
      </c>
      <c r="D21" s="3" t="s">
        <v>10</v>
      </c>
      <c r="E21" s="2" t="s">
        <v>184</v>
      </c>
      <c r="F21" s="12" t="s">
        <v>375</v>
      </c>
      <c r="G21" s="2">
        <v>1.78</v>
      </c>
      <c r="H21" s="2">
        <v>95</v>
      </c>
      <c r="I21" s="2" t="s">
        <v>160</v>
      </c>
      <c r="J21" s="2" t="s">
        <v>289</v>
      </c>
      <c r="K21" s="2" t="s">
        <v>289</v>
      </c>
      <c r="L21" s="2" t="s">
        <v>289</v>
      </c>
      <c r="M21" s="2" t="s">
        <v>289</v>
      </c>
      <c r="N21" s="2" t="s">
        <v>289</v>
      </c>
      <c r="O21" s="2">
        <f>73+215</f>
        <v>288</v>
      </c>
      <c r="P21" s="2">
        <f>483+1319</f>
        <v>1802</v>
      </c>
      <c r="Q21" s="2">
        <f>8+19</f>
        <v>27</v>
      </c>
      <c r="R21" s="2">
        <f>8+21</f>
        <v>29</v>
      </c>
      <c r="S21" s="2">
        <f>51+220</f>
        <v>271</v>
      </c>
      <c r="T21" s="2">
        <f>0+1</f>
        <v>1</v>
      </c>
      <c r="U21" s="2">
        <v>0</v>
      </c>
      <c r="V21" s="2" t="s">
        <v>22</v>
      </c>
      <c r="W21" s="2" t="s">
        <v>21</v>
      </c>
    </row>
    <row r="22" spans="1:23" x14ac:dyDescent="0.45">
      <c r="A22" s="2">
        <v>2022</v>
      </c>
      <c r="B22" s="2">
        <v>5</v>
      </c>
      <c r="C22" s="3">
        <v>164</v>
      </c>
      <c r="D22" s="3" t="s">
        <v>10</v>
      </c>
      <c r="E22" s="2" t="s">
        <v>211</v>
      </c>
      <c r="F22" s="12" t="s">
        <v>376</v>
      </c>
      <c r="G22" s="2">
        <v>1.75</v>
      </c>
      <c r="H22" s="2">
        <v>88</v>
      </c>
      <c r="I22" s="2" t="s">
        <v>174</v>
      </c>
      <c r="J22" s="2" t="s">
        <v>289</v>
      </c>
      <c r="K22" s="2" t="s">
        <v>289</v>
      </c>
      <c r="L22" s="2" t="s">
        <v>289</v>
      </c>
      <c r="M22" s="2" t="s">
        <v>289</v>
      </c>
      <c r="N22" s="2" t="s">
        <v>289</v>
      </c>
      <c r="O22" s="2">
        <f>211+204</f>
        <v>415</v>
      </c>
      <c r="P22" s="2">
        <f>1125+1002</f>
        <v>2127</v>
      </c>
      <c r="Q22" s="2">
        <f>13+14</f>
        <v>27</v>
      </c>
      <c r="R22" s="2">
        <f>35+42</f>
        <v>77</v>
      </c>
      <c r="S22" s="2">
        <f>313+359</f>
        <v>672</v>
      </c>
      <c r="T22" s="2">
        <f>1+3</f>
        <v>4</v>
      </c>
      <c r="U22" s="2">
        <v>0</v>
      </c>
      <c r="V22" s="2" t="s">
        <v>15</v>
      </c>
      <c r="W22" s="2" t="s">
        <v>14</v>
      </c>
    </row>
    <row r="23" spans="1:23" x14ac:dyDescent="0.45">
      <c r="A23" s="2">
        <v>2022</v>
      </c>
      <c r="B23" s="2">
        <v>5</v>
      </c>
      <c r="C23" s="3">
        <v>169</v>
      </c>
      <c r="D23" s="3" t="s">
        <v>10</v>
      </c>
      <c r="E23" s="2" t="s">
        <v>218</v>
      </c>
      <c r="F23" s="12" t="s">
        <v>377</v>
      </c>
      <c r="G23" s="2">
        <v>1.8</v>
      </c>
      <c r="H23" s="2">
        <v>93</v>
      </c>
      <c r="I23" s="2" t="s">
        <v>155</v>
      </c>
      <c r="J23" s="2" t="s">
        <v>289</v>
      </c>
      <c r="K23" s="2" t="s">
        <v>289</v>
      </c>
      <c r="L23" s="2" t="s">
        <v>289</v>
      </c>
      <c r="M23" s="2" t="s">
        <v>289</v>
      </c>
      <c r="N23" s="2" t="s">
        <v>289</v>
      </c>
      <c r="O23" s="2">
        <f>100+182</f>
        <v>282</v>
      </c>
      <c r="P23" s="2">
        <f>456+1092</f>
        <v>1548</v>
      </c>
      <c r="Q23" s="2">
        <f>4+13</f>
        <v>17</v>
      </c>
      <c r="R23" s="2">
        <f>16+15</f>
        <v>31</v>
      </c>
      <c r="S23" s="2">
        <f>111+216</f>
        <v>327</v>
      </c>
      <c r="T23" s="2">
        <f>0+1</f>
        <v>1</v>
      </c>
      <c r="U23" s="2">
        <v>0</v>
      </c>
      <c r="V23" s="2" t="s">
        <v>5</v>
      </c>
      <c r="W23" s="2" t="s">
        <v>4</v>
      </c>
    </row>
    <row r="24" spans="1:23" x14ac:dyDescent="0.45">
      <c r="A24" s="2">
        <v>2022</v>
      </c>
      <c r="B24" s="2">
        <v>1</v>
      </c>
      <c r="C24" s="3">
        <v>8</v>
      </c>
      <c r="D24" s="3" t="s">
        <v>17</v>
      </c>
      <c r="E24" s="2" t="s">
        <v>189</v>
      </c>
      <c r="F24" s="12" t="s">
        <v>328</v>
      </c>
      <c r="G24" s="2">
        <v>1.93</v>
      </c>
      <c r="H24" s="2">
        <v>97</v>
      </c>
      <c r="I24" s="2" t="s">
        <v>146</v>
      </c>
      <c r="J24" s="2" t="s">
        <v>289</v>
      </c>
      <c r="K24" s="2" t="s">
        <v>289</v>
      </c>
      <c r="L24" s="2" t="s">
        <v>289</v>
      </c>
      <c r="M24" s="2" t="s">
        <v>289</v>
      </c>
      <c r="N24" s="2" t="s">
        <v>289</v>
      </c>
      <c r="O24" s="2">
        <v>1</v>
      </c>
      <c r="P24" s="2">
        <v>2</v>
      </c>
      <c r="Q24" s="2">
        <v>0</v>
      </c>
      <c r="R24" s="2">
        <f>33+88</f>
        <v>121</v>
      </c>
      <c r="S24" s="2">
        <f>502+1084</f>
        <v>1586</v>
      </c>
      <c r="T24" s="2">
        <f>3+7</f>
        <v>10</v>
      </c>
      <c r="U24" s="2">
        <v>0</v>
      </c>
      <c r="V24" s="2" t="s">
        <v>63</v>
      </c>
      <c r="W24" s="2" t="s">
        <v>6</v>
      </c>
    </row>
    <row r="25" spans="1:23" x14ac:dyDescent="0.45">
      <c r="A25" s="2">
        <v>2022</v>
      </c>
      <c r="B25" s="2">
        <v>1</v>
      </c>
      <c r="C25" s="3">
        <v>10</v>
      </c>
      <c r="D25" s="3" t="s">
        <v>17</v>
      </c>
      <c r="E25" s="2" t="s">
        <v>185</v>
      </c>
      <c r="F25" s="12" t="s">
        <v>329</v>
      </c>
      <c r="G25" s="2">
        <v>1.83</v>
      </c>
      <c r="H25" s="2">
        <v>87</v>
      </c>
      <c r="I25" s="2" t="s">
        <v>171</v>
      </c>
      <c r="J25" s="2" t="s">
        <v>289</v>
      </c>
      <c r="K25" s="2" t="s">
        <v>289</v>
      </c>
      <c r="L25" s="2" t="s">
        <v>289</v>
      </c>
      <c r="M25" s="2" t="s">
        <v>289</v>
      </c>
      <c r="N25" s="2" t="s">
        <v>289</v>
      </c>
      <c r="O25" s="2">
        <f>2+4</f>
        <v>6</v>
      </c>
      <c r="P25" s="2">
        <f>67+76</f>
        <v>143</v>
      </c>
      <c r="Q25" s="2">
        <f>0+1</f>
        <v>1</v>
      </c>
      <c r="R25" s="2">
        <f>43+70</f>
        <v>113</v>
      </c>
      <c r="S25" s="2">
        <f>723+1058</f>
        <v>1781</v>
      </c>
      <c r="T25" s="2">
        <f>6+12</f>
        <v>18</v>
      </c>
      <c r="U25" s="2">
        <v>0</v>
      </c>
      <c r="V25" s="2" t="s">
        <v>20</v>
      </c>
      <c r="W25" s="2" t="s">
        <v>13</v>
      </c>
    </row>
    <row r="26" spans="1:23" x14ac:dyDescent="0.45">
      <c r="A26" s="2">
        <v>2022</v>
      </c>
      <c r="B26" s="2">
        <v>1</v>
      </c>
      <c r="C26" s="3">
        <v>11</v>
      </c>
      <c r="D26" s="3" t="s">
        <v>17</v>
      </c>
      <c r="E26" s="2" t="s">
        <v>223</v>
      </c>
      <c r="F26" s="12" t="s">
        <v>330</v>
      </c>
      <c r="G26" s="2">
        <v>1.83</v>
      </c>
      <c r="H26" s="2">
        <v>85</v>
      </c>
      <c r="I26" s="2" t="s">
        <v>148</v>
      </c>
      <c r="J26" s="2" t="s">
        <v>289</v>
      </c>
      <c r="K26" s="2" t="s">
        <v>289</v>
      </c>
      <c r="L26" s="2" t="s">
        <v>289</v>
      </c>
      <c r="M26" s="2" t="s">
        <v>289</v>
      </c>
      <c r="N26" s="2" t="s">
        <v>289</v>
      </c>
      <c r="O26" s="2">
        <f>2+1</f>
        <v>3</v>
      </c>
      <c r="P26" s="2">
        <f>5+0</f>
        <v>5</v>
      </c>
      <c r="Q26" s="2">
        <v>0</v>
      </c>
      <c r="R26" s="2">
        <f>50+65</f>
        <v>115</v>
      </c>
      <c r="S26" s="2">
        <f>729+936</f>
        <v>1665</v>
      </c>
      <c r="T26" s="2">
        <f>7+13</f>
        <v>20</v>
      </c>
      <c r="U26" s="2">
        <v>0</v>
      </c>
      <c r="V26" s="2" t="s">
        <v>20</v>
      </c>
      <c r="W26" s="2" t="s">
        <v>13</v>
      </c>
    </row>
    <row r="27" spans="1:23" x14ac:dyDescent="0.45">
      <c r="A27" s="2">
        <v>2022</v>
      </c>
      <c r="B27" s="2">
        <v>1</v>
      </c>
      <c r="C27" s="3">
        <v>12</v>
      </c>
      <c r="D27" s="3" t="s">
        <v>17</v>
      </c>
      <c r="E27" s="2" t="s">
        <v>220</v>
      </c>
      <c r="F27" s="12" t="s">
        <v>331</v>
      </c>
      <c r="G27" s="2">
        <v>1.85</v>
      </c>
      <c r="H27" s="2">
        <v>82</v>
      </c>
      <c r="I27" s="2" t="s">
        <v>145</v>
      </c>
      <c r="J27" s="2" t="s">
        <v>289</v>
      </c>
      <c r="K27" s="2" t="s">
        <v>289</v>
      </c>
      <c r="L27" s="2" t="s">
        <v>289</v>
      </c>
      <c r="M27" s="2" t="s">
        <v>289</v>
      </c>
      <c r="N27" s="2" t="s">
        <v>289</v>
      </c>
      <c r="O27" s="2">
        <f>3</f>
        <v>3</v>
      </c>
      <c r="P27" s="2">
        <f>23</f>
        <v>23</v>
      </c>
      <c r="Q27" s="2">
        <f>0</f>
        <v>0</v>
      </c>
      <c r="R27" s="2">
        <f>9+79</f>
        <v>88</v>
      </c>
      <c r="S27" s="2">
        <f>154+1572</f>
        <v>1726</v>
      </c>
      <c r="T27" s="2">
        <f>2+15</f>
        <v>17</v>
      </c>
      <c r="U27" s="2">
        <v>0</v>
      </c>
      <c r="V27" s="2" t="s">
        <v>47</v>
      </c>
      <c r="W27" s="2" t="s">
        <v>23</v>
      </c>
    </row>
    <row r="28" spans="1:23" x14ac:dyDescent="0.45">
      <c r="A28" s="2">
        <v>2022</v>
      </c>
      <c r="B28" s="2">
        <v>1</v>
      </c>
      <c r="C28" s="3">
        <v>16</v>
      </c>
      <c r="D28" s="3" t="s">
        <v>17</v>
      </c>
      <c r="E28" s="2" t="s">
        <v>192</v>
      </c>
      <c r="F28" s="12" t="s">
        <v>332</v>
      </c>
      <c r="G28" s="2">
        <v>1.8</v>
      </c>
      <c r="H28" s="2">
        <v>83</v>
      </c>
      <c r="I28" s="2" t="s">
        <v>173</v>
      </c>
      <c r="J28" s="2" t="s">
        <v>289</v>
      </c>
      <c r="K28" s="2" t="s">
        <v>289</v>
      </c>
      <c r="L28" s="2" t="s">
        <v>289</v>
      </c>
      <c r="M28" s="2" t="s">
        <v>289</v>
      </c>
      <c r="N28" s="2" t="s">
        <v>289</v>
      </c>
      <c r="O28" s="2">
        <f>2+6</f>
        <v>8</v>
      </c>
      <c r="P28" s="2">
        <f>0+18</f>
        <v>18</v>
      </c>
      <c r="Q28" s="2">
        <f>0+1</f>
        <v>1</v>
      </c>
      <c r="R28" s="2">
        <f>52+91</f>
        <v>143</v>
      </c>
      <c r="S28" s="2">
        <f>884+1182</f>
        <v>2066</v>
      </c>
      <c r="T28" s="2">
        <f>8+12</f>
        <v>20</v>
      </c>
      <c r="U28" s="2">
        <v>0</v>
      </c>
      <c r="V28" s="2" t="s">
        <v>41</v>
      </c>
      <c r="W28" s="2" t="s">
        <v>13</v>
      </c>
    </row>
    <row r="29" spans="1:23" x14ac:dyDescent="0.45">
      <c r="A29" s="2">
        <v>2022</v>
      </c>
      <c r="B29" s="2">
        <v>1</v>
      </c>
      <c r="C29" s="3">
        <v>18</v>
      </c>
      <c r="D29" s="3" t="s">
        <v>17</v>
      </c>
      <c r="E29" s="2" t="s">
        <v>197</v>
      </c>
      <c r="F29" s="12" t="s">
        <v>333</v>
      </c>
      <c r="G29" s="2">
        <v>1.88</v>
      </c>
      <c r="H29" s="2">
        <v>102</v>
      </c>
      <c r="I29" s="2" t="s">
        <v>144</v>
      </c>
      <c r="J29" s="2" t="s">
        <v>289</v>
      </c>
      <c r="K29" s="2" t="s">
        <v>289</v>
      </c>
      <c r="L29" s="2" t="s">
        <v>289</v>
      </c>
      <c r="M29" s="2" t="s">
        <v>289</v>
      </c>
      <c r="N29" s="2" t="s">
        <v>289</v>
      </c>
      <c r="O29" s="2">
        <f>15+14</f>
        <v>29</v>
      </c>
      <c r="P29" s="2">
        <f>72+112</f>
        <v>184</v>
      </c>
      <c r="Q29" s="2">
        <f>0+1</f>
        <v>1</v>
      </c>
      <c r="R29" s="2">
        <f>51+66</f>
        <v>117</v>
      </c>
      <c r="S29" s="2">
        <f>820+1104</f>
        <v>1924</v>
      </c>
      <c r="T29" s="2">
        <f>7+11</f>
        <v>18</v>
      </c>
      <c r="U29" s="2">
        <v>0</v>
      </c>
      <c r="V29" s="2" t="s">
        <v>72</v>
      </c>
      <c r="W29" s="2" t="s">
        <v>23</v>
      </c>
    </row>
    <row r="30" spans="1:23" x14ac:dyDescent="0.45">
      <c r="A30" s="2">
        <v>2022</v>
      </c>
      <c r="B30" s="2">
        <v>2</v>
      </c>
      <c r="C30" s="3">
        <v>34</v>
      </c>
      <c r="D30" s="3" t="s">
        <v>17</v>
      </c>
      <c r="E30" s="2" t="s">
        <v>186</v>
      </c>
      <c r="F30" s="12" t="s">
        <v>334</v>
      </c>
      <c r="G30" s="2">
        <v>1.93</v>
      </c>
      <c r="H30" s="2">
        <v>94</v>
      </c>
      <c r="I30" s="2" t="s">
        <v>156</v>
      </c>
      <c r="J30" s="2" t="s">
        <v>289</v>
      </c>
      <c r="K30" s="2" t="s">
        <v>289</v>
      </c>
      <c r="L30" s="2" t="s">
        <v>289</v>
      </c>
      <c r="M30" s="2" t="s">
        <v>289</v>
      </c>
      <c r="N30" s="2" t="s">
        <v>289</v>
      </c>
      <c r="O30" s="2">
        <f>21+15</f>
        <v>36</v>
      </c>
      <c r="P30" s="2">
        <f>116+114</f>
        <v>230</v>
      </c>
      <c r="Q30" s="2">
        <f>0+1</f>
        <v>1</v>
      </c>
      <c r="R30" s="2">
        <f>18+43</f>
        <v>61</v>
      </c>
      <c r="S30" s="2">
        <f>437+800</f>
        <v>1237</v>
      </c>
      <c r="T30" s="2">
        <f>1+7</f>
        <v>8</v>
      </c>
      <c r="U30" s="2">
        <v>0</v>
      </c>
      <c r="V30" s="2" t="s">
        <v>38</v>
      </c>
      <c r="W30" s="2" t="s">
        <v>19</v>
      </c>
    </row>
    <row r="31" spans="1:23" x14ac:dyDescent="0.45">
      <c r="A31" s="2">
        <v>2022</v>
      </c>
      <c r="B31" s="2">
        <v>2</v>
      </c>
      <c r="C31" s="3">
        <v>43</v>
      </c>
      <c r="D31" s="3" t="s">
        <v>17</v>
      </c>
      <c r="E31" s="2" t="s">
        <v>188</v>
      </c>
      <c r="F31" s="12" t="s">
        <v>335</v>
      </c>
      <c r="G31" s="2">
        <v>1.73</v>
      </c>
      <c r="H31" s="2">
        <v>84</v>
      </c>
      <c r="I31" s="2" t="s">
        <v>159</v>
      </c>
      <c r="J31" s="2" t="s">
        <v>289</v>
      </c>
      <c r="K31" s="2" t="s">
        <v>289</v>
      </c>
      <c r="L31" s="2" t="s">
        <v>289</v>
      </c>
      <c r="M31" s="2" t="s">
        <v>289</v>
      </c>
      <c r="N31" s="2" t="s">
        <v>289</v>
      </c>
      <c r="O31" s="2">
        <f>46+7</f>
        <v>53</v>
      </c>
      <c r="P31" s="2">
        <f>240+111</f>
        <v>351</v>
      </c>
      <c r="Q31" s="2">
        <f>1+0</f>
        <v>1</v>
      </c>
      <c r="R31" s="2">
        <f>51+104</f>
        <v>155</v>
      </c>
      <c r="S31" s="2">
        <f>461+1334</f>
        <v>1795</v>
      </c>
      <c r="T31" s="2">
        <f>1+7</f>
        <v>8</v>
      </c>
      <c r="U31" s="2">
        <v>0</v>
      </c>
      <c r="V31" s="2" t="s">
        <v>31</v>
      </c>
      <c r="W31" s="2" t="s">
        <v>23</v>
      </c>
    </row>
    <row r="32" spans="1:23" x14ac:dyDescent="0.45">
      <c r="A32" s="2">
        <v>2022</v>
      </c>
      <c r="B32" s="2">
        <v>2</v>
      </c>
      <c r="C32" s="3">
        <v>44</v>
      </c>
      <c r="D32" s="3" t="s">
        <v>17</v>
      </c>
      <c r="E32" s="2" t="s">
        <v>246</v>
      </c>
      <c r="F32" s="12" t="s">
        <v>336</v>
      </c>
      <c r="G32" s="2">
        <v>1.8</v>
      </c>
      <c r="H32" s="2">
        <v>85</v>
      </c>
      <c r="I32" s="2" t="s">
        <v>142</v>
      </c>
      <c r="J32" s="2" t="s">
        <v>289</v>
      </c>
      <c r="K32" s="2" t="s">
        <v>289</v>
      </c>
      <c r="L32" s="2" t="s">
        <v>289</v>
      </c>
      <c r="M32" s="2" t="s">
        <v>289</v>
      </c>
      <c r="N32" s="2" t="s">
        <v>289</v>
      </c>
      <c r="O32" s="2">
        <f>1</f>
        <v>1</v>
      </c>
      <c r="P32" s="2">
        <v>8</v>
      </c>
      <c r="Q32" s="2">
        <v>0</v>
      </c>
      <c r="R32" s="2">
        <f>55+96</f>
        <v>151</v>
      </c>
      <c r="S32" s="2">
        <f>916+1142</f>
        <v>2058</v>
      </c>
      <c r="T32" s="2">
        <f>6+8</f>
        <v>14</v>
      </c>
      <c r="U32" s="2">
        <v>0</v>
      </c>
      <c r="V32" s="2" t="s">
        <v>47</v>
      </c>
      <c r="W32" s="2" t="s">
        <v>23</v>
      </c>
    </row>
    <row r="33" spans="1:23" x14ac:dyDescent="0.45">
      <c r="A33" s="2">
        <v>2022</v>
      </c>
      <c r="B33" s="2">
        <v>2</v>
      </c>
      <c r="C33" s="3">
        <v>50</v>
      </c>
      <c r="D33" s="3" t="s">
        <v>17</v>
      </c>
      <c r="E33" s="2" t="s">
        <v>204</v>
      </c>
      <c r="F33" s="12" t="s">
        <v>337</v>
      </c>
      <c r="G33" s="2">
        <v>1.88</v>
      </c>
      <c r="H33" s="2">
        <v>84</v>
      </c>
      <c r="I33" s="2" t="s">
        <v>182</v>
      </c>
      <c r="J33" s="2" t="s">
        <v>289</v>
      </c>
      <c r="K33" s="2" t="s">
        <v>289</v>
      </c>
      <c r="L33" s="2" t="s">
        <v>289</v>
      </c>
      <c r="M33" s="2" t="s">
        <v>289</v>
      </c>
      <c r="N33" s="2" t="s">
        <v>289</v>
      </c>
      <c r="O33" s="2">
        <f>2+1</f>
        <v>3</v>
      </c>
      <c r="P33" s="2">
        <f>2-11</f>
        <v>-9</v>
      </c>
      <c r="Q33" s="2">
        <v>0</v>
      </c>
      <c r="R33" s="2">
        <f>16+62</f>
        <v>78</v>
      </c>
      <c r="S33" s="2">
        <f>158+948</f>
        <v>1106</v>
      </c>
      <c r="T33" s="2">
        <f>1+10</f>
        <v>11</v>
      </c>
      <c r="U33" s="2">
        <v>0</v>
      </c>
      <c r="V33" s="2" t="s">
        <v>56</v>
      </c>
      <c r="W33" s="2" t="s">
        <v>26</v>
      </c>
    </row>
    <row r="34" spans="1:23" x14ac:dyDescent="0.45">
      <c r="A34" s="2">
        <v>2022</v>
      </c>
      <c r="B34" s="2">
        <v>2</v>
      </c>
      <c r="C34" s="3">
        <v>52</v>
      </c>
      <c r="D34" s="3" t="s">
        <v>17</v>
      </c>
      <c r="E34" s="2" t="s">
        <v>207</v>
      </c>
      <c r="F34" s="12" t="s">
        <v>338</v>
      </c>
      <c r="G34" s="2">
        <v>1.91</v>
      </c>
      <c r="H34" s="2">
        <v>91</v>
      </c>
      <c r="I34" s="2" t="s">
        <v>165</v>
      </c>
      <c r="J34" s="2" t="s">
        <v>289</v>
      </c>
      <c r="K34" s="2" t="s">
        <v>289</v>
      </c>
      <c r="L34" s="2" t="s">
        <v>289</v>
      </c>
      <c r="M34" s="2" t="s">
        <v>289</v>
      </c>
      <c r="N34" s="2" t="s">
        <v>289</v>
      </c>
      <c r="O34" s="2">
        <v>0</v>
      </c>
      <c r="P34" s="2">
        <v>0</v>
      </c>
      <c r="Q34" s="2">
        <v>0</v>
      </c>
      <c r="R34" s="2">
        <f>36+5</f>
        <v>41</v>
      </c>
      <c r="S34" s="2">
        <f>513+107</f>
        <v>620</v>
      </c>
      <c r="T34" s="2">
        <f>6+0</f>
        <v>6</v>
      </c>
      <c r="U34" s="2">
        <v>0</v>
      </c>
      <c r="V34" s="2" t="s">
        <v>39</v>
      </c>
      <c r="W34" s="2" t="s">
        <v>23</v>
      </c>
    </row>
    <row r="35" spans="1:23" x14ac:dyDescent="0.45">
      <c r="A35" s="2">
        <v>2022</v>
      </c>
      <c r="B35" s="2">
        <v>2</v>
      </c>
      <c r="C35" s="3">
        <v>53</v>
      </c>
      <c r="D35" s="3" t="s">
        <v>17</v>
      </c>
      <c r="E35" s="2" t="s">
        <v>339</v>
      </c>
      <c r="F35" s="12" t="s">
        <v>340</v>
      </c>
      <c r="G35" s="2">
        <v>1.91</v>
      </c>
      <c r="H35" s="2">
        <v>96</v>
      </c>
      <c r="I35" s="2" t="s">
        <v>143</v>
      </c>
      <c r="J35" s="2" t="s">
        <v>289</v>
      </c>
      <c r="K35" s="2" t="s">
        <v>289</v>
      </c>
      <c r="L35" s="2" t="s">
        <v>289</v>
      </c>
      <c r="M35" s="2" t="s">
        <v>289</v>
      </c>
      <c r="N35" s="2" t="s">
        <v>289</v>
      </c>
      <c r="O35" s="2">
        <v>0</v>
      </c>
      <c r="P35" s="2">
        <v>0</v>
      </c>
      <c r="Q35" s="2">
        <v>0</v>
      </c>
      <c r="R35" s="2">
        <f>17+52</f>
        <v>69</v>
      </c>
      <c r="S35" s="2">
        <f>315+884</f>
        <v>1199</v>
      </c>
      <c r="T35" s="2">
        <f>3+8</f>
        <v>11</v>
      </c>
      <c r="U35" s="2">
        <v>0</v>
      </c>
      <c r="V35" s="2" t="s">
        <v>22</v>
      </c>
      <c r="W35" s="2" t="s">
        <v>21</v>
      </c>
    </row>
    <row r="36" spans="1:23" x14ac:dyDescent="0.45">
      <c r="A36" s="2">
        <v>2022</v>
      </c>
      <c r="B36" s="2">
        <v>2</v>
      </c>
      <c r="C36" s="3">
        <v>54</v>
      </c>
      <c r="D36" s="3" t="s">
        <v>17</v>
      </c>
      <c r="E36" s="2" t="s">
        <v>195</v>
      </c>
      <c r="F36" s="12" t="s">
        <v>341</v>
      </c>
      <c r="G36" s="2">
        <v>1.78</v>
      </c>
      <c r="H36" s="2">
        <v>88</v>
      </c>
      <c r="I36" s="2" t="s">
        <v>157</v>
      </c>
      <c r="J36" s="2" t="s">
        <v>289</v>
      </c>
      <c r="K36" s="2" t="s">
        <v>289</v>
      </c>
      <c r="L36" s="2" t="s">
        <v>289</v>
      </c>
      <c r="M36" s="2" t="s">
        <v>289</v>
      </c>
      <c r="N36" s="2" t="s">
        <v>289</v>
      </c>
      <c r="O36" s="2">
        <f>1+1</f>
        <v>2</v>
      </c>
      <c r="P36" s="2">
        <f>0+10</f>
        <v>10</v>
      </c>
      <c r="Q36" s="2">
        <v>0</v>
      </c>
      <c r="R36" s="2">
        <f>25+95</f>
        <v>120</v>
      </c>
      <c r="S36" s="2">
        <f>388+1292</f>
        <v>1680</v>
      </c>
      <c r="T36" s="2">
        <f>3+10</f>
        <v>13</v>
      </c>
      <c r="U36" s="2">
        <v>0</v>
      </c>
      <c r="V36" s="2" t="s">
        <v>66</v>
      </c>
      <c r="W36" s="2" t="s">
        <v>3</v>
      </c>
    </row>
    <row r="37" spans="1:23" x14ac:dyDescent="0.45">
      <c r="A37" s="2">
        <v>2022</v>
      </c>
      <c r="B37" s="2">
        <v>3</v>
      </c>
      <c r="C37" s="3">
        <v>71</v>
      </c>
      <c r="D37" s="3" t="s">
        <v>17</v>
      </c>
      <c r="E37" s="2" t="s">
        <v>247</v>
      </c>
      <c r="F37" s="12" t="s">
        <v>342</v>
      </c>
      <c r="G37" s="2">
        <v>1.83</v>
      </c>
      <c r="H37" s="2">
        <v>91</v>
      </c>
      <c r="I37" s="2" t="s">
        <v>170</v>
      </c>
      <c r="J37" s="2" t="s">
        <v>289</v>
      </c>
      <c r="K37" s="2" t="s">
        <v>289</v>
      </c>
      <c r="L37" s="2" t="s">
        <v>289</v>
      </c>
      <c r="M37" s="2" t="s">
        <v>289</v>
      </c>
      <c r="N37" s="2" t="s">
        <v>289</v>
      </c>
      <c r="O37" s="2">
        <f>3+1</f>
        <v>4</v>
      </c>
      <c r="P37" s="2">
        <f>16+15</f>
        <v>31</v>
      </c>
      <c r="Q37" s="2">
        <v>0</v>
      </c>
      <c r="R37" s="2">
        <f>22+61</f>
        <v>83</v>
      </c>
      <c r="S37" s="2">
        <f>280+807</f>
        <v>1087</v>
      </c>
      <c r="T37" s="2">
        <f>3+7</f>
        <v>10</v>
      </c>
      <c r="U37" s="2">
        <v>0</v>
      </c>
      <c r="V37" s="2" t="s">
        <v>62</v>
      </c>
      <c r="W37" s="2" t="s">
        <v>23</v>
      </c>
    </row>
    <row r="38" spans="1:23" x14ac:dyDescent="0.45">
      <c r="A38" s="2">
        <v>2022</v>
      </c>
      <c r="B38" s="2">
        <v>3</v>
      </c>
      <c r="C38" s="3">
        <v>88</v>
      </c>
      <c r="D38" s="3" t="s">
        <v>17</v>
      </c>
      <c r="E38" s="2" t="s">
        <v>206</v>
      </c>
      <c r="F38" s="12" t="s">
        <v>343</v>
      </c>
      <c r="G38" s="2">
        <v>1.85</v>
      </c>
      <c r="H38" s="2">
        <v>88</v>
      </c>
      <c r="I38" s="2" t="s">
        <v>164</v>
      </c>
      <c r="J38" s="2" t="s">
        <v>289</v>
      </c>
      <c r="K38" s="2" t="s">
        <v>289</v>
      </c>
      <c r="L38" s="2" t="s">
        <v>289</v>
      </c>
      <c r="M38" s="2" t="s">
        <v>289</v>
      </c>
      <c r="N38" s="2" t="s">
        <v>289</v>
      </c>
      <c r="O38" s="2">
        <v>0</v>
      </c>
      <c r="P38" s="2">
        <v>0</v>
      </c>
      <c r="Q38" s="2">
        <v>0</v>
      </c>
      <c r="R38" s="2">
        <f>64+82</f>
        <v>146</v>
      </c>
      <c r="S38" s="2">
        <f>1085+1474</f>
        <v>2559</v>
      </c>
      <c r="T38" s="2">
        <f>8+8</f>
        <v>16</v>
      </c>
      <c r="U38" s="2">
        <v>0</v>
      </c>
      <c r="V38" s="2" t="s">
        <v>57</v>
      </c>
      <c r="W38" s="2" t="s">
        <v>18</v>
      </c>
    </row>
    <row r="39" spans="1:23" x14ac:dyDescent="0.45">
      <c r="A39" s="2">
        <v>2022</v>
      </c>
      <c r="B39" s="2" t="s">
        <v>52</v>
      </c>
      <c r="C39" s="3">
        <v>99</v>
      </c>
      <c r="D39" s="3" t="s">
        <v>17</v>
      </c>
      <c r="E39" s="2" t="s">
        <v>187</v>
      </c>
      <c r="F39" s="12" t="s">
        <v>344</v>
      </c>
      <c r="G39" s="2">
        <v>1.85</v>
      </c>
      <c r="H39" s="2">
        <v>96</v>
      </c>
      <c r="I39" s="2" t="s">
        <v>160</v>
      </c>
      <c r="J39" s="2" t="s">
        <v>289</v>
      </c>
      <c r="K39" s="2" t="s">
        <v>289</v>
      </c>
      <c r="L39" s="2" t="s">
        <v>289</v>
      </c>
      <c r="M39" s="2" t="s">
        <v>289</v>
      </c>
      <c r="N39" s="2" t="s">
        <v>289</v>
      </c>
      <c r="O39" s="2">
        <f>3+3</f>
        <v>6</v>
      </c>
      <c r="P39" s="2">
        <f>12+39</f>
        <v>51</v>
      </c>
      <c r="Q39" s="2">
        <f>1+0</f>
        <v>1</v>
      </c>
      <c r="R39" s="2">
        <f>53+93</f>
        <v>146</v>
      </c>
      <c r="S39" s="2">
        <f>625+1286</f>
        <v>1911</v>
      </c>
      <c r="T39" s="2">
        <f>8+6</f>
        <v>14</v>
      </c>
      <c r="U39" s="2">
        <v>0</v>
      </c>
      <c r="V39" s="2" t="s">
        <v>53</v>
      </c>
      <c r="W39" s="2" t="s">
        <v>13</v>
      </c>
    </row>
    <row r="40" spans="1:23" x14ac:dyDescent="0.45">
      <c r="A40" s="2">
        <v>2022</v>
      </c>
      <c r="B40" s="2">
        <v>2</v>
      </c>
      <c r="C40" s="3">
        <v>55</v>
      </c>
      <c r="D40" s="3" t="s">
        <v>9</v>
      </c>
      <c r="E40" s="2" t="s">
        <v>199</v>
      </c>
      <c r="F40" s="12" t="s">
        <v>345</v>
      </c>
      <c r="G40" s="2">
        <v>1.93</v>
      </c>
      <c r="H40" s="2">
        <v>112</v>
      </c>
      <c r="I40" s="2" t="s">
        <v>161</v>
      </c>
      <c r="J40" s="2" t="s">
        <v>289</v>
      </c>
      <c r="K40" s="2" t="s">
        <v>289</v>
      </c>
      <c r="L40" s="2" t="s">
        <v>289</v>
      </c>
      <c r="M40" s="2" t="s">
        <v>289</v>
      </c>
      <c r="N40" s="2" t="s">
        <v>289</v>
      </c>
      <c r="O40" s="2">
        <v>0</v>
      </c>
      <c r="P40" s="2">
        <v>0</v>
      </c>
      <c r="Q40" s="2">
        <v>0</v>
      </c>
      <c r="R40" s="2">
        <f>22+90</f>
        <v>112</v>
      </c>
      <c r="S40" s="2">
        <f>330+1121</f>
        <v>1451</v>
      </c>
      <c r="T40" s="2">
        <f>4+1</f>
        <v>5</v>
      </c>
      <c r="U40" s="2">
        <v>0</v>
      </c>
      <c r="V40" s="2" t="s">
        <v>65</v>
      </c>
      <c r="W40" s="2" t="s">
        <v>11</v>
      </c>
    </row>
    <row r="41" spans="1:23" x14ac:dyDescent="0.45">
      <c r="A41" s="2">
        <v>2022</v>
      </c>
      <c r="B41" s="2">
        <v>3</v>
      </c>
      <c r="C41" s="3">
        <v>73</v>
      </c>
      <c r="D41" s="3" t="s">
        <v>9</v>
      </c>
      <c r="E41" s="2" t="s">
        <v>193</v>
      </c>
      <c r="F41" s="12" t="s">
        <v>346</v>
      </c>
      <c r="G41" s="2">
        <v>2.0099999999999998</v>
      </c>
      <c r="H41" s="2">
        <v>115</v>
      </c>
      <c r="I41" s="2" t="s">
        <v>143</v>
      </c>
      <c r="J41" s="2" t="s">
        <v>289</v>
      </c>
      <c r="K41" s="2" t="s">
        <v>289</v>
      </c>
      <c r="L41" s="2" t="s">
        <v>289</v>
      </c>
      <c r="M41" s="2" t="s">
        <v>289</v>
      </c>
      <c r="N41" s="2" t="s">
        <v>289</v>
      </c>
      <c r="O41" s="2">
        <f>1+1</f>
        <v>2</v>
      </c>
      <c r="P41" s="2">
        <f>5+1</f>
        <v>6</v>
      </c>
      <c r="Q41" s="2">
        <f>0+0</f>
        <v>0</v>
      </c>
      <c r="R41" s="2">
        <f>8+44</f>
        <v>52</v>
      </c>
      <c r="S41" s="2">
        <f>129+598</f>
        <v>727</v>
      </c>
      <c r="T41" s="2">
        <f>1+8</f>
        <v>9</v>
      </c>
      <c r="U41" s="2">
        <v>0</v>
      </c>
      <c r="V41" s="2" t="s">
        <v>61</v>
      </c>
      <c r="W41" s="2" t="s">
        <v>4</v>
      </c>
    </row>
    <row r="42" spans="1:23" x14ac:dyDescent="0.45">
      <c r="A42" s="2">
        <v>2022</v>
      </c>
      <c r="B42" s="2">
        <v>3</v>
      </c>
      <c r="C42" s="3">
        <v>80</v>
      </c>
      <c r="D42" s="3" t="s">
        <v>9</v>
      </c>
      <c r="E42" s="2" t="s">
        <v>191</v>
      </c>
      <c r="F42" s="12" t="s">
        <v>347</v>
      </c>
      <c r="G42" s="2">
        <v>1.93</v>
      </c>
      <c r="H42" s="2">
        <v>111</v>
      </c>
      <c r="I42" s="2" t="s">
        <v>158</v>
      </c>
      <c r="J42" s="2" t="s">
        <v>289</v>
      </c>
      <c r="K42" s="2" t="s">
        <v>289</v>
      </c>
      <c r="L42" s="2" t="s">
        <v>289</v>
      </c>
      <c r="M42" s="2" t="s">
        <v>289</v>
      </c>
      <c r="N42" s="2" t="s">
        <v>289</v>
      </c>
      <c r="O42" s="2">
        <v>0</v>
      </c>
      <c r="P42" s="2">
        <v>0</v>
      </c>
      <c r="Q42" s="2">
        <v>0</v>
      </c>
      <c r="R42" s="2">
        <f>26+42</f>
        <v>68</v>
      </c>
      <c r="S42" s="2">
        <f>517+725</f>
        <v>1242</v>
      </c>
      <c r="T42" s="2">
        <f>5+5</f>
        <v>10</v>
      </c>
      <c r="U42" s="2">
        <v>0</v>
      </c>
      <c r="V42" s="2" t="s">
        <v>16</v>
      </c>
      <c r="W42" s="2" t="s">
        <v>6</v>
      </c>
    </row>
    <row r="43" spans="1:23" x14ac:dyDescent="0.45">
      <c r="A43" s="2">
        <v>2022</v>
      </c>
      <c r="B43" s="2" t="s">
        <v>52</v>
      </c>
      <c r="C43" s="3">
        <v>101</v>
      </c>
      <c r="D43" s="3" t="s">
        <v>9</v>
      </c>
      <c r="E43" s="2" t="s">
        <v>209</v>
      </c>
      <c r="F43" s="12" t="s">
        <v>348</v>
      </c>
      <c r="G43" s="2">
        <v>1.96</v>
      </c>
      <c r="H43" s="2">
        <v>113</v>
      </c>
      <c r="I43" s="2" t="s">
        <v>171</v>
      </c>
      <c r="J43" s="2" t="s">
        <v>289</v>
      </c>
      <c r="K43" s="2" t="s">
        <v>289</v>
      </c>
      <c r="L43" s="2" t="s">
        <v>289</v>
      </c>
      <c r="M43" s="2" t="s">
        <v>289</v>
      </c>
      <c r="N43" s="2" t="s">
        <v>289</v>
      </c>
      <c r="O43" s="2">
        <v>0</v>
      </c>
      <c r="P43" s="2">
        <v>0</v>
      </c>
      <c r="Q43" s="2">
        <v>0</v>
      </c>
      <c r="R43" s="2">
        <f>13+23</f>
        <v>36</v>
      </c>
      <c r="S43" s="2">
        <f>151+284</f>
        <v>435</v>
      </c>
      <c r="T43" s="2">
        <f>5+3</f>
        <v>8</v>
      </c>
      <c r="U43" s="2">
        <v>0</v>
      </c>
      <c r="V43" s="2" t="s">
        <v>20</v>
      </c>
      <c r="W43" s="2" t="s">
        <v>13</v>
      </c>
    </row>
    <row r="44" spans="1:23" x14ac:dyDescent="0.45">
      <c r="A44" s="2">
        <v>2022</v>
      </c>
      <c r="B44" s="2">
        <v>4</v>
      </c>
      <c r="C44" s="3">
        <v>106</v>
      </c>
      <c r="D44" s="3" t="s">
        <v>9</v>
      </c>
      <c r="E44" s="2" t="s">
        <v>349</v>
      </c>
      <c r="F44" s="12" t="s">
        <v>350</v>
      </c>
      <c r="G44" s="2">
        <v>1.96</v>
      </c>
      <c r="H44" s="2">
        <v>113</v>
      </c>
      <c r="I44" s="2" t="s">
        <v>183</v>
      </c>
      <c r="J44" s="2" t="s">
        <v>289</v>
      </c>
      <c r="K44" s="2" t="s">
        <v>289</v>
      </c>
      <c r="L44" s="2" t="s">
        <v>289</v>
      </c>
      <c r="M44" s="2" t="s">
        <v>289</v>
      </c>
      <c r="N44" s="2" t="s">
        <v>289</v>
      </c>
      <c r="O44" s="2">
        <v>0</v>
      </c>
      <c r="P44" s="2">
        <v>0</v>
      </c>
      <c r="Q44" s="2">
        <v>0</v>
      </c>
      <c r="R44" s="2">
        <f>18+28</f>
        <v>46</v>
      </c>
      <c r="S44" s="2">
        <f>258+250</f>
        <v>508</v>
      </c>
      <c r="T44" s="2">
        <f>3+1</f>
        <v>4</v>
      </c>
      <c r="U44" s="2">
        <v>0</v>
      </c>
      <c r="V44" s="2" t="s">
        <v>7</v>
      </c>
      <c r="W44" s="2" t="s">
        <v>6</v>
      </c>
    </row>
    <row r="45" spans="1:23" x14ac:dyDescent="0.45">
      <c r="A45" s="2">
        <v>2022</v>
      </c>
      <c r="B45" s="2">
        <v>4</v>
      </c>
      <c r="C45" s="3">
        <v>112</v>
      </c>
      <c r="D45" s="3" t="s">
        <v>9</v>
      </c>
      <c r="E45" s="2" t="s">
        <v>198</v>
      </c>
      <c r="F45" s="12" t="s">
        <v>351</v>
      </c>
      <c r="G45" s="2">
        <v>1.96</v>
      </c>
      <c r="H45" s="2">
        <v>115</v>
      </c>
      <c r="I45" s="2" t="s">
        <v>159</v>
      </c>
      <c r="J45" s="2" t="s">
        <v>289</v>
      </c>
      <c r="K45" s="2" t="s">
        <v>289</v>
      </c>
      <c r="L45" s="2" t="s">
        <v>289</v>
      </c>
      <c r="M45" s="2" t="s">
        <v>289</v>
      </c>
      <c r="N45" s="2" t="s">
        <v>289</v>
      </c>
      <c r="O45" s="2">
        <f>1</f>
        <v>1</v>
      </c>
      <c r="P45" s="2">
        <v>2</v>
      </c>
      <c r="Q45" s="2">
        <v>0</v>
      </c>
      <c r="R45" s="2">
        <f>21+29</f>
        <v>50</v>
      </c>
      <c r="S45" s="2">
        <f>203+344</f>
        <v>547</v>
      </c>
      <c r="T45" s="2">
        <f>0+2</f>
        <v>2</v>
      </c>
      <c r="U45" s="2">
        <v>0</v>
      </c>
      <c r="V45" s="2" t="s">
        <v>295</v>
      </c>
      <c r="W45" s="2" t="s">
        <v>11</v>
      </c>
    </row>
    <row r="46" spans="1:23" x14ac:dyDescent="0.45">
      <c r="A46" s="2">
        <v>2022</v>
      </c>
      <c r="B46" s="2">
        <v>4</v>
      </c>
      <c r="C46" s="3">
        <v>112</v>
      </c>
      <c r="D46" s="3" t="s">
        <v>9</v>
      </c>
      <c r="E46" s="2" t="s">
        <v>198</v>
      </c>
      <c r="F46" s="12" t="s">
        <v>351</v>
      </c>
      <c r="G46" s="2">
        <v>1.96</v>
      </c>
      <c r="H46" s="2">
        <v>115</v>
      </c>
      <c r="I46" s="2" t="s">
        <v>159</v>
      </c>
      <c r="J46" s="2" t="s">
        <v>289</v>
      </c>
      <c r="K46" s="2" t="s">
        <v>289</v>
      </c>
      <c r="L46" s="2" t="s">
        <v>289</v>
      </c>
      <c r="M46" s="2" t="s">
        <v>289</v>
      </c>
      <c r="N46" s="2" t="s">
        <v>289</v>
      </c>
      <c r="O46" s="2">
        <f>1</f>
        <v>1</v>
      </c>
      <c r="P46" s="2">
        <v>2</v>
      </c>
      <c r="Q46" s="2">
        <v>0</v>
      </c>
      <c r="R46" s="2">
        <f>21+29</f>
        <v>50</v>
      </c>
      <c r="S46" s="2">
        <f>203+344</f>
        <v>547</v>
      </c>
      <c r="T46" s="2">
        <f>0+2</f>
        <v>2</v>
      </c>
      <c r="U46" s="2">
        <v>0</v>
      </c>
      <c r="V46" s="2" t="s">
        <v>295</v>
      </c>
      <c r="W46" s="2" t="s">
        <v>11</v>
      </c>
    </row>
    <row r="47" spans="1:23" x14ac:dyDescent="0.45">
      <c r="A47" s="2">
        <v>2022</v>
      </c>
      <c r="B47" s="2">
        <v>4</v>
      </c>
      <c r="C47" s="3">
        <v>128</v>
      </c>
      <c r="D47" s="3" t="s">
        <v>9</v>
      </c>
      <c r="E47" s="2" t="s">
        <v>217</v>
      </c>
      <c r="F47" s="12" t="s">
        <v>352</v>
      </c>
      <c r="G47" s="2">
        <v>1.98</v>
      </c>
      <c r="H47" s="2">
        <v>117</v>
      </c>
      <c r="I47" s="2" t="s">
        <v>154</v>
      </c>
      <c r="J47" s="2" t="s">
        <v>289</v>
      </c>
      <c r="K47" s="2" t="s">
        <v>289</v>
      </c>
      <c r="L47" s="2" t="s">
        <v>289</v>
      </c>
      <c r="M47" s="2" t="s">
        <v>289</v>
      </c>
      <c r="N47" s="2" t="s">
        <v>289</v>
      </c>
      <c r="O47" s="2">
        <v>0</v>
      </c>
      <c r="P47" s="2">
        <v>0</v>
      </c>
      <c r="Q47" s="2">
        <v>0</v>
      </c>
      <c r="R47" s="2">
        <f>44+58</f>
        <v>102</v>
      </c>
      <c r="S47" s="2">
        <f>591+723</f>
        <v>1314</v>
      </c>
      <c r="T47" s="2">
        <f>7+5</f>
        <v>12</v>
      </c>
      <c r="U47" s="2">
        <v>0</v>
      </c>
      <c r="V47" s="2" t="s">
        <v>43</v>
      </c>
      <c r="W47" s="2" t="s">
        <v>26</v>
      </c>
    </row>
    <row r="48" spans="1:23" x14ac:dyDescent="0.45">
      <c r="A48" s="2">
        <v>2022</v>
      </c>
      <c r="B48" s="2">
        <v>4</v>
      </c>
      <c r="C48" s="3">
        <v>129</v>
      </c>
      <c r="D48" s="3" t="s">
        <v>9</v>
      </c>
      <c r="E48" s="2" t="s">
        <v>214</v>
      </c>
      <c r="F48" s="12" t="s">
        <v>353</v>
      </c>
      <c r="G48" s="2" t="s">
        <v>301</v>
      </c>
      <c r="H48" s="2">
        <v>111</v>
      </c>
      <c r="I48" s="2" t="s">
        <v>164</v>
      </c>
      <c r="J48" s="2" t="s">
        <v>289</v>
      </c>
      <c r="K48" s="2" t="s">
        <v>289</v>
      </c>
      <c r="L48" s="2" t="s">
        <v>289</v>
      </c>
      <c r="M48" s="2" t="s">
        <v>289</v>
      </c>
      <c r="N48" s="2" t="s">
        <v>289</v>
      </c>
      <c r="O48" s="2">
        <v>0</v>
      </c>
      <c r="P48" s="2">
        <v>0</v>
      </c>
      <c r="Q48" s="2">
        <v>0</v>
      </c>
      <c r="R48" s="2">
        <f>30+43</f>
        <v>73</v>
      </c>
      <c r="S48" s="2">
        <f>305+417</f>
        <v>722</v>
      </c>
      <c r="T48" s="2">
        <f>4+2</f>
        <v>6</v>
      </c>
      <c r="U48" s="2">
        <v>0</v>
      </c>
      <c r="V48" s="2" t="s">
        <v>42</v>
      </c>
      <c r="W48" s="2" t="s">
        <v>13</v>
      </c>
    </row>
    <row r="49" spans="1:23" x14ac:dyDescent="0.45">
      <c r="A49" s="2">
        <v>2022</v>
      </c>
      <c r="B49" s="2" t="s">
        <v>34</v>
      </c>
      <c r="C49" s="3">
        <v>139</v>
      </c>
      <c r="D49" s="3" t="s">
        <v>9</v>
      </c>
      <c r="E49" s="2" t="s">
        <v>216</v>
      </c>
      <c r="F49" s="12" t="s">
        <v>354</v>
      </c>
      <c r="G49" s="2">
        <v>1.93</v>
      </c>
      <c r="H49" s="2">
        <v>108</v>
      </c>
      <c r="I49" s="2" t="s">
        <v>154</v>
      </c>
      <c r="J49" s="2" t="s">
        <v>289</v>
      </c>
      <c r="K49" s="2" t="s">
        <v>289</v>
      </c>
      <c r="L49" s="2" t="s">
        <v>289</v>
      </c>
      <c r="M49" s="2" t="s">
        <v>289</v>
      </c>
      <c r="N49" s="2" t="s">
        <v>289</v>
      </c>
      <c r="O49" s="2">
        <f>0+3</f>
        <v>3</v>
      </c>
      <c r="P49" s="2">
        <f>0+10</f>
        <v>10</v>
      </c>
      <c r="Q49" s="2">
        <f>0+0</f>
        <v>0</v>
      </c>
      <c r="R49" s="2">
        <f>30+52</f>
        <v>82</v>
      </c>
      <c r="S49" s="2">
        <f>601+816</f>
        <v>1417</v>
      </c>
      <c r="T49" s="2">
        <f>5+10</f>
        <v>15</v>
      </c>
      <c r="U49" s="2">
        <v>0</v>
      </c>
      <c r="V49" s="2" t="s">
        <v>296</v>
      </c>
      <c r="W49" s="2" t="s">
        <v>18</v>
      </c>
    </row>
    <row r="50" spans="1:23" x14ac:dyDescent="0.45">
      <c r="A50" s="2">
        <v>2022</v>
      </c>
      <c r="B50" s="2" t="s">
        <v>34</v>
      </c>
      <c r="C50" s="3">
        <v>143</v>
      </c>
      <c r="D50" s="3" t="s">
        <v>9</v>
      </c>
      <c r="E50" s="2" t="s">
        <v>215</v>
      </c>
      <c r="F50" s="12" t="s">
        <v>355</v>
      </c>
      <c r="G50" s="2">
        <v>1.91</v>
      </c>
      <c r="H50" s="2">
        <v>108</v>
      </c>
      <c r="I50" s="2" t="s">
        <v>144</v>
      </c>
      <c r="J50" s="2" t="s">
        <v>289</v>
      </c>
      <c r="K50" s="2" t="s">
        <v>289</v>
      </c>
      <c r="L50" s="2" t="s">
        <v>289</v>
      </c>
      <c r="M50" s="2" t="s">
        <v>289</v>
      </c>
      <c r="N50" s="2" t="s">
        <v>289</v>
      </c>
      <c r="O50" s="2">
        <v>0</v>
      </c>
      <c r="P50" s="2">
        <v>0</v>
      </c>
      <c r="Q50" s="2">
        <v>0</v>
      </c>
      <c r="R50" s="2">
        <f>0+49</f>
        <v>49</v>
      </c>
      <c r="S50" s="2">
        <f>0+433</f>
        <v>433</v>
      </c>
      <c r="T50" s="2">
        <f>0+5</f>
        <v>5</v>
      </c>
      <c r="U50" s="2">
        <v>0</v>
      </c>
      <c r="V50" s="2" t="s">
        <v>33</v>
      </c>
      <c r="W50" s="2" t="s">
        <v>13</v>
      </c>
    </row>
    <row r="51" spans="1:23" x14ac:dyDescent="0.45">
      <c r="A51" s="2">
        <v>2023</v>
      </c>
      <c r="B51" s="2">
        <v>1</v>
      </c>
      <c r="C51" s="3">
        <v>1</v>
      </c>
      <c r="D51" s="3" t="s">
        <v>32</v>
      </c>
      <c r="E51" s="2" t="s">
        <v>94</v>
      </c>
      <c r="F51" s="12" t="s">
        <v>379</v>
      </c>
      <c r="G51" s="2">
        <v>1.78</v>
      </c>
      <c r="H51" s="2">
        <v>88</v>
      </c>
      <c r="I51" s="2" t="s">
        <v>141</v>
      </c>
      <c r="J51" s="2">
        <f>(67+64.5)/2</f>
        <v>65.75</v>
      </c>
      <c r="K51" s="2">
        <f>8356-156</f>
        <v>8200</v>
      </c>
      <c r="L51" s="2">
        <v>79</v>
      </c>
      <c r="M51" s="2">
        <v>12</v>
      </c>
      <c r="N51" s="2">
        <f>(167.4+163.2)/2</f>
        <v>165.3</v>
      </c>
      <c r="O51" s="2">
        <v>130</v>
      </c>
      <c r="P51" s="2">
        <v>185</v>
      </c>
      <c r="Q51" s="2">
        <v>7</v>
      </c>
      <c r="R51" s="2" t="s">
        <v>289</v>
      </c>
      <c r="S51" s="2" t="s">
        <v>289</v>
      </c>
      <c r="T51" s="2" t="s">
        <v>289</v>
      </c>
      <c r="U51" s="2">
        <v>0</v>
      </c>
      <c r="V51" s="2" t="s">
        <v>47</v>
      </c>
      <c r="W51" s="2" t="s">
        <v>23</v>
      </c>
    </row>
    <row r="52" spans="1:23" x14ac:dyDescent="0.45">
      <c r="A52" s="2">
        <v>2023</v>
      </c>
      <c r="B52" s="2">
        <v>1</v>
      </c>
      <c r="C52" s="3">
        <v>2</v>
      </c>
      <c r="D52" s="3" t="s">
        <v>32</v>
      </c>
      <c r="E52" s="2" t="s">
        <v>95</v>
      </c>
      <c r="F52" s="12" t="s">
        <v>380</v>
      </c>
      <c r="G52" s="2">
        <v>1.9</v>
      </c>
      <c r="H52" s="2">
        <v>97</v>
      </c>
      <c r="I52" s="2" t="s">
        <v>142</v>
      </c>
      <c r="J52" s="2">
        <v>69.3</v>
      </c>
      <c r="K52" s="2">
        <v>7775</v>
      </c>
      <c r="L52" s="2">
        <v>81</v>
      </c>
      <c r="M52" s="2">
        <v>12</v>
      </c>
      <c r="N52" s="2">
        <v>187.2</v>
      </c>
      <c r="O52" s="2">
        <v>68</v>
      </c>
      <c r="P52" s="2">
        <v>102</v>
      </c>
      <c r="Q52" s="2">
        <v>1</v>
      </c>
      <c r="R52" s="2" t="s">
        <v>289</v>
      </c>
      <c r="S52" s="2" t="s">
        <v>289</v>
      </c>
      <c r="T52" s="2" t="s">
        <v>289</v>
      </c>
      <c r="U52" s="2">
        <v>0</v>
      </c>
      <c r="V52" s="2" t="s">
        <v>20</v>
      </c>
      <c r="W52" s="2" t="s">
        <v>13</v>
      </c>
    </row>
    <row r="53" spans="1:23" x14ac:dyDescent="0.45">
      <c r="A53" s="2">
        <v>2023</v>
      </c>
      <c r="B53" s="2">
        <v>1</v>
      </c>
      <c r="C53" s="3">
        <v>4</v>
      </c>
      <c r="D53" s="3" t="s">
        <v>32</v>
      </c>
      <c r="E53" s="2" t="s">
        <v>88</v>
      </c>
      <c r="F53" s="12" t="s">
        <v>381</v>
      </c>
      <c r="G53" s="2">
        <v>1.93</v>
      </c>
      <c r="H53" s="2">
        <v>107</v>
      </c>
      <c r="I53" s="2" t="s">
        <v>143</v>
      </c>
      <c r="J53" s="2">
        <f>(59.4+53.8)/2</f>
        <v>56.599999999999994</v>
      </c>
      <c r="K53" s="2">
        <f>3105-27</f>
        <v>3078</v>
      </c>
      <c r="L53" s="2">
        <v>23</v>
      </c>
      <c r="M53" s="2">
        <v>14</v>
      </c>
      <c r="N53" s="2">
        <f>(144.1+131)/2</f>
        <v>137.55000000000001</v>
      </c>
      <c r="O53" s="2">
        <f>161-7</f>
        <v>154</v>
      </c>
      <c r="P53" s="2">
        <f>1116-61</f>
        <v>1055</v>
      </c>
      <c r="Q53" s="2">
        <v>12</v>
      </c>
      <c r="R53" s="2" t="s">
        <v>289</v>
      </c>
      <c r="S53" s="2" t="s">
        <v>289</v>
      </c>
      <c r="T53" s="2" t="s">
        <v>289</v>
      </c>
      <c r="U53" s="2">
        <v>0</v>
      </c>
      <c r="V53" s="2" t="s">
        <v>50</v>
      </c>
      <c r="W53" s="2" t="s">
        <v>23</v>
      </c>
    </row>
    <row r="54" spans="1:23" x14ac:dyDescent="0.45">
      <c r="A54" s="2">
        <v>2023</v>
      </c>
      <c r="B54" s="2">
        <v>2</v>
      </c>
      <c r="C54" s="3">
        <v>33</v>
      </c>
      <c r="D54" s="3" t="s">
        <v>32</v>
      </c>
      <c r="E54" s="2" t="s">
        <v>96</v>
      </c>
      <c r="F54" s="12" t="s">
        <v>382</v>
      </c>
      <c r="G54" s="2">
        <v>1.93</v>
      </c>
      <c r="H54" s="2">
        <v>105</v>
      </c>
      <c r="I54" s="2" t="s">
        <v>144</v>
      </c>
      <c r="J54" s="2">
        <f>(66+65.4)/2</f>
        <v>65.7</v>
      </c>
      <c r="K54" s="2">
        <f>2826+2406</f>
        <v>5232</v>
      </c>
      <c r="L54" s="2">
        <f>24+19</f>
        <v>43</v>
      </c>
      <c r="M54" s="2">
        <v>23</v>
      </c>
      <c r="N54" s="2">
        <f>(148.3+151.9)/2</f>
        <v>150.10000000000002</v>
      </c>
      <c r="O54" s="2">
        <f>107+72</f>
        <v>179</v>
      </c>
      <c r="P54" s="2">
        <f>376-107</f>
        <v>269</v>
      </c>
      <c r="Q54" s="2">
        <v>11</v>
      </c>
      <c r="R54" s="2" t="s">
        <v>289</v>
      </c>
      <c r="S54" s="2" t="s">
        <v>289</v>
      </c>
      <c r="T54" s="2" t="s">
        <v>289</v>
      </c>
      <c r="U54" s="2">
        <v>0</v>
      </c>
      <c r="V54" s="2" t="s">
        <v>31</v>
      </c>
      <c r="W54" s="2" t="s">
        <v>23</v>
      </c>
    </row>
    <row r="55" spans="1:23" x14ac:dyDescent="0.45">
      <c r="A55" s="2">
        <v>2023</v>
      </c>
      <c r="B55" s="2">
        <v>3</v>
      </c>
      <c r="C55" s="3">
        <v>68</v>
      </c>
      <c r="D55" s="3" t="s">
        <v>32</v>
      </c>
      <c r="E55" s="2" t="s">
        <v>104</v>
      </c>
      <c r="F55" s="12" t="s">
        <v>383</v>
      </c>
      <c r="G55" s="2">
        <v>1.93</v>
      </c>
      <c r="H55" s="2">
        <v>101</v>
      </c>
      <c r="I55" s="2" t="s">
        <v>145</v>
      </c>
      <c r="J55" s="2">
        <f>(68.2+70)/2</f>
        <v>69.099999999999994</v>
      </c>
      <c r="K55" s="2">
        <f>2945+3135</f>
        <v>6080</v>
      </c>
      <c r="L55" s="2">
        <f>31+27</f>
        <v>58</v>
      </c>
      <c r="M55" s="2">
        <v>5</v>
      </c>
      <c r="N55" s="2">
        <f>(182+189.9)/2</f>
        <v>185.95</v>
      </c>
      <c r="O55" s="2">
        <f>166+104</f>
        <v>270</v>
      </c>
      <c r="P55" s="2">
        <f>616+430</f>
        <v>1046</v>
      </c>
      <c r="Q55" s="2">
        <v>10</v>
      </c>
      <c r="R55" s="2" t="s">
        <v>289</v>
      </c>
      <c r="S55" s="2" t="s">
        <v>289</v>
      </c>
      <c r="T55" s="2" t="s">
        <v>289</v>
      </c>
      <c r="U55" s="2">
        <v>0</v>
      </c>
      <c r="V55" s="2" t="s">
        <v>62</v>
      </c>
      <c r="W55" s="2" t="s">
        <v>23</v>
      </c>
    </row>
    <row r="56" spans="1:23" x14ac:dyDescent="0.45">
      <c r="A56" s="2">
        <v>2023</v>
      </c>
      <c r="B56" s="2">
        <v>4</v>
      </c>
      <c r="C56" s="3">
        <v>127</v>
      </c>
      <c r="D56" s="3" t="s">
        <v>32</v>
      </c>
      <c r="E56" s="2" t="s">
        <v>106</v>
      </c>
      <c r="F56" s="12" t="s">
        <v>384</v>
      </c>
      <c r="G56" s="2">
        <v>1.85</v>
      </c>
      <c r="H56" s="2">
        <v>91</v>
      </c>
      <c r="I56" s="2" t="s">
        <v>148</v>
      </c>
      <c r="J56" s="2">
        <f>(67.5+72.6)/2</f>
        <v>70.05</v>
      </c>
      <c r="K56" s="2">
        <f>3810+2616</f>
        <v>6426</v>
      </c>
      <c r="L56" s="2">
        <f>32+18</f>
        <v>50</v>
      </c>
      <c r="M56" s="2">
        <f>9+3</f>
        <v>12</v>
      </c>
      <c r="N56" s="2">
        <f>(158.3+159.6)/2</f>
        <v>158.94999999999999</v>
      </c>
      <c r="O56" s="2">
        <f>68+40</f>
        <v>108</v>
      </c>
      <c r="P56" s="2">
        <f>3-111</f>
        <v>-108</v>
      </c>
      <c r="Q56" s="2">
        <f>3+2</f>
        <v>5</v>
      </c>
      <c r="R56" s="2" t="s">
        <v>289</v>
      </c>
      <c r="S56" s="2" t="s">
        <v>289</v>
      </c>
      <c r="T56" s="2" t="s">
        <v>289</v>
      </c>
      <c r="U56" s="2">
        <v>0</v>
      </c>
      <c r="V56" s="2" t="s">
        <v>12</v>
      </c>
      <c r="W56" s="2" t="s">
        <v>11</v>
      </c>
    </row>
    <row r="57" spans="1:23" x14ac:dyDescent="0.45">
      <c r="A57" s="2">
        <v>2023</v>
      </c>
      <c r="B57" s="2">
        <v>4</v>
      </c>
      <c r="C57" s="3">
        <v>128</v>
      </c>
      <c r="D57" s="3" t="s">
        <v>32</v>
      </c>
      <c r="E57" s="2" t="s">
        <v>100</v>
      </c>
      <c r="F57" s="12" t="s">
        <v>385</v>
      </c>
      <c r="G57" s="2">
        <v>1.8</v>
      </c>
      <c r="H57" s="2">
        <v>86</v>
      </c>
      <c r="I57" s="2" t="s">
        <v>174</v>
      </c>
      <c r="J57" s="2">
        <f>(64.5+68.3)/2</f>
        <v>66.400000000000006</v>
      </c>
      <c r="K57" s="2">
        <f>2859+4127</f>
        <v>6986</v>
      </c>
      <c r="L57" s="2">
        <f>29+27</f>
        <v>56</v>
      </c>
      <c r="M57" s="2">
        <v>14</v>
      </c>
      <c r="N57" s="2">
        <f>(176.6+161.2)/2</f>
        <v>168.89999999999998</v>
      </c>
      <c r="O57" s="2">
        <f>56+57</f>
        <v>113</v>
      </c>
      <c r="P57" s="2">
        <f>259+205</f>
        <v>464</v>
      </c>
      <c r="Q57" s="2">
        <v>11</v>
      </c>
      <c r="R57" s="2" t="s">
        <v>289</v>
      </c>
      <c r="S57" s="2" t="s">
        <v>289</v>
      </c>
      <c r="T57" s="2" t="s">
        <v>289</v>
      </c>
      <c r="U57" s="2">
        <v>0</v>
      </c>
      <c r="V57" s="2" t="s">
        <v>39</v>
      </c>
      <c r="W57" s="2" t="s">
        <v>23</v>
      </c>
    </row>
    <row r="58" spans="1:23" x14ac:dyDescent="0.45">
      <c r="A58" s="2">
        <v>2023</v>
      </c>
      <c r="B58" s="2" t="s">
        <v>34</v>
      </c>
      <c r="C58" s="3">
        <v>135</v>
      </c>
      <c r="D58" s="3" t="s">
        <v>32</v>
      </c>
      <c r="E58" s="2" t="s">
        <v>105</v>
      </c>
      <c r="F58" s="12" t="s">
        <v>386</v>
      </c>
      <c r="G58" s="2">
        <v>1.91</v>
      </c>
      <c r="H58" s="2">
        <v>95</v>
      </c>
      <c r="I58" s="2" t="s">
        <v>162</v>
      </c>
      <c r="J58" s="2">
        <f>(71.6+64.1)/2</f>
        <v>67.849999999999994</v>
      </c>
      <c r="K58" s="2">
        <f>3712+3490</f>
        <v>7202</v>
      </c>
      <c r="L58" s="2">
        <f>50</f>
        <v>50</v>
      </c>
      <c r="M58" s="2">
        <v>24</v>
      </c>
      <c r="N58" s="2">
        <f>(158.5+132.2)/2</f>
        <v>145.35</v>
      </c>
      <c r="O58" s="2">
        <f>25+43</f>
        <v>68</v>
      </c>
      <c r="P58" s="2">
        <v>-201</v>
      </c>
      <c r="Q58" s="2">
        <v>2</v>
      </c>
      <c r="R58" s="2" t="s">
        <v>289</v>
      </c>
      <c r="S58" s="2" t="s">
        <v>289</v>
      </c>
      <c r="T58" s="2" t="s">
        <v>289</v>
      </c>
      <c r="U58" s="2">
        <v>0</v>
      </c>
      <c r="V58" s="2" t="s">
        <v>53</v>
      </c>
      <c r="W58" s="2" t="s">
        <v>13</v>
      </c>
    </row>
    <row r="59" spans="1:23" x14ac:dyDescent="0.45">
      <c r="A59" s="2">
        <v>2023</v>
      </c>
      <c r="B59" s="2">
        <v>1</v>
      </c>
      <c r="C59" s="3">
        <v>8</v>
      </c>
      <c r="D59" s="3" t="s">
        <v>10</v>
      </c>
      <c r="E59" s="2" t="s">
        <v>92</v>
      </c>
      <c r="F59" s="12" t="s">
        <v>387</v>
      </c>
      <c r="G59" s="2" t="s">
        <v>378</v>
      </c>
      <c r="H59" s="2">
        <v>100</v>
      </c>
      <c r="I59" s="2" t="s">
        <v>146</v>
      </c>
      <c r="J59" s="2" t="s">
        <v>289</v>
      </c>
      <c r="K59" s="2" t="s">
        <v>289</v>
      </c>
      <c r="L59" s="2" t="s">
        <v>289</v>
      </c>
      <c r="M59" s="2" t="s">
        <v>289</v>
      </c>
      <c r="N59" s="2" t="s">
        <v>289</v>
      </c>
      <c r="O59" s="2">
        <f>195+258</f>
        <v>453</v>
      </c>
      <c r="P59" s="2">
        <f>1127+1580</f>
        <v>2707</v>
      </c>
      <c r="Q59" s="2">
        <v>29</v>
      </c>
      <c r="R59" s="2">
        <v>45</v>
      </c>
      <c r="S59" s="2">
        <f>295+314</f>
        <v>609</v>
      </c>
      <c r="T59" s="2">
        <v>6</v>
      </c>
      <c r="U59" s="2">
        <v>0</v>
      </c>
      <c r="V59" s="2" t="s">
        <v>81</v>
      </c>
      <c r="W59" s="2" t="s">
        <v>26</v>
      </c>
    </row>
    <row r="60" spans="1:23" x14ac:dyDescent="0.45">
      <c r="A60" s="2">
        <v>2023</v>
      </c>
      <c r="B60" s="2">
        <v>1</v>
      </c>
      <c r="C60" s="3">
        <v>12</v>
      </c>
      <c r="D60" s="3" t="s">
        <v>10</v>
      </c>
      <c r="E60" s="2" t="s">
        <v>90</v>
      </c>
      <c r="F60" s="12" t="s">
        <v>388</v>
      </c>
      <c r="G60" s="2">
        <v>1.8</v>
      </c>
      <c r="H60" s="2">
        <v>91</v>
      </c>
      <c r="I60" s="2" t="s">
        <v>145</v>
      </c>
      <c r="J60" s="2" t="s">
        <v>289</v>
      </c>
      <c r="K60" s="2" t="s">
        <v>289</v>
      </c>
      <c r="L60" s="2" t="s">
        <v>289</v>
      </c>
      <c r="M60" s="2" t="s">
        <v>289</v>
      </c>
      <c r="N60" s="2" t="s">
        <v>289</v>
      </c>
      <c r="O60" s="2">
        <f>143+151</f>
        <v>294</v>
      </c>
      <c r="P60" s="2">
        <f>746+926</f>
        <v>1672</v>
      </c>
      <c r="Q60" s="2">
        <v>11</v>
      </c>
      <c r="R60" s="2">
        <f>35+44</f>
        <v>79</v>
      </c>
      <c r="S60" s="2">
        <f>465+444</f>
        <v>909</v>
      </c>
      <c r="T60" s="2">
        <v>5</v>
      </c>
      <c r="U60" s="2">
        <v>0</v>
      </c>
      <c r="V60" s="2" t="s">
        <v>47</v>
      </c>
      <c r="W60" s="2" t="s">
        <v>23</v>
      </c>
    </row>
    <row r="61" spans="1:23" x14ac:dyDescent="0.45">
      <c r="A61" s="2">
        <v>2023</v>
      </c>
      <c r="B61" s="2">
        <v>2</v>
      </c>
      <c r="C61" s="3">
        <v>52</v>
      </c>
      <c r="D61" s="3" t="s">
        <v>10</v>
      </c>
      <c r="E61" s="2" t="s">
        <v>108</v>
      </c>
      <c r="F61" s="12" t="s">
        <v>389</v>
      </c>
      <c r="G61" s="2">
        <v>1.85</v>
      </c>
      <c r="H61" s="2">
        <v>101</v>
      </c>
      <c r="I61" s="2" t="s">
        <v>147</v>
      </c>
      <c r="J61" s="2" t="s">
        <v>289</v>
      </c>
      <c r="K61" s="2" t="s">
        <v>289</v>
      </c>
      <c r="L61" s="2" t="s">
        <v>289</v>
      </c>
      <c r="M61" s="2" t="s">
        <v>289</v>
      </c>
      <c r="N61" s="2" t="s">
        <v>289</v>
      </c>
      <c r="O61" s="2">
        <f>202+195</f>
        <v>397</v>
      </c>
      <c r="P61" s="2">
        <f>1137+1359</f>
        <v>2496</v>
      </c>
      <c r="Q61" s="2">
        <v>27</v>
      </c>
      <c r="R61" s="2">
        <f>37+24</f>
        <v>61</v>
      </c>
      <c r="S61" s="2">
        <f>321+197</f>
        <v>518</v>
      </c>
      <c r="T61" s="2">
        <v>0</v>
      </c>
      <c r="U61" s="2">
        <v>0</v>
      </c>
      <c r="V61" s="2" t="s">
        <v>16</v>
      </c>
      <c r="W61" s="2" t="s">
        <v>6</v>
      </c>
    </row>
    <row r="62" spans="1:23" x14ac:dyDescent="0.45">
      <c r="A62" s="2">
        <v>2023</v>
      </c>
      <c r="B62" s="2">
        <v>2</v>
      </c>
      <c r="C62" s="3">
        <v>52</v>
      </c>
      <c r="D62" s="3" t="s">
        <v>10</v>
      </c>
      <c r="E62" s="2" t="s">
        <v>108</v>
      </c>
      <c r="F62" s="12" t="s">
        <v>389</v>
      </c>
      <c r="G62" s="2">
        <v>1.85</v>
      </c>
      <c r="H62" s="2">
        <v>101</v>
      </c>
      <c r="I62" s="2" t="s">
        <v>147</v>
      </c>
      <c r="J62" s="2" t="s">
        <v>289</v>
      </c>
      <c r="K62" s="2" t="s">
        <v>289</v>
      </c>
      <c r="L62" s="2" t="s">
        <v>289</v>
      </c>
      <c r="M62" s="2" t="s">
        <v>289</v>
      </c>
      <c r="N62" s="2" t="s">
        <v>289</v>
      </c>
      <c r="O62" s="2">
        <f>202+195</f>
        <v>397</v>
      </c>
      <c r="P62" s="2">
        <f>1137+1359</f>
        <v>2496</v>
      </c>
      <c r="Q62" s="2">
        <v>27</v>
      </c>
      <c r="R62" s="2">
        <f>37+24</f>
        <v>61</v>
      </c>
      <c r="S62" s="2">
        <f>321+197</f>
        <v>518</v>
      </c>
      <c r="T62" s="2">
        <v>0</v>
      </c>
      <c r="U62" s="2">
        <v>0</v>
      </c>
      <c r="V62" s="2" t="s">
        <v>16</v>
      </c>
      <c r="W62" s="2" t="s">
        <v>6</v>
      </c>
    </row>
    <row r="63" spans="1:23" x14ac:dyDescent="0.45">
      <c r="A63" s="2">
        <v>2023</v>
      </c>
      <c r="B63" s="2">
        <v>3</v>
      </c>
      <c r="C63" s="3">
        <v>71</v>
      </c>
      <c r="D63" s="3" t="s">
        <v>10</v>
      </c>
      <c r="E63" s="2" t="s">
        <v>110</v>
      </c>
      <c r="F63" s="12" t="s">
        <v>390</v>
      </c>
      <c r="G63" s="2">
        <v>1.83</v>
      </c>
      <c r="H63" s="2">
        <v>100</v>
      </c>
      <c r="I63" s="2" t="s">
        <v>148</v>
      </c>
      <c r="J63" s="2" t="s">
        <v>289</v>
      </c>
      <c r="K63" s="2" t="s">
        <v>289</v>
      </c>
      <c r="L63" s="2" t="s">
        <v>289</v>
      </c>
      <c r="M63" s="2" t="s">
        <v>289</v>
      </c>
      <c r="N63" s="2" t="s">
        <v>289</v>
      </c>
      <c r="O63" s="2">
        <f>224+83</f>
        <v>307</v>
      </c>
      <c r="P63" s="2">
        <f>623+1399</f>
        <v>2022</v>
      </c>
      <c r="Q63" s="2">
        <v>24</v>
      </c>
      <c r="R63" s="2">
        <v>28</v>
      </c>
      <c r="S63" s="2">
        <f>116+117</f>
        <v>233</v>
      </c>
      <c r="T63" s="2">
        <v>1</v>
      </c>
      <c r="U63" s="2">
        <v>0</v>
      </c>
      <c r="V63" s="2" t="s">
        <v>84</v>
      </c>
      <c r="W63" s="2" t="s">
        <v>26</v>
      </c>
    </row>
    <row r="64" spans="1:23" x14ac:dyDescent="0.45">
      <c r="A64" s="2">
        <v>2023</v>
      </c>
      <c r="B64" s="2">
        <v>3</v>
      </c>
      <c r="C64" s="3">
        <v>81</v>
      </c>
      <c r="D64" s="3" t="s">
        <v>10</v>
      </c>
      <c r="E64" s="2" t="s">
        <v>107</v>
      </c>
      <c r="F64" s="12" t="s">
        <v>391</v>
      </c>
      <c r="G64" s="2">
        <v>1.8</v>
      </c>
      <c r="H64" s="2">
        <v>88</v>
      </c>
      <c r="I64" s="2" t="s">
        <v>144</v>
      </c>
      <c r="J64" s="2" t="s">
        <v>289</v>
      </c>
      <c r="K64" s="2" t="s">
        <v>289</v>
      </c>
      <c r="L64" s="2" t="s">
        <v>289</v>
      </c>
      <c r="M64" s="2" t="s">
        <v>289</v>
      </c>
      <c r="N64" s="2" t="s">
        <v>289</v>
      </c>
      <c r="O64" s="2">
        <f>229+129</f>
        <v>358</v>
      </c>
      <c r="P64" s="2">
        <f>863+1581</f>
        <v>2444</v>
      </c>
      <c r="Q64" s="2">
        <f>19+9</f>
        <v>28</v>
      </c>
      <c r="R64" s="2">
        <v>41</v>
      </c>
      <c r="S64" s="2">
        <f>256+145</f>
        <v>401</v>
      </c>
      <c r="T64" s="2">
        <v>2</v>
      </c>
      <c r="U64" s="2">
        <v>0</v>
      </c>
      <c r="V64" s="2" t="s">
        <v>79</v>
      </c>
      <c r="W64" s="2" t="s">
        <v>21</v>
      </c>
    </row>
    <row r="65" spans="1:23" x14ac:dyDescent="0.45">
      <c r="A65" s="2">
        <v>2023</v>
      </c>
      <c r="B65" s="2">
        <v>3</v>
      </c>
      <c r="C65" s="3">
        <v>84</v>
      </c>
      <c r="D65" s="3" t="s">
        <v>10</v>
      </c>
      <c r="E65" s="2" t="s">
        <v>109</v>
      </c>
      <c r="F65" s="12" t="s">
        <v>392</v>
      </c>
      <c r="G65" s="2">
        <v>1.75</v>
      </c>
      <c r="H65" s="2">
        <v>84</v>
      </c>
      <c r="I65" s="2" t="s">
        <v>149</v>
      </c>
      <c r="J65" s="2" t="s">
        <v>289</v>
      </c>
      <c r="K65" s="2" t="s">
        <v>289</v>
      </c>
      <c r="L65" s="2" t="s">
        <v>289</v>
      </c>
      <c r="M65" s="2" t="s">
        <v>289</v>
      </c>
      <c r="N65" s="2" t="s">
        <v>289</v>
      </c>
      <c r="O65" s="2">
        <f>130+196</f>
        <v>326</v>
      </c>
      <c r="P65" s="2">
        <f>910+1102</f>
        <v>2012</v>
      </c>
      <c r="Q65" s="2">
        <v>17</v>
      </c>
      <c r="R65" s="2">
        <f>24+36</f>
        <v>60</v>
      </c>
      <c r="S65" s="2">
        <f>261+196</f>
        <v>457</v>
      </c>
      <c r="T65" s="2">
        <v>4</v>
      </c>
      <c r="U65" s="2">
        <v>0</v>
      </c>
      <c r="V65" s="2" t="s">
        <v>46</v>
      </c>
      <c r="W65" s="2" t="s">
        <v>23</v>
      </c>
    </row>
    <row r="66" spans="1:23" x14ac:dyDescent="0.45">
      <c r="A66" s="2">
        <v>2023</v>
      </c>
      <c r="B66" s="2">
        <v>3</v>
      </c>
      <c r="C66" s="3">
        <v>88</v>
      </c>
      <c r="D66" s="3" t="s">
        <v>10</v>
      </c>
      <c r="E66" s="2" t="s">
        <v>86</v>
      </c>
      <c r="F66" s="12" t="s">
        <v>393</v>
      </c>
      <c r="G66" s="2">
        <v>1.83</v>
      </c>
      <c r="H66" s="2">
        <v>97</v>
      </c>
      <c r="I66" s="2" t="s">
        <v>150</v>
      </c>
      <c r="J66" s="2" t="s">
        <v>289</v>
      </c>
      <c r="K66" s="2" t="s">
        <v>289</v>
      </c>
      <c r="L66" s="2" t="s">
        <v>289</v>
      </c>
      <c r="M66" s="2" t="s">
        <v>289</v>
      </c>
      <c r="N66" s="2" t="s">
        <v>289</v>
      </c>
      <c r="O66" s="2">
        <f>223+179</f>
        <v>402</v>
      </c>
      <c r="P66" s="2">
        <f>1099+970</f>
        <v>2069</v>
      </c>
      <c r="Q66" s="2">
        <f>10+10</f>
        <v>20</v>
      </c>
      <c r="R66" s="2">
        <f>21+30</f>
        <v>51</v>
      </c>
      <c r="S66" s="2">
        <f>184+180</f>
        <v>364</v>
      </c>
      <c r="T66" s="2">
        <v>0</v>
      </c>
      <c r="U66" s="2">
        <v>0</v>
      </c>
      <c r="V66" s="2" t="s">
        <v>69</v>
      </c>
      <c r="W66" s="2" t="s">
        <v>23</v>
      </c>
    </row>
    <row r="67" spans="1:23" x14ac:dyDescent="0.45">
      <c r="A67" s="2">
        <v>2023</v>
      </c>
      <c r="B67" s="2">
        <v>4</v>
      </c>
      <c r="C67" s="3">
        <v>115</v>
      </c>
      <c r="D67" s="3" t="s">
        <v>10</v>
      </c>
      <c r="E67" s="2" t="s">
        <v>114</v>
      </c>
      <c r="F67" s="12" t="s">
        <v>394</v>
      </c>
      <c r="G67" s="2">
        <v>1.83</v>
      </c>
      <c r="H67" s="2">
        <v>99</v>
      </c>
      <c r="I67" s="2" t="s">
        <v>170</v>
      </c>
      <c r="J67" s="2" t="s">
        <v>289</v>
      </c>
      <c r="K67" s="2" t="s">
        <v>289</v>
      </c>
      <c r="L67" s="2" t="s">
        <v>289</v>
      </c>
      <c r="M67" s="2" t="s">
        <v>289</v>
      </c>
      <c r="N67" s="2" t="s">
        <v>289</v>
      </c>
      <c r="O67" s="2">
        <f>96-93</f>
        <v>3</v>
      </c>
      <c r="P67" s="2">
        <f>569+554</f>
        <v>1123</v>
      </c>
      <c r="Q67" s="2">
        <f>5+5</f>
        <v>10</v>
      </c>
      <c r="R67" s="2">
        <f>11+14</f>
        <v>25</v>
      </c>
      <c r="S67" s="2">
        <f>83+128</f>
        <v>211</v>
      </c>
      <c r="T67" s="2">
        <f>0+1</f>
        <v>1</v>
      </c>
      <c r="U67" s="2">
        <v>0</v>
      </c>
      <c r="V67" s="2" t="s">
        <v>81</v>
      </c>
      <c r="W67" s="2" t="s">
        <v>26</v>
      </c>
    </row>
    <row r="68" spans="1:23" x14ac:dyDescent="0.45">
      <c r="A68" s="2">
        <v>2023</v>
      </c>
      <c r="B68" s="2">
        <v>5</v>
      </c>
      <c r="C68" s="3">
        <v>143</v>
      </c>
      <c r="D68" s="3" t="s">
        <v>10</v>
      </c>
      <c r="E68" s="2" t="s">
        <v>112</v>
      </c>
      <c r="F68" s="12" t="s">
        <v>395</v>
      </c>
      <c r="G68" s="2">
        <v>1.8</v>
      </c>
      <c r="H68" s="2">
        <v>98</v>
      </c>
      <c r="I68" s="2" t="s">
        <v>171</v>
      </c>
      <c r="J68" s="2" t="s">
        <v>289</v>
      </c>
      <c r="K68" s="2" t="s">
        <v>289</v>
      </c>
      <c r="L68" s="2" t="s">
        <v>289</v>
      </c>
      <c r="M68" s="2" t="s">
        <v>289</v>
      </c>
      <c r="N68" s="2" t="s">
        <v>289</v>
      </c>
      <c r="O68" s="2">
        <f>123+239</f>
        <v>362</v>
      </c>
      <c r="P68" s="2">
        <f>651+1431</f>
        <v>2082</v>
      </c>
      <c r="Q68" s="2">
        <f>7+20</f>
        <v>27</v>
      </c>
      <c r="R68" s="2">
        <f>24+12</f>
        <v>36</v>
      </c>
      <c r="S68" s="2">
        <f>197+146</f>
        <v>343</v>
      </c>
      <c r="T68" s="2">
        <f>1+1</f>
        <v>2</v>
      </c>
      <c r="U68" s="2">
        <v>0</v>
      </c>
      <c r="V68" s="2" t="s">
        <v>48</v>
      </c>
      <c r="W68" s="2" t="s">
        <v>4</v>
      </c>
    </row>
    <row r="69" spans="1:23" x14ac:dyDescent="0.45">
      <c r="A69" s="2">
        <v>2023</v>
      </c>
      <c r="B69" s="2">
        <v>5</v>
      </c>
      <c r="C69" s="3">
        <v>163</v>
      </c>
      <c r="D69" s="3" t="s">
        <v>10</v>
      </c>
      <c r="E69" s="2" t="s">
        <v>111</v>
      </c>
      <c r="F69" s="12" t="s">
        <v>396</v>
      </c>
      <c r="G69" s="2">
        <v>1.75</v>
      </c>
      <c r="H69" s="2">
        <v>98</v>
      </c>
      <c r="I69" s="2" t="s">
        <v>172</v>
      </c>
      <c r="J69" s="2" t="s">
        <v>289</v>
      </c>
      <c r="K69" s="2" t="s">
        <v>289</v>
      </c>
      <c r="L69" s="2" t="s">
        <v>289</v>
      </c>
      <c r="M69" s="2" t="s">
        <v>289</v>
      </c>
      <c r="N69" s="2" t="s">
        <v>289</v>
      </c>
      <c r="O69" s="2">
        <f>170+328</f>
        <v>498</v>
      </c>
      <c r="P69" s="2">
        <f>1005+1643</f>
        <v>2648</v>
      </c>
      <c r="Q69" s="2">
        <v>15</v>
      </c>
      <c r="R69" s="2">
        <f>27+14</f>
        <v>41</v>
      </c>
      <c r="S69" s="2">
        <f>240+142</f>
        <v>382</v>
      </c>
      <c r="T69" s="2">
        <v>3</v>
      </c>
      <c r="U69" s="2">
        <v>0</v>
      </c>
      <c r="V69" s="2" t="s">
        <v>55</v>
      </c>
      <c r="W69" s="2" t="s">
        <v>13</v>
      </c>
    </row>
    <row r="70" spans="1:23" x14ac:dyDescent="0.45">
      <c r="A70" s="2">
        <v>2023</v>
      </c>
      <c r="B70" s="2" t="s">
        <v>2</v>
      </c>
      <c r="C70" s="3">
        <v>172</v>
      </c>
      <c r="D70" s="3" t="s">
        <v>10</v>
      </c>
      <c r="E70" s="2" t="s">
        <v>113</v>
      </c>
      <c r="F70" s="12" t="s">
        <v>397</v>
      </c>
      <c r="G70" s="2">
        <v>1.78</v>
      </c>
      <c r="H70" s="2">
        <v>95</v>
      </c>
      <c r="I70" s="2" t="s">
        <v>159</v>
      </c>
      <c r="J70" s="2" t="s">
        <v>289</v>
      </c>
      <c r="K70" s="2" t="s">
        <v>289</v>
      </c>
      <c r="L70" s="2" t="s">
        <v>289</v>
      </c>
      <c r="M70" s="2" t="s">
        <v>289</v>
      </c>
      <c r="N70" s="2" t="s">
        <v>289</v>
      </c>
      <c r="O70" s="2">
        <f>78+213</f>
        <v>291</v>
      </c>
      <c r="P70" s="2">
        <f>412+1366</f>
        <v>1778</v>
      </c>
      <c r="Q70" s="2">
        <v>13</v>
      </c>
      <c r="R70" s="2">
        <v>56</v>
      </c>
      <c r="S70" s="2">
        <f>229*2</f>
        <v>458</v>
      </c>
      <c r="T70" s="2">
        <v>2</v>
      </c>
      <c r="U70" s="2">
        <v>0</v>
      </c>
      <c r="V70" s="2" t="s">
        <v>27</v>
      </c>
      <c r="W70" s="2" t="s">
        <v>26</v>
      </c>
    </row>
    <row r="71" spans="1:23" x14ac:dyDescent="0.45">
      <c r="A71" s="2">
        <v>2023</v>
      </c>
      <c r="B71" s="2" t="s">
        <v>2</v>
      </c>
      <c r="C71" s="3">
        <v>176</v>
      </c>
      <c r="D71" s="3" t="s">
        <v>10</v>
      </c>
      <c r="E71" s="2" t="s">
        <v>115</v>
      </c>
      <c r="F71" s="12" t="s">
        <v>398</v>
      </c>
      <c r="G71" s="2">
        <v>1.8</v>
      </c>
      <c r="H71" s="2">
        <v>95</v>
      </c>
      <c r="I71" s="2" t="s">
        <v>143</v>
      </c>
      <c r="J71" s="2" t="s">
        <v>289</v>
      </c>
      <c r="K71" s="2" t="s">
        <v>289</v>
      </c>
      <c r="L71" s="2" t="s">
        <v>289</v>
      </c>
      <c r="M71" s="2" t="s">
        <v>289</v>
      </c>
      <c r="N71" s="2" t="s">
        <v>289</v>
      </c>
      <c r="O71" s="2">
        <f>196+221</f>
        <v>417</v>
      </c>
      <c r="P71" s="2">
        <f>1009+913</f>
        <v>1922</v>
      </c>
      <c r="Q71" s="2">
        <f>7+5</f>
        <v>12</v>
      </c>
      <c r="R71" s="2">
        <f>33+55</f>
        <v>88</v>
      </c>
      <c r="S71" s="2">
        <f>264+546</f>
        <v>810</v>
      </c>
      <c r="T71" s="2">
        <f>2+2</f>
        <v>4</v>
      </c>
      <c r="U71" s="2">
        <v>0</v>
      </c>
      <c r="V71" s="2" t="s">
        <v>83</v>
      </c>
      <c r="W71" s="2" t="s">
        <v>13</v>
      </c>
    </row>
    <row r="72" spans="1:23" x14ac:dyDescent="0.45">
      <c r="A72" s="2">
        <v>2023</v>
      </c>
      <c r="B72" s="2">
        <v>6</v>
      </c>
      <c r="C72" s="3">
        <v>193</v>
      </c>
      <c r="D72" s="3" t="s">
        <v>10</v>
      </c>
      <c r="E72" s="2" t="s">
        <v>116</v>
      </c>
      <c r="F72" s="12" t="s">
        <v>399</v>
      </c>
      <c r="G72" s="2">
        <v>1.8</v>
      </c>
      <c r="H72" s="2">
        <v>102</v>
      </c>
      <c r="I72" s="2" t="s">
        <v>173</v>
      </c>
      <c r="J72" s="2" t="s">
        <v>289</v>
      </c>
      <c r="K72" s="2" t="s">
        <v>289</v>
      </c>
      <c r="L72" s="2" t="s">
        <v>289</v>
      </c>
      <c r="M72" s="2" t="s">
        <v>289</v>
      </c>
      <c r="N72" s="2" t="s">
        <v>289</v>
      </c>
      <c r="O72" s="2">
        <f>225+175</f>
        <v>400</v>
      </c>
      <c r="P72" s="2">
        <f>1379+904</f>
        <v>2283</v>
      </c>
      <c r="Q72" s="2">
        <f>9+6</f>
        <v>15</v>
      </c>
      <c r="R72" s="2">
        <f>13+5</f>
        <v>18</v>
      </c>
      <c r="S72" s="2">
        <f>61+41</f>
        <v>102</v>
      </c>
      <c r="T72" s="2">
        <f>3+0</f>
        <v>3</v>
      </c>
      <c r="U72" s="2">
        <v>0</v>
      </c>
      <c r="V72" s="2" t="s">
        <v>31</v>
      </c>
      <c r="W72" s="2" t="s">
        <v>23</v>
      </c>
    </row>
    <row r="73" spans="1:23" x14ac:dyDescent="0.45">
      <c r="A73" s="2">
        <v>2023</v>
      </c>
      <c r="B73" s="2" t="s">
        <v>1</v>
      </c>
      <c r="C73" s="3">
        <v>212</v>
      </c>
      <c r="D73" s="3" t="s">
        <v>10</v>
      </c>
      <c r="E73" s="2" t="s">
        <v>168</v>
      </c>
      <c r="F73" s="12" t="s">
        <v>400</v>
      </c>
      <c r="G73" s="2">
        <v>1.65</v>
      </c>
      <c r="H73" s="2">
        <v>80</v>
      </c>
      <c r="I73" s="2" t="s">
        <v>164</v>
      </c>
      <c r="J73" s="2" t="s">
        <v>289</v>
      </c>
      <c r="K73" s="2" t="s">
        <v>289</v>
      </c>
      <c r="L73" s="2" t="s">
        <v>289</v>
      </c>
      <c r="M73" s="2" t="s">
        <v>289</v>
      </c>
      <c r="N73" s="2" t="s">
        <v>289</v>
      </c>
      <c r="O73" s="2">
        <f>235+245</f>
        <v>480</v>
      </c>
      <c r="P73" s="2">
        <f>1404+1295</f>
        <v>2699</v>
      </c>
      <c r="Q73" s="2">
        <f>18+7</f>
        <v>25</v>
      </c>
      <c r="R73" s="2">
        <f>49+40</f>
        <v>89</v>
      </c>
      <c r="S73" s="2">
        <f>468+348</f>
        <v>816</v>
      </c>
      <c r="T73" s="2">
        <f>4+0</f>
        <v>4</v>
      </c>
      <c r="U73" s="2">
        <v>0</v>
      </c>
      <c r="V73" s="2" t="s">
        <v>78</v>
      </c>
      <c r="W73" s="2" t="s">
        <v>26</v>
      </c>
    </row>
    <row r="74" spans="1:23" x14ac:dyDescent="0.45">
      <c r="A74" s="2">
        <v>2023</v>
      </c>
      <c r="B74" s="2" t="s">
        <v>1</v>
      </c>
      <c r="C74" s="3">
        <v>215</v>
      </c>
      <c r="D74" s="3" t="s">
        <v>10</v>
      </c>
      <c r="E74" s="2" t="s">
        <v>87</v>
      </c>
      <c r="F74" s="12" t="s">
        <v>401</v>
      </c>
      <c r="G74" s="2">
        <v>1.83</v>
      </c>
      <c r="H74" s="2">
        <v>98</v>
      </c>
      <c r="I74" s="2" t="s">
        <v>174</v>
      </c>
      <c r="J74" s="2" t="s">
        <v>289</v>
      </c>
      <c r="K74" s="2" t="s">
        <v>289</v>
      </c>
      <c r="L74" s="2" t="s">
        <v>289</v>
      </c>
      <c r="M74" s="2" t="s">
        <v>289</v>
      </c>
      <c r="N74" s="2" t="s">
        <v>289</v>
      </c>
      <c r="O74" s="2">
        <f>144+92</f>
        <v>236</v>
      </c>
      <c r="P74" s="2">
        <f>936+648</f>
        <v>1584</v>
      </c>
      <c r="Q74" s="2">
        <v>14</v>
      </c>
      <c r="R74" s="2">
        <v>22</v>
      </c>
      <c r="S74" s="2">
        <f>119+130</f>
        <v>249</v>
      </c>
      <c r="T74" s="2">
        <v>2</v>
      </c>
      <c r="U74" s="2">
        <v>0</v>
      </c>
      <c r="V74" s="2" t="s">
        <v>24</v>
      </c>
      <c r="W74" s="2" t="s">
        <v>23</v>
      </c>
    </row>
    <row r="75" spans="1:23" x14ac:dyDescent="0.45">
      <c r="A75" s="2">
        <v>2023</v>
      </c>
      <c r="B75" s="2">
        <v>7</v>
      </c>
      <c r="C75" s="3">
        <v>222</v>
      </c>
      <c r="D75" s="3" t="s">
        <v>10</v>
      </c>
      <c r="E75" s="2" t="s">
        <v>118</v>
      </c>
      <c r="F75" s="12" t="s">
        <v>402</v>
      </c>
      <c r="G75" s="2">
        <v>1.8</v>
      </c>
      <c r="H75" s="2">
        <v>98</v>
      </c>
      <c r="I75" s="2" t="s">
        <v>155</v>
      </c>
      <c r="J75" s="2" t="s">
        <v>289</v>
      </c>
      <c r="K75" s="2" t="s">
        <v>289</v>
      </c>
      <c r="L75" s="2" t="s">
        <v>289</v>
      </c>
      <c r="M75" s="2" t="s">
        <v>289</v>
      </c>
      <c r="N75" s="2" t="s">
        <v>289</v>
      </c>
      <c r="O75" s="2">
        <f>204+233</f>
        <v>437</v>
      </c>
      <c r="P75" s="2">
        <f>1371+1713</f>
        <v>3084</v>
      </c>
      <c r="Q75" s="2">
        <f>13+19</f>
        <v>32</v>
      </c>
      <c r="R75" s="2">
        <f>3+2</f>
        <v>5</v>
      </c>
      <c r="S75" s="2">
        <f>19+10</f>
        <v>29</v>
      </c>
      <c r="T75" s="2">
        <v>0</v>
      </c>
      <c r="U75" s="2">
        <v>11</v>
      </c>
      <c r="V75" s="2" t="s">
        <v>59</v>
      </c>
      <c r="W75" s="2" t="s">
        <v>25</v>
      </c>
    </row>
    <row r="76" spans="1:23" x14ac:dyDescent="0.45">
      <c r="A76" s="2">
        <v>2023</v>
      </c>
      <c r="B76" s="2">
        <v>7</v>
      </c>
      <c r="C76" s="3">
        <v>235</v>
      </c>
      <c r="D76" s="3" t="s">
        <v>10</v>
      </c>
      <c r="E76" s="2" t="s">
        <v>169</v>
      </c>
      <c r="F76" s="12" t="s">
        <v>403</v>
      </c>
      <c r="G76" s="2">
        <v>1.78</v>
      </c>
      <c r="H76" s="2">
        <v>100</v>
      </c>
      <c r="I76" s="2" t="s">
        <v>156</v>
      </c>
      <c r="J76" s="2" t="s">
        <v>289</v>
      </c>
      <c r="K76" s="2" t="s">
        <v>289</v>
      </c>
      <c r="L76" s="2" t="s">
        <v>289</v>
      </c>
      <c r="M76" s="2" t="s">
        <v>289</v>
      </c>
      <c r="N76" s="2" t="s">
        <v>289</v>
      </c>
      <c r="O76" s="2">
        <f>341+176</f>
        <v>517</v>
      </c>
      <c r="P76" s="2">
        <f>1848+616</f>
        <v>2464</v>
      </c>
      <c r="Q76" s="2">
        <f>16+6</f>
        <v>22</v>
      </c>
      <c r="R76" s="2">
        <f>40+21</f>
        <v>61</v>
      </c>
      <c r="S76" s="2">
        <f>338+128</f>
        <v>466</v>
      </c>
      <c r="T76" s="2">
        <f>2+0</f>
        <v>2</v>
      </c>
      <c r="U76" s="2">
        <v>0</v>
      </c>
      <c r="V76" s="2" t="s">
        <v>60</v>
      </c>
      <c r="W76" s="2" t="s">
        <v>3</v>
      </c>
    </row>
    <row r="77" spans="1:23" x14ac:dyDescent="0.45">
      <c r="A77" s="4">
        <v>2023</v>
      </c>
      <c r="B77" s="2">
        <v>7</v>
      </c>
      <c r="C77" s="5">
        <v>237</v>
      </c>
      <c r="D77" s="5" t="s">
        <v>10</v>
      </c>
      <c r="E77" s="4" t="s">
        <v>117</v>
      </c>
      <c r="F77" s="13" t="s">
        <v>404</v>
      </c>
      <c r="G77" s="4">
        <v>1.83</v>
      </c>
      <c r="H77" s="4">
        <v>95</v>
      </c>
      <c r="I77" s="4" t="s">
        <v>147</v>
      </c>
      <c r="J77" s="2" t="s">
        <v>289</v>
      </c>
      <c r="K77" s="2" t="s">
        <v>289</v>
      </c>
      <c r="L77" s="2" t="s">
        <v>289</v>
      </c>
      <c r="M77" s="2" t="s">
        <v>289</v>
      </c>
      <c r="N77" s="2" t="s">
        <v>289</v>
      </c>
      <c r="O77" s="4">
        <f>58+136</f>
        <v>194</v>
      </c>
      <c r="P77" s="4">
        <f>328+709</f>
        <v>1037</v>
      </c>
      <c r="Q77" s="4">
        <f>3+10</f>
        <v>13</v>
      </c>
      <c r="R77" s="4">
        <f>22+37</f>
        <v>59</v>
      </c>
      <c r="S77" s="4">
        <f>242+450</f>
        <v>692</v>
      </c>
      <c r="T77" s="4">
        <f>2+1</f>
        <v>3</v>
      </c>
      <c r="U77" s="4">
        <v>0</v>
      </c>
      <c r="V77" s="2" t="s">
        <v>39</v>
      </c>
      <c r="W77" s="2" t="s">
        <v>23</v>
      </c>
    </row>
    <row r="78" spans="1:23" x14ac:dyDescent="0.45">
      <c r="A78" s="2">
        <v>2023</v>
      </c>
      <c r="B78" s="2">
        <v>1</v>
      </c>
      <c r="C78" s="3">
        <v>20</v>
      </c>
      <c r="D78" s="3" t="s">
        <v>17</v>
      </c>
      <c r="E78" s="2" t="s">
        <v>119</v>
      </c>
      <c r="F78" s="12" t="s">
        <v>405</v>
      </c>
      <c r="G78" s="2">
        <v>1.83</v>
      </c>
      <c r="H78" s="2">
        <v>90</v>
      </c>
      <c r="I78" s="2" t="s">
        <v>147</v>
      </c>
      <c r="J78" s="2" t="s">
        <v>289</v>
      </c>
      <c r="K78" s="2" t="s">
        <v>289</v>
      </c>
      <c r="L78" s="2" t="s">
        <v>289</v>
      </c>
      <c r="M78" s="2" t="s">
        <v>289</v>
      </c>
      <c r="N78" s="2" t="s">
        <v>289</v>
      </c>
      <c r="O78" s="2">
        <v>0</v>
      </c>
      <c r="P78" s="2">
        <v>0</v>
      </c>
      <c r="Q78" s="2">
        <v>0</v>
      </c>
      <c r="R78" s="2">
        <v>100</v>
      </c>
      <c r="S78" s="2">
        <f>1606+43</f>
        <v>1649</v>
      </c>
      <c r="T78" s="2">
        <v>9</v>
      </c>
      <c r="U78" s="2">
        <v>0</v>
      </c>
      <c r="V78" s="2" t="s">
        <v>20</v>
      </c>
      <c r="W78" s="2" t="s">
        <v>13</v>
      </c>
    </row>
    <row r="79" spans="1:23" x14ac:dyDescent="0.45">
      <c r="A79" s="2">
        <v>2023</v>
      </c>
      <c r="B79" s="2">
        <v>1</v>
      </c>
      <c r="C79" s="3">
        <v>21</v>
      </c>
      <c r="D79" s="3" t="s">
        <v>17</v>
      </c>
      <c r="E79" s="2" t="s">
        <v>98</v>
      </c>
      <c r="F79" s="12" t="s">
        <v>406</v>
      </c>
      <c r="G79" s="2">
        <v>1.88</v>
      </c>
      <c r="H79" s="2">
        <v>94</v>
      </c>
      <c r="I79" s="2" t="s">
        <v>153</v>
      </c>
      <c r="J79" s="2" t="s">
        <v>289</v>
      </c>
      <c r="K79" s="2" t="s">
        <v>289</v>
      </c>
      <c r="L79" s="2" t="s">
        <v>289</v>
      </c>
      <c r="M79" s="2" t="s">
        <v>289</v>
      </c>
      <c r="N79" s="2" t="s">
        <v>289</v>
      </c>
      <c r="O79" s="2">
        <f>2+3</f>
        <v>5</v>
      </c>
      <c r="P79" s="2">
        <f>12-7</f>
        <v>5</v>
      </c>
      <c r="Q79" s="2">
        <f>0</f>
        <v>0</v>
      </c>
      <c r="R79" s="2">
        <f>60+33</f>
        <v>93</v>
      </c>
      <c r="S79" s="2">
        <f>1069+612</f>
        <v>1681</v>
      </c>
      <c r="T79" s="2">
        <v>12</v>
      </c>
      <c r="U79" s="2">
        <v>0</v>
      </c>
      <c r="V79" s="2" t="s">
        <v>84</v>
      </c>
      <c r="W79" s="2" t="s">
        <v>26</v>
      </c>
    </row>
    <row r="80" spans="1:23" x14ac:dyDescent="0.45">
      <c r="A80" s="2">
        <v>2023</v>
      </c>
      <c r="B80" s="2">
        <v>1</v>
      </c>
      <c r="C80" s="3">
        <v>22</v>
      </c>
      <c r="D80" s="3" t="s">
        <v>17</v>
      </c>
      <c r="E80" s="2" t="s">
        <v>89</v>
      </c>
      <c r="F80" s="12" t="s">
        <v>407</v>
      </c>
      <c r="G80" s="2">
        <v>1.78</v>
      </c>
      <c r="H80" s="2">
        <v>83</v>
      </c>
      <c r="I80" s="2" t="s">
        <v>154</v>
      </c>
      <c r="J80" s="2" t="s">
        <v>289</v>
      </c>
      <c r="K80" s="2" t="s">
        <v>289</v>
      </c>
      <c r="L80" s="2" t="s">
        <v>289</v>
      </c>
      <c r="M80" s="2" t="s">
        <v>289</v>
      </c>
      <c r="N80" s="2" t="s">
        <v>289</v>
      </c>
      <c r="O80" s="2">
        <f>7+12</f>
        <v>19</v>
      </c>
      <c r="P80" s="2">
        <f>69+40</f>
        <v>109</v>
      </c>
      <c r="Q80" s="2">
        <f>0</f>
        <v>0</v>
      </c>
      <c r="R80" s="2">
        <f>78+44</f>
        <v>122</v>
      </c>
      <c r="S80" s="2">
        <f>1077+746</f>
        <v>1823</v>
      </c>
      <c r="T80" s="2">
        <v>17</v>
      </c>
      <c r="U80" s="2">
        <v>0</v>
      </c>
      <c r="V80" s="2" t="s">
        <v>73</v>
      </c>
      <c r="W80" s="2" t="s">
        <v>4</v>
      </c>
    </row>
    <row r="81" spans="1:23" x14ac:dyDescent="0.45">
      <c r="A81" s="2">
        <v>2023</v>
      </c>
      <c r="B81" s="2">
        <v>1</v>
      </c>
      <c r="C81" s="3">
        <v>23</v>
      </c>
      <c r="D81" s="3" t="s">
        <v>17</v>
      </c>
      <c r="E81" s="2" t="s">
        <v>97</v>
      </c>
      <c r="F81" s="12" t="s">
        <v>408</v>
      </c>
      <c r="G81" s="2">
        <v>1.83</v>
      </c>
      <c r="H81" s="2">
        <v>79</v>
      </c>
      <c r="I81" s="2" t="s">
        <v>155</v>
      </c>
      <c r="J81" s="2" t="s">
        <v>289</v>
      </c>
      <c r="K81" s="2" t="s">
        <v>289</v>
      </c>
      <c r="L81" s="2" t="s">
        <v>289</v>
      </c>
      <c r="M81" s="2" t="s">
        <v>289</v>
      </c>
      <c r="N81" s="2" t="s">
        <v>289</v>
      </c>
      <c r="O81" s="2">
        <f>6+4</f>
        <v>10</v>
      </c>
      <c r="P81" s="2">
        <f>28+33</f>
        <v>61</v>
      </c>
      <c r="Q81" s="2">
        <f>1+0</f>
        <v>1</v>
      </c>
      <c r="R81" s="2">
        <f>100+59</f>
        <v>159</v>
      </c>
      <c r="S81" s="2">
        <f>1593+875</f>
        <v>2468</v>
      </c>
      <c r="T81" s="2">
        <f>7+4</f>
        <v>11</v>
      </c>
      <c r="U81" s="2">
        <v>0</v>
      </c>
      <c r="V81" s="2" t="s">
        <v>63</v>
      </c>
      <c r="W81" s="2" t="s">
        <v>6</v>
      </c>
    </row>
    <row r="82" spans="1:23" x14ac:dyDescent="0.45">
      <c r="A82" s="2">
        <v>2023</v>
      </c>
      <c r="B82" s="2">
        <v>2</v>
      </c>
      <c r="C82" s="3">
        <v>39</v>
      </c>
      <c r="D82" s="3" t="s">
        <v>17</v>
      </c>
      <c r="E82" s="2" t="s">
        <v>132</v>
      </c>
      <c r="F82" s="12" t="s">
        <v>409</v>
      </c>
      <c r="G82" s="2">
        <v>1.88</v>
      </c>
      <c r="H82" s="2">
        <v>103</v>
      </c>
      <c r="I82" s="2" t="s">
        <v>141</v>
      </c>
      <c r="J82" s="2" t="s">
        <v>289</v>
      </c>
      <c r="K82" s="2" t="s">
        <v>289</v>
      </c>
      <c r="L82" s="2" t="s">
        <v>289</v>
      </c>
      <c r="M82" s="2" t="s">
        <v>289</v>
      </c>
      <c r="N82" s="2" t="s">
        <v>289</v>
      </c>
      <c r="O82" s="2">
        <f>0+4</f>
        <v>4</v>
      </c>
      <c r="P82" s="2">
        <f>0-7</f>
        <v>-7</v>
      </c>
      <c r="Q82" s="2">
        <f>0+1</f>
        <v>1</v>
      </c>
      <c r="R82" s="2">
        <f>22+51</f>
        <v>73</v>
      </c>
      <c r="S82" s="2">
        <f>346+861</f>
        <v>1207</v>
      </c>
      <c r="T82" s="2">
        <f>3+5</f>
        <v>8</v>
      </c>
      <c r="U82" s="2">
        <v>0</v>
      </c>
      <c r="V82" s="2" t="s">
        <v>24</v>
      </c>
      <c r="W82" s="2" t="s">
        <v>23</v>
      </c>
    </row>
    <row r="83" spans="1:23" x14ac:dyDescent="0.45">
      <c r="A83" s="2">
        <v>2023</v>
      </c>
      <c r="B83" s="2">
        <v>2</v>
      </c>
      <c r="C83" s="3">
        <v>50</v>
      </c>
      <c r="D83" s="3" t="s">
        <v>17</v>
      </c>
      <c r="E83" s="2" t="s">
        <v>126</v>
      </c>
      <c r="F83" s="12" t="s">
        <v>410</v>
      </c>
      <c r="G83" s="2">
        <v>1.83</v>
      </c>
      <c r="H83" s="2">
        <v>84</v>
      </c>
      <c r="I83" s="2" t="s">
        <v>156</v>
      </c>
      <c r="J83" s="2" t="s">
        <v>289</v>
      </c>
      <c r="K83" s="2" t="s">
        <v>289</v>
      </c>
      <c r="L83" s="2" t="s">
        <v>289</v>
      </c>
      <c r="M83" s="2" t="s">
        <v>289</v>
      </c>
      <c r="N83" s="2" t="s">
        <v>289</v>
      </c>
      <c r="O83" s="2">
        <f>7+4</f>
        <v>11</v>
      </c>
      <c r="P83" s="2">
        <f>34+11</f>
        <v>45</v>
      </c>
      <c r="Q83" s="2">
        <f>1+0</f>
        <v>1</v>
      </c>
      <c r="R83" s="2">
        <f>59+55</f>
        <v>114</v>
      </c>
      <c r="S83" s="2">
        <f>1026+636</f>
        <v>1662</v>
      </c>
      <c r="T83" s="2">
        <v>15</v>
      </c>
      <c r="U83" s="2">
        <v>0</v>
      </c>
      <c r="V83" s="2" t="s">
        <v>68</v>
      </c>
      <c r="W83" s="2" t="s">
        <v>13</v>
      </c>
    </row>
    <row r="84" spans="1:23" x14ac:dyDescent="0.45">
      <c r="A84" s="2">
        <v>2023</v>
      </c>
      <c r="B84" s="2">
        <v>2</v>
      </c>
      <c r="C84" s="3">
        <v>55</v>
      </c>
      <c r="D84" s="3" t="s">
        <v>17</v>
      </c>
      <c r="E84" s="2" t="s">
        <v>122</v>
      </c>
      <c r="F84" s="12" t="s">
        <v>411</v>
      </c>
      <c r="G84" s="2">
        <v>1.84</v>
      </c>
      <c r="H84" s="2">
        <v>91</v>
      </c>
      <c r="I84" s="2" t="s">
        <v>157</v>
      </c>
      <c r="J84" s="2" t="s">
        <v>289</v>
      </c>
      <c r="K84" s="2" t="s">
        <v>289</v>
      </c>
      <c r="L84" s="2" t="s">
        <v>289</v>
      </c>
      <c r="M84" s="2" t="s">
        <v>289</v>
      </c>
      <c r="N84" s="2" t="s">
        <v>289</v>
      </c>
      <c r="O84" s="2">
        <v>0</v>
      </c>
      <c r="P84" s="2">
        <v>0</v>
      </c>
      <c r="Q84" s="2">
        <v>0</v>
      </c>
      <c r="R84" s="2">
        <f>64+96</f>
        <v>160</v>
      </c>
      <c r="S84" s="2">
        <f>670+1355</f>
        <v>2025</v>
      </c>
      <c r="T84" s="2">
        <f>9+10</f>
        <v>19</v>
      </c>
      <c r="U84" s="2">
        <v>0</v>
      </c>
      <c r="V84" s="2" t="s">
        <v>51</v>
      </c>
      <c r="W84" s="2" t="s">
        <v>21</v>
      </c>
    </row>
    <row r="85" spans="1:23" x14ac:dyDescent="0.45">
      <c r="A85" s="2">
        <v>2023</v>
      </c>
      <c r="B85" s="2">
        <v>2</v>
      </c>
      <c r="C85" s="3">
        <v>63</v>
      </c>
      <c r="D85" s="3" t="s">
        <v>17</v>
      </c>
      <c r="E85" s="2" t="s">
        <v>123</v>
      </c>
      <c r="F85" s="12" t="s">
        <v>412</v>
      </c>
      <c r="G85" s="2">
        <v>1.8</v>
      </c>
      <c r="H85" s="2">
        <v>80</v>
      </c>
      <c r="I85" s="2" t="s">
        <v>158</v>
      </c>
      <c r="J85" s="2" t="s">
        <v>289</v>
      </c>
      <c r="K85" s="2" t="s">
        <v>289</v>
      </c>
      <c r="L85" s="2" t="s">
        <v>289</v>
      </c>
      <c r="M85" s="2" t="s">
        <v>289</v>
      </c>
      <c r="N85" s="2" t="s">
        <v>289</v>
      </c>
      <c r="O85" s="2">
        <f>1+2</f>
        <v>3</v>
      </c>
      <c r="P85" s="2">
        <f>15+3</f>
        <v>18</v>
      </c>
      <c r="Q85" s="2">
        <f>0+0</f>
        <v>0</v>
      </c>
      <c r="R85" s="2">
        <f>32+54</f>
        <v>86</v>
      </c>
      <c r="S85" s="2">
        <f>705+1083</f>
        <v>1788</v>
      </c>
      <c r="T85" s="2">
        <f>5+6</f>
        <v>11</v>
      </c>
      <c r="U85" s="2">
        <v>0</v>
      </c>
      <c r="V85" s="2" t="s">
        <v>27</v>
      </c>
      <c r="W85" s="2" t="s">
        <v>26</v>
      </c>
    </row>
    <row r="86" spans="1:23" x14ac:dyDescent="0.45">
      <c r="A86" s="2">
        <v>2023</v>
      </c>
      <c r="B86" s="2">
        <v>3</v>
      </c>
      <c r="C86" s="3">
        <v>69</v>
      </c>
      <c r="D86" s="3" t="s">
        <v>17</v>
      </c>
      <c r="E86" s="2" t="s">
        <v>125</v>
      </c>
      <c r="F86" s="12" t="s">
        <v>413</v>
      </c>
      <c r="G86" s="2">
        <v>1.78</v>
      </c>
      <c r="H86" s="2">
        <v>75</v>
      </c>
      <c r="I86" s="2" t="s">
        <v>142</v>
      </c>
      <c r="J86" s="2" t="s">
        <v>289</v>
      </c>
      <c r="K86" s="2" t="s">
        <v>289</v>
      </c>
      <c r="L86" s="2" t="s">
        <v>289</v>
      </c>
      <c r="M86" s="2" t="s">
        <v>289</v>
      </c>
      <c r="N86" s="2" t="s">
        <v>289</v>
      </c>
      <c r="O86" s="2">
        <f>1+4</f>
        <v>5</v>
      </c>
      <c r="P86" s="2">
        <f>5+9</f>
        <v>14</v>
      </c>
      <c r="Q86" s="2">
        <f>0+0</f>
        <v>0</v>
      </c>
      <c r="R86" s="2">
        <f>90+109</f>
        <v>199</v>
      </c>
      <c r="S86" s="2">
        <f>1329+1398</f>
        <v>2727</v>
      </c>
      <c r="T86" s="2">
        <v>29</v>
      </c>
      <c r="U86" s="2">
        <v>0</v>
      </c>
      <c r="V86" s="2" t="s">
        <v>35</v>
      </c>
      <c r="W86" s="2" t="s">
        <v>21</v>
      </c>
    </row>
    <row r="87" spans="1:23" x14ac:dyDescent="0.45">
      <c r="A87" s="2">
        <v>2023</v>
      </c>
      <c r="B87" s="2">
        <v>3</v>
      </c>
      <c r="C87" s="3">
        <v>69</v>
      </c>
      <c r="D87" s="3" t="s">
        <v>17</v>
      </c>
      <c r="E87" s="2" t="s">
        <v>125</v>
      </c>
      <c r="F87" s="12" t="s">
        <v>413</v>
      </c>
      <c r="G87" s="2">
        <v>1.78</v>
      </c>
      <c r="H87" s="2">
        <v>75</v>
      </c>
      <c r="I87" s="2" t="s">
        <v>142</v>
      </c>
      <c r="J87" s="2" t="s">
        <v>289</v>
      </c>
      <c r="K87" s="2" t="s">
        <v>289</v>
      </c>
      <c r="L87" s="2" t="s">
        <v>289</v>
      </c>
      <c r="M87" s="2" t="s">
        <v>289</v>
      </c>
      <c r="N87" s="2" t="s">
        <v>289</v>
      </c>
      <c r="O87" s="2">
        <f>1+4</f>
        <v>5</v>
      </c>
      <c r="P87" s="2">
        <f>5+9</f>
        <v>14</v>
      </c>
      <c r="Q87" s="2">
        <f>0+0</f>
        <v>0</v>
      </c>
      <c r="R87" s="2">
        <f>90+109</f>
        <v>199</v>
      </c>
      <c r="S87" s="2">
        <f>1329+1398</f>
        <v>2727</v>
      </c>
      <c r="T87" s="2">
        <v>29</v>
      </c>
      <c r="U87" s="2">
        <v>0</v>
      </c>
      <c r="V87" s="2" t="s">
        <v>35</v>
      </c>
      <c r="W87" s="2" t="s">
        <v>21</v>
      </c>
    </row>
    <row r="88" spans="1:23" x14ac:dyDescent="0.45">
      <c r="A88" s="2">
        <v>2023</v>
      </c>
      <c r="B88" s="2">
        <v>3</v>
      </c>
      <c r="C88" s="3">
        <v>73</v>
      </c>
      <c r="D88" s="3" t="s">
        <v>17</v>
      </c>
      <c r="E88" s="2" t="s">
        <v>120</v>
      </c>
      <c r="F88" s="12" t="s">
        <v>414</v>
      </c>
      <c r="G88" s="2">
        <v>1.83</v>
      </c>
      <c r="H88" s="2">
        <v>84</v>
      </c>
      <c r="I88" s="2" t="s">
        <v>159</v>
      </c>
      <c r="J88" s="2" t="s">
        <v>289</v>
      </c>
      <c r="K88" s="2" t="s">
        <v>289</v>
      </c>
      <c r="L88" s="2" t="s">
        <v>289</v>
      </c>
      <c r="M88" s="2" t="s">
        <v>289</v>
      </c>
      <c r="N88" s="2" t="s">
        <v>289</v>
      </c>
      <c r="O88" s="2">
        <f>1+1</f>
        <v>2</v>
      </c>
      <c r="P88" s="2">
        <f>10+0</f>
        <v>10</v>
      </c>
      <c r="Q88" s="2">
        <v>0</v>
      </c>
      <c r="R88" s="2">
        <f>18+67</f>
        <v>85</v>
      </c>
      <c r="S88" s="2">
        <f>191+1267</f>
        <v>1458</v>
      </c>
      <c r="T88" s="2">
        <f>1+15</f>
        <v>16</v>
      </c>
      <c r="U88" s="2">
        <v>0</v>
      </c>
      <c r="V88" s="2" t="s">
        <v>62</v>
      </c>
      <c r="W88" s="2" t="s">
        <v>23</v>
      </c>
    </row>
    <row r="89" spans="1:23" x14ac:dyDescent="0.45">
      <c r="A89" s="2">
        <v>2023</v>
      </c>
      <c r="B89" s="2">
        <v>3</v>
      </c>
      <c r="C89" s="3">
        <v>74</v>
      </c>
      <c r="D89" s="3" t="s">
        <v>17</v>
      </c>
      <c r="E89" s="2" t="s">
        <v>121</v>
      </c>
      <c r="F89" s="12" t="s">
        <v>415</v>
      </c>
      <c r="G89" s="2">
        <v>1.91</v>
      </c>
      <c r="H89" s="2">
        <v>98</v>
      </c>
      <c r="I89" s="2" t="s">
        <v>160</v>
      </c>
      <c r="J89" s="2" t="s">
        <v>289</v>
      </c>
      <c r="K89" s="2" t="s">
        <v>289</v>
      </c>
      <c r="L89" s="2" t="s">
        <v>289</v>
      </c>
      <c r="M89" s="2" t="s">
        <v>289</v>
      </c>
      <c r="N89" s="2" t="s">
        <v>289</v>
      </c>
      <c r="O89" s="2">
        <v>0</v>
      </c>
      <c r="P89" s="2">
        <v>0</v>
      </c>
      <c r="Q89" s="2">
        <v>0</v>
      </c>
      <c r="R89" s="2">
        <f>57+37</f>
        <v>94</v>
      </c>
      <c r="S89" s="2">
        <f>931+417</f>
        <v>1348</v>
      </c>
      <c r="T89" s="2">
        <f>9+3</f>
        <v>12</v>
      </c>
      <c r="U89" s="2">
        <v>0</v>
      </c>
      <c r="V89" s="2" t="s">
        <v>62</v>
      </c>
      <c r="W89" s="2" t="s">
        <v>23</v>
      </c>
    </row>
    <row r="90" spans="1:23" x14ac:dyDescent="0.45">
      <c r="A90" s="2">
        <v>2023</v>
      </c>
      <c r="B90" s="2">
        <v>3</v>
      </c>
      <c r="C90" s="3">
        <v>79</v>
      </c>
      <c r="D90" s="3" t="s">
        <v>17</v>
      </c>
      <c r="E90" s="2" t="s">
        <v>91</v>
      </c>
      <c r="F90" s="12" t="s">
        <v>416</v>
      </c>
      <c r="G90" s="2">
        <v>1.78</v>
      </c>
      <c r="H90" s="2">
        <v>79</v>
      </c>
      <c r="I90" s="2" t="s">
        <v>143</v>
      </c>
      <c r="J90" s="2" t="s">
        <v>289</v>
      </c>
      <c r="K90" s="2" t="s">
        <v>289</v>
      </c>
      <c r="L90" s="2" t="s">
        <v>289</v>
      </c>
      <c r="M90" s="2" t="s">
        <v>289</v>
      </c>
      <c r="N90" s="2" t="s">
        <v>289</v>
      </c>
      <c r="O90" s="2">
        <v>0</v>
      </c>
      <c r="P90" s="2">
        <v>0</v>
      </c>
      <c r="Q90" s="2">
        <v>0</v>
      </c>
      <c r="R90" s="2">
        <f>98+94</f>
        <v>192</v>
      </c>
      <c r="S90" s="2">
        <f>1273+1029</f>
        <v>2302</v>
      </c>
      <c r="T90" s="2">
        <f>8+11</f>
        <v>19</v>
      </c>
      <c r="U90" s="2">
        <v>0</v>
      </c>
      <c r="V90" s="2" t="s">
        <v>5</v>
      </c>
      <c r="W90" s="2" t="s">
        <v>4</v>
      </c>
    </row>
    <row r="91" spans="1:23" x14ac:dyDescent="0.45">
      <c r="A91" s="2">
        <v>2023</v>
      </c>
      <c r="B91" s="2">
        <v>3</v>
      </c>
      <c r="C91" s="3">
        <v>94</v>
      </c>
      <c r="D91" s="3" t="s">
        <v>17</v>
      </c>
      <c r="E91" s="2" t="s">
        <v>151</v>
      </c>
      <c r="F91" s="12" t="s">
        <v>417</v>
      </c>
      <c r="G91" s="2">
        <v>1.88</v>
      </c>
      <c r="H91" s="2">
        <v>95</v>
      </c>
      <c r="I91" s="2" t="s">
        <v>161</v>
      </c>
      <c r="J91" s="2" t="s">
        <v>289</v>
      </c>
      <c r="K91" s="2" t="s">
        <v>289</v>
      </c>
      <c r="L91" s="2" t="s">
        <v>289</v>
      </c>
      <c r="M91" s="2" t="s">
        <v>289</v>
      </c>
      <c r="N91" s="2" t="s">
        <v>289</v>
      </c>
      <c r="O91" s="2">
        <f>0+4</f>
        <v>4</v>
      </c>
      <c r="P91" s="2">
        <f>0+47</f>
        <v>47</v>
      </c>
      <c r="Q91" s="2">
        <v>0</v>
      </c>
      <c r="R91" s="2">
        <f>19+26</f>
        <v>45</v>
      </c>
      <c r="S91" s="2">
        <f>185+418</f>
        <v>603</v>
      </c>
      <c r="T91" s="2">
        <f>0+4</f>
        <v>4</v>
      </c>
      <c r="U91" s="2">
        <v>0</v>
      </c>
      <c r="V91" s="2" t="s">
        <v>29</v>
      </c>
      <c r="W91" s="2" t="s">
        <v>6</v>
      </c>
    </row>
    <row r="92" spans="1:23" x14ac:dyDescent="0.45">
      <c r="A92" s="2">
        <v>2023</v>
      </c>
      <c r="B92" s="2" t="s">
        <v>52</v>
      </c>
      <c r="C92" s="3">
        <v>100</v>
      </c>
      <c r="D92" s="3" t="s">
        <v>17</v>
      </c>
      <c r="E92" s="2" t="s">
        <v>152</v>
      </c>
      <c r="F92" s="12" t="s">
        <v>418</v>
      </c>
      <c r="G92" s="2">
        <v>1.75</v>
      </c>
      <c r="H92" s="2">
        <v>83</v>
      </c>
      <c r="I92" s="2" t="s">
        <v>162</v>
      </c>
      <c r="J92" s="2" t="s">
        <v>289</v>
      </c>
      <c r="K92" s="2" t="s">
        <v>289</v>
      </c>
      <c r="L92" s="2" t="s">
        <v>289</v>
      </c>
      <c r="M92" s="2" t="s">
        <v>289</v>
      </c>
      <c r="N92" s="2" t="s">
        <v>289</v>
      </c>
      <c r="O92" s="2">
        <f>2+1</f>
        <v>3</v>
      </c>
      <c r="P92" s="2">
        <f>12+8</f>
        <v>20</v>
      </c>
      <c r="Q92" s="2">
        <v>0</v>
      </c>
      <c r="R92" s="2">
        <f>32+52</f>
        <v>84</v>
      </c>
      <c r="S92" s="2">
        <f>414+672</f>
        <v>1086</v>
      </c>
      <c r="T92" s="2">
        <f>2+3</f>
        <v>5</v>
      </c>
      <c r="U92" s="2">
        <v>0</v>
      </c>
      <c r="V92" s="2" t="s">
        <v>22</v>
      </c>
      <c r="W92" s="2" t="s">
        <v>21</v>
      </c>
    </row>
    <row r="93" spans="1:23" x14ac:dyDescent="0.45">
      <c r="A93" s="2">
        <v>2023</v>
      </c>
      <c r="B93" s="2">
        <v>4</v>
      </c>
      <c r="C93" s="3">
        <v>125</v>
      </c>
      <c r="D93" s="3" t="s">
        <v>17</v>
      </c>
      <c r="E93" s="2" t="s">
        <v>176</v>
      </c>
      <c r="F93" s="12" t="s">
        <v>407</v>
      </c>
      <c r="G93" s="2">
        <v>1.73</v>
      </c>
      <c r="H93" s="2">
        <v>76</v>
      </c>
      <c r="I93" s="2" t="s">
        <v>153</v>
      </c>
      <c r="J93" s="2" t="s">
        <v>289</v>
      </c>
      <c r="K93" s="2" t="s">
        <v>289</v>
      </c>
      <c r="L93" s="2" t="s">
        <v>289</v>
      </c>
      <c r="M93" s="2" t="s">
        <v>289</v>
      </c>
      <c r="N93" s="2" t="s">
        <v>289</v>
      </c>
      <c r="O93" s="2">
        <f>10+2</f>
        <v>12</v>
      </c>
      <c r="P93" s="2">
        <f>42+28</f>
        <v>70</v>
      </c>
      <c r="Q93" s="2">
        <f>1+1</f>
        <v>2</v>
      </c>
      <c r="R93" s="2">
        <f>36+35</f>
        <v>71</v>
      </c>
      <c r="S93" s="2">
        <f>518+418</f>
        <v>936</v>
      </c>
      <c r="T93" s="2">
        <f>1+5</f>
        <v>6</v>
      </c>
      <c r="U93" s="2">
        <v>0</v>
      </c>
      <c r="V93" s="2" t="s">
        <v>84</v>
      </c>
      <c r="W93" s="2" t="s">
        <v>26</v>
      </c>
    </row>
    <row r="94" spans="1:23" x14ac:dyDescent="0.45">
      <c r="A94" s="2">
        <v>2023</v>
      </c>
      <c r="B94" s="2">
        <v>4</v>
      </c>
      <c r="C94" s="3">
        <v>131</v>
      </c>
      <c r="D94" s="3" t="s">
        <v>17</v>
      </c>
      <c r="E94" s="2" t="s">
        <v>177</v>
      </c>
      <c r="F94" s="12" t="s">
        <v>419</v>
      </c>
      <c r="G94" s="2">
        <v>1.83</v>
      </c>
      <c r="H94" s="2">
        <v>85</v>
      </c>
      <c r="I94" s="2" t="s">
        <v>172</v>
      </c>
      <c r="J94" s="2" t="s">
        <v>289</v>
      </c>
      <c r="K94" s="2" t="s">
        <v>289</v>
      </c>
      <c r="L94" s="2" t="s">
        <v>289</v>
      </c>
      <c r="M94" s="2" t="s">
        <v>289</v>
      </c>
      <c r="N94" s="2" t="s">
        <v>289</v>
      </c>
      <c r="O94" s="2">
        <f>7+2</f>
        <v>9</v>
      </c>
      <c r="P94" s="2">
        <f>8+3</f>
        <v>11</v>
      </c>
      <c r="Q94" s="2">
        <f>0</f>
        <v>0</v>
      </c>
      <c r="R94" s="2">
        <f>21+110</f>
        <v>131</v>
      </c>
      <c r="S94" s="2">
        <f>323+1361</f>
        <v>1684</v>
      </c>
      <c r="T94" s="2">
        <f>3+12</f>
        <v>15</v>
      </c>
      <c r="U94" s="2">
        <v>0</v>
      </c>
      <c r="V94" s="2" t="s">
        <v>53</v>
      </c>
      <c r="W94" s="2" t="s">
        <v>13</v>
      </c>
    </row>
    <row r="95" spans="1:23" x14ac:dyDescent="0.45">
      <c r="A95" s="2">
        <v>2023</v>
      </c>
      <c r="B95" s="2">
        <v>4</v>
      </c>
      <c r="C95" s="3">
        <v>133</v>
      </c>
      <c r="D95" s="3" t="s">
        <v>17</v>
      </c>
      <c r="E95" s="2" t="s">
        <v>127</v>
      </c>
      <c r="F95" s="12" t="s">
        <v>305</v>
      </c>
      <c r="G95" s="2">
        <v>1.8</v>
      </c>
      <c r="H95" s="2">
        <v>84</v>
      </c>
      <c r="I95" s="2" t="s">
        <v>170</v>
      </c>
      <c r="J95" s="2" t="s">
        <v>289</v>
      </c>
      <c r="K95" s="2" t="s">
        <v>289</v>
      </c>
      <c r="L95" s="2" t="s">
        <v>289</v>
      </c>
      <c r="M95" s="2" t="s">
        <v>289</v>
      </c>
      <c r="N95" s="2" t="s">
        <v>289</v>
      </c>
      <c r="O95" s="2">
        <v>0</v>
      </c>
      <c r="P95" s="2">
        <v>0</v>
      </c>
      <c r="Q95" s="2">
        <v>0</v>
      </c>
      <c r="R95" s="2">
        <f>30+54</f>
        <v>84</v>
      </c>
      <c r="S95" s="2">
        <f>520+899</f>
        <v>1419</v>
      </c>
      <c r="T95" s="2">
        <f>5+9</f>
        <v>14</v>
      </c>
      <c r="U95" s="2">
        <v>0</v>
      </c>
      <c r="V95" s="2" t="s">
        <v>22</v>
      </c>
      <c r="W95" s="2" t="s">
        <v>21</v>
      </c>
    </row>
    <row r="96" spans="1:23" x14ac:dyDescent="0.45">
      <c r="A96" s="2">
        <v>2023</v>
      </c>
      <c r="B96" s="2">
        <v>5</v>
      </c>
      <c r="C96" s="3">
        <v>150</v>
      </c>
      <c r="D96" s="3" t="s">
        <v>17</v>
      </c>
      <c r="E96" s="2" t="s">
        <v>178</v>
      </c>
      <c r="F96" s="12" t="s">
        <v>304</v>
      </c>
      <c r="G96" s="2">
        <v>1.93</v>
      </c>
      <c r="H96" s="2">
        <v>101</v>
      </c>
      <c r="I96" s="2" t="s">
        <v>163</v>
      </c>
      <c r="J96" s="2" t="s">
        <v>289</v>
      </c>
      <c r="K96" s="2" t="s">
        <v>289</v>
      </c>
      <c r="L96" s="2" t="s">
        <v>289</v>
      </c>
      <c r="M96" s="2" t="s">
        <v>289</v>
      </c>
      <c r="N96" s="2" t="s">
        <v>289</v>
      </c>
      <c r="O96" s="2">
        <v>0</v>
      </c>
      <c r="P96" s="2">
        <v>0</v>
      </c>
      <c r="Q96" s="2">
        <v>0</v>
      </c>
      <c r="R96" s="2">
        <f>38+29</f>
        <v>67</v>
      </c>
      <c r="S96" s="2">
        <f>496+577</f>
        <v>1073</v>
      </c>
      <c r="T96" s="2">
        <f>3+2</f>
        <v>5</v>
      </c>
      <c r="U96" s="2">
        <v>0</v>
      </c>
      <c r="V96" s="2" t="s">
        <v>50</v>
      </c>
      <c r="W96" s="2" t="s">
        <v>23</v>
      </c>
    </row>
    <row r="97" spans="1:23" x14ac:dyDescent="0.45">
      <c r="A97" s="2">
        <v>2023</v>
      </c>
      <c r="B97" s="2">
        <v>5</v>
      </c>
      <c r="C97" s="3">
        <v>159</v>
      </c>
      <c r="D97" s="3" t="s">
        <v>17</v>
      </c>
      <c r="E97" s="2" t="s">
        <v>130</v>
      </c>
      <c r="F97" s="12" t="s">
        <v>303</v>
      </c>
      <c r="G97" s="2">
        <v>1.85</v>
      </c>
      <c r="H97" s="2">
        <v>93</v>
      </c>
      <c r="I97" s="2" t="s">
        <v>156</v>
      </c>
      <c r="J97" s="2" t="s">
        <v>289</v>
      </c>
      <c r="K97" s="2" t="s">
        <v>289</v>
      </c>
      <c r="L97" s="2" t="s">
        <v>289</v>
      </c>
      <c r="M97" s="2" t="s">
        <v>289</v>
      </c>
      <c r="N97" s="2" t="s">
        <v>289</v>
      </c>
      <c r="O97" s="2">
        <v>0</v>
      </c>
      <c r="P97" s="2">
        <v>0</v>
      </c>
      <c r="Q97" s="2">
        <v>0</v>
      </c>
      <c r="R97" s="2">
        <f>57+30</f>
        <v>87</v>
      </c>
      <c r="S97" s="2">
        <f>1203+430</f>
        <v>1633</v>
      </c>
      <c r="T97" s="2">
        <f>9+2</f>
        <v>11</v>
      </c>
      <c r="U97" s="2">
        <v>0</v>
      </c>
      <c r="V97" s="2" t="s">
        <v>61</v>
      </c>
      <c r="W97" s="2" t="s">
        <v>4</v>
      </c>
    </row>
    <row r="98" spans="1:23" x14ac:dyDescent="0.45">
      <c r="A98" s="2">
        <v>2023</v>
      </c>
      <c r="B98" s="2" t="s">
        <v>2</v>
      </c>
      <c r="C98" s="3">
        <v>177</v>
      </c>
      <c r="D98" s="3" t="s">
        <v>17</v>
      </c>
      <c r="E98" s="2" t="s">
        <v>131</v>
      </c>
      <c r="F98" s="12" t="s">
        <v>302</v>
      </c>
      <c r="G98" s="2">
        <v>1.88</v>
      </c>
      <c r="H98" s="2">
        <v>93</v>
      </c>
      <c r="I98" s="2" t="s">
        <v>174</v>
      </c>
      <c r="J98" s="2" t="s">
        <v>289</v>
      </c>
      <c r="K98" s="2" t="s">
        <v>289</v>
      </c>
      <c r="L98" s="2" t="s">
        <v>289</v>
      </c>
      <c r="M98" s="2" t="s">
        <v>289</v>
      </c>
      <c r="N98" s="2" t="s">
        <v>289</v>
      </c>
      <c r="O98" s="2">
        <f>13+25</f>
        <v>38</v>
      </c>
      <c r="P98" s="2">
        <f>118+209</f>
        <v>327</v>
      </c>
      <c r="Q98" s="2">
        <f>0+5</f>
        <v>5</v>
      </c>
      <c r="R98" s="2">
        <f>42+48</f>
        <v>90</v>
      </c>
      <c r="S98" s="2">
        <f>796+625</f>
        <v>1421</v>
      </c>
      <c r="T98" s="2">
        <f>6+5</f>
        <v>11</v>
      </c>
      <c r="U98" s="2">
        <v>0</v>
      </c>
      <c r="V98" s="2" t="s">
        <v>28</v>
      </c>
      <c r="W98" s="2" t="s">
        <v>14</v>
      </c>
    </row>
    <row r="99" spans="1:23" x14ac:dyDescent="0.45">
      <c r="A99" s="2">
        <v>2023</v>
      </c>
      <c r="B99" s="2">
        <v>6</v>
      </c>
      <c r="C99" s="3">
        <v>185</v>
      </c>
      <c r="D99" s="3" t="s">
        <v>17</v>
      </c>
      <c r="E99" s="2" t="s">
        <v>124</v>
      </c>
      <c r="F99" s="12" t="s">
        <v>306</v>
      </c>
      <c r="G99" s="2">
        <v>1.78</v>
      </c>
      <c r="H99" s="2">
        <v>96</v>
      </c>
      <c r="I99" s="2" t="s">
        <v>150</v>
      </c>
      <c r="J99" s="2" t="s">
        <v>289</v>
      </c>
      <c r="K99" s="2" t="s">
        <v>289</v>
      </c>
      <c r="L99" s="2" t="s">
        <v>289</v>
      </c>
      <c r="M99" s="2" t="s">
        <v>289</v>
      </c>
      <c r="N99" s="2" t="s">
        <v>289</v>
      </c>
      <c r="O99" s="2">
        <f>0+2</f>
        <v>2</v>
      </c>
      <c r="P99" s="2">
        <f>0+8</f>
        <v>8</v>
      </c>
      <c r="Q99" s="2">
        <v>0</v>
      </c>
      <c r="R99" s="2">
        <f>57+46</f>
        <v>103</v>
      </c>
      <c r="S99" s="2">
        <f>722+611</f>
        <v>1333</v>
      </c>
      <c r="T99" s="2">
        <f>4+2</f>
        <v>6</v>
      </c>
      <c r="U99" s="2">
        <v>0</v>
      </c>
      <c r="V99" s="2" t="s">
        <v>41</v>
      </c>
      <c r="W99" s="2" t="s">
        <v>13</v>
      </c>
    </row>
    <row r="100" spans="1:23" x14ac:dyDescent="0.45">
      <c r="A100" s="2">
        <v>2023</v>
      </c>
      <c r="B100" s="2">
        <v>6</v>
      </c>
      <c r="C100" s="3">
        <v>187</v>
      </c>
      <c r="D100" s="3" t="s">
        <v>17</v>
      </c>
      <c r="E100" s="2" t="s">
        <v>93</v>
      </c>
      <c r="F100" s="12" t="s">
        <v>307</v>
      </c>
      <c r="G100" s="2">
        <v>1.8</v>
      </c>
      <c r="H100" s="2">
        <v>89</v>
      </c>
      <c r="I100" s="2" t="s">
        <v>182</v>
      </c>
      <c r="J100" s="2" t="s">
        <v>289</v>
      </c>
      <c r="K100" s="2" t="s">
        <v>289</v>
      </c>
      <c r="L100" s="2" t="s">
        <v>289</v>
      </c>
      <c r="M100" s="2" t="s">
        <v>289</v>
      </c>
      <c r="N100" s="2" t="s">
        <v>289</v>
      </c>
      <c r="O100" s="2">
        <f>0+1</f>
        <v>1</v>
      </c>
      <c r="P100" s="2">
        <f>0+41</f>
        <v>41</v>
      </c>
      <c r="Q100" s="2">
        <v>0</v>
      </c>
      <c r="R100" s="2">
        <f>38+48</f>
        <v>86</v>
      </c>
      <c r="S100" s="2">
        <f>509+538</f>
        <v>1047</v>
      </c>
      <c r="T100" s="2">
        <f>9+2</f>
        <v>11</v>
      </c>
      <c r="U100" s="2">
        <v>0</v>
      </c>
      <c r="V100" s="2" t="s">
        <v>45</v>
      </c>
      <c r="W100" s="2" t="s">
        <v>23</v>
      </c>
    </row>
    <row r="101" spans="1:23" x14ac:dyDescent="0.45">
      <c r="A101" s="2">
        <v>2023</v>
      </c>
      <c r="B101" s="2">
        <v>6</v>
      </c>
      <c r="C101" s="3">
        <v>191</v>
      </c>
      <c r="D101" s="3" t="s">
        <v>17</v>
      </c>
      <c r="E101" s="2" t="s">
        <v>133</v>
      </c>
      <c r="F101" s="12" t="s">
        <v>308</v>
      </c>
      <c r="G101" s="2">
        <v>1.83</v>
      </c>
      <c r="H101" s="2">
        <v>87</v>
      </c>
      <c r="I101" s="2" t="s">
        <v>183</v>
      </c>
      <c r="J101" s="2" t="s">
        <v>289</v>
      </c>
      <c r="K101" s="2" t="s">
        <v>289</v>
      </c>
      <c r="L101" s="2" t="s">
        <v>289</v>
      </c>
      <c r="M101" s="2" t="s">
        <v>289</v>
      </c>
      <c r="N101" s="2" t="s">
        <v>289</v>
      </c>
      <c r="O101" s="2">
        <f>2+5</f>
        <v>7</v>
      </c>
      <c r="P101" s="2">
        <f>0+75</f>
        <v>75</v>
      </c>
      <c r="Q101" s="2">
        <f>0</f>
        <v>0</v>
      </c>
      <c r="R101" s="2">
        <f>30+71</f>
        <v>101</v>
      </c>
      <c r="S101" s="2">
        <f>344+1043</f>
        <v>1387</v>
      </c>
      <c r="T101" s="2">
        <f>3+9</f>
        <v>12</v>
      </c>
      <c r="U101" s="2">
        <v>0</v>
      </c>
      <c r="V101" s="2" t="s">
        <v>64</v>
      </c>
      <c r="W101" s="2" t="s">
        <v>13</v>
      </c>
    </row>
    <row r="102" spans="1:23" x14ac:dyDescent="0.45">
      <c r="A102" s="2">
        <v>2023</v>
      </c>
      <c r="B102" s="2">
        <v>6</v>
      </c>
      <c r="C102" s="3">
        <v>195</v>
      </c>
      <c r="D102" s="3" t="s">
        <v>17</v>
      </c>
      <c r="E102" s="2" t="s">
        <v>128</v>
      </c>
      <c r="F102" s="12" t="s">
        <v>309</v>
      </c>
      <c r="G102" s="2">
        <v>1.96</v>
      </c>
      <c r="H102" s="2">
        <v>93</v>
      </c>
      <c r="I102" s="2" t="s">
        <v>148</v>
      </c>
      <c r="J102" s="2" t="s">
        <v>289</v>
      </c>
      <c r="K102" s="2" t="s">
        <v>289</v>
      </c>
      <c r="L102" s="2" t="s">
        <v>289</v>
      </c>
      <c r="M102" s="2" t="s">
        <v>289</v>
      </c>
      <c r="N102" s="2" t="s">
        <v>289</v>
      </c>
      <c r="O102" s="2">
        <v>0</v>
      </c>
      <c r="P102" s="2">
        <v>0</v>
      </c>
      <c r="Q102" s="2">
        <v>0</v>
      </c>
      <c r="R102" s="2">
        <f>61+70</f>
        <v>131</v>
      </c>
      <c r="S102" s="2">
        <f>1166+980</f>
        <v>2146</v>
      </c>
      <c r="T102" s="2">
        <f>14+11</f>
        <v>25</v>
      </c>
      <c r="U102" s="2">
        <v>0</v>
      </c>
      <c r="V102" s="2" t="s">
        <v>36</v>
      </c>
      <c r="W102" s="2" t="s">
        <v>4</v>
      </c>
    </row>
    <row r="103" spans="1:23" x14ac:dyDescent="0.45">
      <c r="A103" s="2">
        <v>2023</v>
      </c>
      <c r="B103" s="2">
        <v>6</v>
      </c>
      <c r="C103" s="3">
        <v>197</v>
      </c>
      <c r="D103" s="3" t="s">
        <v>17</v>
      </c>
      <c r="E103" s="2" t="s">
        <v>179</v>
      </c>
      <c r="F103" s="12" t="s">
        <v>310</v>
      </c>
      <c r="G103" s="2">
        <v>1.91</v>
      </c>
      <c r="H103" s="2">
        <v>106</v>
      </c>
      <c r="I103" s="2" t="s">
        <v>149</v>
      </c>
      <c r="J103" s="2" t="s">
        <v>289</v>
      </c>
      <c r="K103" s="2" t="s">
        <v>289</v>
      </c>
      <c r="L103" s="2" t="s">
        <v>289</v>
      </c>
      <c r="M103" s="2" t="s">
        <v>289</v>
      </c>
      <c r="N103" s="2" t="s">
        <v>289</v>
      </c>
      <c r="O103" s="2">
        <f>0+4</f>
        <v>4</v>
      </c>
      <c r="P103" s="2">
        <f>0+48</f>
        <v>48</v>
      </c>
      <c r="Q103" s="2">
        <v>0</v>
      </c>
      <c r="R103" s="2">
        <f>44+59</f>
        <v>103</v>
      </c>
      <c r="S103" s="2">
        <f>502+704</f>
        <v>1206</v>
      </c>
      <c r="T103" s="2">
        <f>4+2</f>
        <v>6</v>
      </c>
      <c r="U103" s="2">
        <v>0</v>
      </c>
      <c r="V103" s="2" t="s">
        <v>29</v>
      </c>
      <c r="W103" s="2" t="s">
        <v>6</v>
      </c>
    </row>
    <row r="104" spans="1:23" x14ac:dyDescent="0.45">
      <c r="A104" s="2">
        <v>2023</v>
      </c>
      <c r="B104" s="2">
        <v>6</v>
      </c>
      <c r="C104" s="3">
        <v>205</v>
      </c>
      <c r="D104" s="3" t="s">
        <v>17</v>
      </c>
      <c r="E104" s="2" t="s">
        <v>129</v>
      </c>
      <c r="F104" s="12" t="s">
        <v>311</v>
      </c>
      <c r="G104" s="2">
        <v>1.88</v>
      </c>
      <c r="H104" s="2">
        <v>93</v>
      </c>
      <c r="I104" s="2" t="s">
        <v>142</v>
      </c>
      <c r="J104" s="2" t="s">
        <v>289</v>
      </c>
      <c r="K104" s="2" t="s">
        <v>289</v>
      </c>
      <c r="L104" s="2" t="s">
        <v>289</v>
      </c>
      <c r="M104" s="2" t="s">
        <v>289</v>
      </c>
      <c r="N104" s="2" t="s">
        <v>289</v>
      </c>
      <c r="O104" s="2">
        <f>2+0</f>
        <v>2</v>
      </c>
      <c r="P104" s="2">
        <f>18+0</f>
        <v>18</v>
      </c>
      <c r="Q104" s="2">
        <v>0</v>
      </c>
      <c r="R104" s="2">
        <f>82+107</f>
        <v>189</v>
      </c>
      <c r="S104" s="2">
        <f>953+1171</f>
        <v>2124</v>
      </c>
      <c r="T104" s="2">
        <f>5+6</f>
        <v>11</v>
      </c>
      <c r="U104" s="2">
        <v>0</v>
      </c>
      <c r="V104" s="2" t="s">
        <v>43</v>
      </c>
      <c r="W104" s="2" t="s">
        <v>26</v>
      </c>
    </row>
    <row r="105" spans="1:23" x14ac:dyDescent="0.45">
      <c r="A105" s="2">
        <v>2023</v>
      </c>
      <c r="B105" s="2">
        <v>6</v>
      </c>
      <c r="C105" s="3">
        <v>206</v>
      </c>
      <c r="D105" s="3" t="s">
        <v>17</v>
      </c>
      <c r="E105" s="2" t="s">
        <v>180</v>
      </c>
      <c r="F105" s="12" t="s">
        <v>312</v>
      </c>
      <c r="G105" s="2">
        <v>1.91</v>
      </c>
      <c r="H105" s="2">
        <v>96</v>
      </c>
      <c r="I105" s="2" t="s">
        <v>172</v>
      </c>
      <c r="J105" s="2" t="s">
        <v>289</v>
      </c>
      <c r="K105" s="2" t="s">
        <v>289</v>
      </c>
      <c r="L105" s="2" t="s">
        <v>289</v>
      </c>
      <c r="M105" s="2" t="s">
        <v>289</v>
      </c>
      <c r="N105" s="2" t="s">
        <v>289</v>
      </c>
      <c r="O105" s="2">
        <f>1+4</f>
        <v>5</v>
      </c>
      <c r="P105" s="2">
        <f>7+10</f>
        <v>17</v>
      </c>
      <c r="Q105" s="2">
        <f>0</f>
        <v>0</v>
      </c>
      <c r="R105" s="2">
        <f>41+66</f>
        <v>107</v>
      </c>
      <c r="S105" s="2">
        <f>703+943</f>
        <v>1646</v>
      </c>
      <c r="T105" s="2">
        <f>5+7</f>
        <v>12</v>
      </c>
      <c r="U105" s="2">
        <v>0</v>
      </c>
      <c r="V105" s="2" t="s">
        <v>167</v>
      </c>
      <c r="W105" s="2" t="s">
        <v>101</v>
      </c>
    </row>
    <row r="106" spans="1:23" x14ac:dyDescent="0.45">
      <c r="A106" s="2">
        <v>2023</v>
      </c>
      <c r="B106" s="2" t="s">
        <v>1</v>
      </c>
      <c r="C106" s="3">
        <v>210</v>
      </c>
      <c r="D106" s="3" t="s">
        <v>17</v>
      </c>
      <c r="E106" s="2" t="s">
        <v>181</v>
      </c>
      <c r="F106" s="12" t="s">
        <v>313</v>
      </c>
      <c r="G106" s="2">
        <v>1.73</v>
      </c>
      <c r="H106" s="2">
        <v>87</v>
      </c>
      <c r="I106" s="2" t="s">
        <v>182</v>
      </c>
      <c r="J106" s="2" t="s">
        <v>289</v>
      </c>
      <c r="K106" s="2" t="s">
        <v>289</v>
      </c>
      <c r="L106" s="2" t="s">
        <v>289</v>
      </c>
      <c r="M106" s="2" t="s">
        <v>289</v>
      </c>
      <c r="N106" s="2" t="s">
        <v>289</v>
      </c>
      <c r="O106" s="2">
        <f>1+5</f>
        <v>6</v>
      </c>
      <c r="P106" s="2">
        <f>2+105</f>
        <v>107</v>
      </c>
      <c r="Q106" s="2">
        <f>0+1</f>
        <v>1</v>
      </c>
      <c r="R106" s="2">
        <f>49+73</f>
        <v>122</v>
      </c>
      <c r="S106" s="2">
        <f>679+977</f>
        <v>1656</v>
      </c>
      <c r="T106" s="2">
        <f>5+6</f>
        <v>11</v>
      </c>
      <c r="U106" s="2">
        <v>0</v>
      </c>
      <c r="V106" s="2" t="s">
        <v>58</v>
      </c>
      <c r="W106" s="2" t="s">
        <v>14</v>
      </c>
    </row>
    <row r="107" spans="1:23" x14ac:dyDescent="0.45">
      <c r="A107" s="2">
        <v>2023</v>
      </c>
      <c r="B107" s="2">
        <v>1</v>
      </c>
      <c r="C107" s="3">
        <v>25</v>
      </c>
      <c r="D107" s="3" t="s">
        <v>9</v>
      </c>
      <c r="E107" s="2" t="s">
        <v>135</v>
      </c>
      <c r="F107" s="12" t="s">
        <v>315</v>
      </c>
      <c r="G107" s="2">
        <v>1.93</v>
      </c>
      <c r="H107" s="2">
        <v>112</v>
      </c>
      <c r="I107" s="2" t="s">
        <v>163</v>
      </c>
      <c r="J107" s="2" t="s">
        <v>289</v>
      </c>
      <c r="K107" s="2" t="s">
        <v>289</v>
      </c>
      <c r="L107" s="2" t="s">
        <v>289</v>
      </c>
      <c r="M107" s="2" t="s">
        <v>289</v>
      </c>
      <c r="N107" s="2" t="s">
        <v>289</v>
      </c>
      <c r="O107" s="2">
        <f>1+0</f>
        <v>1</v>
      </c>
      <c r="P107" s="2">
        <f>4+0</f>
        <v>4</v>
      </c>
      <c r="Q107" s="2">
        <v>0</v>
      </c>
      <c r="R107" s="2">
        <f>33+70</f>
        <v>103</v>
      </c>
      <c r="S107" s="2">
        <f>465+890</f>
        <v>1355</v>
      </c>
      <c r="T107" s="2">
        <f>7+8</f>
        <v>15</v>
      </c>
      <c r="U107" s="2">
        <v>0</v>
      </c>
      <c r="V107" s="2" t="s">
        <v>70</v>
      </c>
      <c r="W107" s="2" t="s">
        <v>6</v>
      </c>
    </row>
    <row r="108" spans="1:23" x14ac:dyDescent="0.45">
      <c r="A108" s="2">
        <v>2023</v>
      </c>
      <c r="B108" s="2">
        <v>2</v>
      </c>
      <c r="C108" s="3">
        <v>34</v>
      </c>
      <c r="D108" s="3" t="s">
        <v>9</v>
      </c>
      <c r="E108" s="2" t="s">
        <v>136</v>
      </c>
      <c r="F108" s="12" t="s">
        <v>316</v>
      </c>
      <c r="G108" s="2">
        <v>1.93</v>
      </c>
      <c r="H108" s="2">
        <v>113</v>
      </c>
      <c r="I108" s="2" t="s">
        <v>145</v>
      </c>
      <c r="J108" s="2" t="s">
        <v>289</v>
      </c>
      <c r="K108" s="2" t="s">
        <v>289</v>
      </c>
      <c r="L108" s="2" t="s">
        <v>289</v>
      </c>
      <c r="M108" s="2" t="s">
        <v>289</v>
      </c>
      <c r="N108" s="2" t="s">
        <v>289</v>
      </c>
      <c r="O108" s="2">
        <v>0</v>
      </c>
      <c r="P108" s="2">
        <v>0</v>
      </c>
      <c r="Q108" s="2">
        <v>0</v>
      </c>
      <c r="R108" s="2">
        <f>46+53</f>
        <v>99</v>
      </c>
      <c r="S108" s="2">
        <f>548+601</f>
        <v>1149</v>
      </c>
      <c r="T108" s="2">
        <f>2+1</f>
        <v>3</v>
      </c>
      <c r="U108" s="2">
        <v>0</v>
      </c>
      <c r="V108" s="2" t="s">
        <v>49</v>
      </c>
      <c r="W108" s="2" t="s">
        <v>13</v>
      </c>
    </row>
    <row r="109" spans="1:23" x14ac:dyDescent="0.45">
      <c r="A109" s="2">
        <v>2023</v>
      </c>
      <c r="B109" s="2">
        <v>2</v>
      </c>
      <c r="C109" s="3">
        <v>35</v>
      </c>
      <c r="D109" s="3" t="s">
        <v>9</v>
      </c>
      <c r="E109" s="2" t="s">
        <v>99</v>
      </c>
      <c r="F109" s="12" t="s">
        <v>317</v>
      </c>
      <c r="G109" s="2">
        <v>1.93</v>
      </c>
      <c r="H109" s="2">
        <v>120</v>
      </c>
      <c r="I109" s="2" t="s">
        <v>162</v>
      </c>
      <c r="J109" s="2" t="s">
        <v>289</v>
      </c>
      <c r="K109" s="2" t="s">
        <v>289</v>
      </c>
      <c r="L109" s="2" t="s">
        <v>289</v>
      </c>
      <c r="M109" s="2" t="s">
        <v>289</v>
      </c>
      <c r="N109" s="2" t="s">
        <v>289</v>
      </c>
      <c r="O109" s="2">
        <v>0</v>
      </c>
      <c r="P109" s="2">
        <v>0</v>
      </c>
      <c r="Q109" s="2">
        <v>0</v>
      </c>
      <c r="R109" s="2">
        <f>64+67</f>
        <v>131</v>
      </c>
      <c r="S109" s="2">
        <f>768+809</f>
        <v>1577</v>
      </c>
      <c r="T109" s="2">
        <f>5+9</f>
        <v>14</v>
      </c>
      <c r="U109" s="2">
        <v>0</v>
      </c>
      <c r="V109" s="2" t="s">
        <v>15</v>
      </c>
      <c r="W109" s="2" t="s">
        <v>14</v>
      </c>
    </row>
    <row r="110" spans="1:23" x14ac:dyDescent="0.45">
      <c r="A110" s="2">
        <v>2023</v>
      </c>
      <c r="B110" s="2">
        <v>2</v>
      </c>
      <c r="C110" s="3">
        <v>35</v>
      </c>
      <c r="D110" s="3" t="s">
        <v>9</v>
      </c>
      <c r="E110" s="2" t="s">
        <v>99</v>
      </c>
      <c r="F110" s="12" t="s">
        <v>317</v>
      </c>
      <c r="G110" s="2">
        <v>1.93</v>
      </c>
      <c r="H110" s="2">
        <v>120</v>
      </c>
      <c r="I110" s="2" t="s">
        <v>162</v>
      </c>
      <c r="J110" s="2" t="s">
        <v>289</v>
      </c>
      <c r="K110" s="2" t="s">
        <v>289</v>
      </c>
      <c r="L110" s="2" t="s">
        <v>289</v>
      </c>
      <c r="M110" s="2" t="s">
        <v>289</v>
      </c>
      <c r="N110" s="2" t="s">
        <v>289</v>
      </c>
      <c r="O110" s="2">
        <v>0</v>
      </c>
      <c r="P110" s="2">
        <v>0</v>
      </c>
      <c r="Q110" s="2">
        <v>0</v>
      </c>
      <c r="R110" s="2">
        <f>64+67</f>
        <v>131</v>
      </c>
      <c r="S110" s="2">
        <f>768+809</f>
        <v>1577</v>
      </c>
      <c r="T110" s="2">
        <f>5+9</f>
        <v>14</v>
      </c>
      <c r="U110" s="2">
        <v>0</v>
      </c>
      <c r="V110" s="2" t="s">
        <v>15</v>
      </c>
      <c r="W110" s="2" t="s">
        <v>14</v>
      </c>
    </row>
    <row r="111" spans="1:23" x14ac:dyDescent="0.45">
      <c r="A111" s="2">
        <v>2023</v>
      </c>
      <c r="B111" s="2">
        <v>2</v>
      </c>
      <c r="C111" s="3">
        <v>42</v>
      </c>
      <c r="D111" s="3" t="s">
        <v>9</v>
      </c>
      <c r="E111" s="2" t="s">
        <v>137</v>
      </c>
      <c r="F111" s="12" t="s">
        <v>318</v>
      </c>
      <c r="G111" s="2">
        <v>1.98</v>
      </c>
      <c r="H111" s="2">
        <v>116</v>
      </c>
      <c r="I111" s="2" t="s">
        <v>156</v>
      </c>
      <c r="J111" s="2" t="s">
        <v>289</v>
      </c>
      <c r="K111" s="2" t="s">
        <v>289</v>
      </c>
      <c r="L111" s="2" t="s">
        <v>289</v>
      </c>
      <c r="M111" s="2" t="s">
        <v>289</v>
      </c>
      <c r="N111" s="2" t="s">
        <v>289</v>
      </c>
      <c r="O111" s="2">
        <f>1+0</f>
        <v>1</v>
      </c>
      <c r="P111" s="2">
        <f>-1</f>
        <v>-1</v>
      </c>
      <c r="Q111" s="2">
        <v>0</v>
      </c>
      <c r="R111" s="2">
        <f>19+11</f>
        <v>30</v>
      </c>
      <c r="S111" s="2">
        <f>260+169</f>
        <v>429</v>
      </c>
      <c r="T111" s="2">
        <f>1+1</f>
        <v>2</v>
      </c>
      <c r="U111" s="2">
        <v>0</v>
      </c>
      <c r="V111" s="2" t="s">
        <v>8</v>
      </c>
      <c r="W111" s="2" t="s">
        <v>6</v>
      </c>
    </row>
    <row r="112" spans="1:23" x14ac:dyDescent="0.45">
      <c r="A112" s="2">
        <v>2023</v>
      </c>
      <c r="B112" s="2">
        <v>2</v>
      </c>
      <c r="C112" s="3">
        <v>58</v>
      </c>
      <c r="D112" s="3" t="s">
        <v>9</v>
      </c>
      <c r="E112" s="2" t="s">
        <v>140</v>
      </c>
      <c r="F112" s="12" t="s">
        <v>319</v>
      </c>
      <c r="G112" s="2">
        <v>1.98</v>
      </c>
      <c r="H112" s="2">
        <v>113</v>
      </c>
      <c r="I112" s="2" t="s">
        <v>164</v>
      </c>
      <c r="J112" s="2" t="s">
        <v>289</v>
      </c>
      <c r="K112" s="2" t="s">
        <v>289</v>
      </c>
      <c r="L112" s="2" t="s">
        <v>289</v>
      </c>
      <c r="M112" s="2" t="s">
        <v>289</v>
      </c>
      <c r="N112" s="2" t="s">
        <v>289</v>
      </c>
      <c r="O112" s="2">
        <v>0</v>
      </c>
      <c r="P112" s="2">
        <v>0</v>
      </c>
      <c r="Q112" s="2">
        <v>0</v>
      </c>
      <c r="R112" s="2">
        <f>17+34</f>
        <v>51</v>
      </c>
      <c r="S112" s="2">
        <f>165+386</f>
        <v>551</v>
      </c>
      <c r="T112" s="2">
        <f>3+3</f>
        <v>6</v>
      </c>
      <c r="U112" s="2">
        <v>0</v>
      </c>
      <c r="V112" s="2" t="s">
        <v>40</v>
      </c>
      <c r="W112" s="2" t="s">
        <v>13</v>
      </c>
    </row>
    <row r="113" spans="1:23" x14ac:dyDescent="0.45">
      <c r="A113" s="2">
        <v>2023</v>
      </c>
      <c r="B113" s="2">
        <v>2</v>
      </c>
      <c r="C113" s="3">
        <v>61</v>
      </c>
      <c r="D113" s="3" t="s">
        <v>9</v>
      </c>
      <c r="E113" s="2" t="s">
        <v>139</v>
      </c>
      <c r="F113" s="12" t="s">
        <v>320</v>
      </c>
      <c r="G113" s="2">
        <v>1.93</v>
      </c>
      <c r="H113" s="2">
        <v>112</v>
      </c>
      <c r="I113" s="2" t="s">
        <v>150</v>
      </c>
      <c r="J113" s="2" t="s">
        <v>289</v>
      </c>
      <c r="K113" s="2" t="s">
        <v>289</v>
      </c>
      <c r="L113" s="2" t="s">
        <v>289</v>
      </c>
      <c r="M113" s="2" t="s">
        <v>289</v>
      </c>
      <c r="N113" s="2" t="s">
        <v>289</v>
      </c>
      <c r="O113" s="2">
        <f>0+1</f>
        <v>1</v>
      </c>
      <c r="P113" s="2">
        <f>0</f>
        <v>0</v>
      </c>
      <c r="Q113" s="2">
        <v>0</v>
      </c>
      <c r="R113" s="2">
        <f>19+32</f>
        <v>51</v>
      </c>
      <c r="S113" s="2">
        <f>226+362</f>
        <v>588</v>
      </c>
      <c r="T113" s="2">
        <f>3+5</f>
        <v>8</v>
      </c>
      <c r="U113" s="2">
        <v>0</v>
      </c>
      <c r="V113" s="2" t="s">
        <v>41</v>
      </c>
      <c r="W113" s="2" t="s">
        <v>13</v>
      </c>
    </row>
    <row r="114" spans="1:23" x14ac:dyDescent="0.45">
      <c r="A114" s="2">
        <v>2023</v>
      </c>
      <c r="B114" s="2">
        <v>3</v>
      </c>
      <c r="C114" s="3">
        <v>78</v>
      </c>
      <c r="D114" s="3" t="s">
        <v>9</v>
      </c>
      <c r="E114" s="2" t="s">
        <v>138</v>
      </c>
      <c r="F114" s="12" t="s">
        <v>321</v>
      </c>
      <c r="G114" s="2">
        <v>1.96</v>
      </c>
      <c r="H114" s="2">
        <v>116</v>
      </c>
      <c r="I114" s="2" t="s">
        <v>156</v>
      </c>
      <c r="J114" s="2" t="s">
        <v>289</v>
      </c>
      <c r="K114" s="2" t="s">
        <v>289</v>
      </c>
      <c r="L114" s="2" t="s">
        <v>289</v>
      </c>
      <c r="M114" s="2" t="s">
        <v>289</v>
      </c>
      <c r="N114" s="2" t="s">
        <v>289</v>
      </c>
      <c r="O114" s="2">
        <f>2+2</f>
        <v>4</v>
      </c>
      <c r="P114" s="2">
        <f>6+5</f>
        <v>11</v>
      </c>
      <c r="Q114" s="2">
        <v>0</v>
      </c>
      <c r="R114" s="2">
        <f>59+21</f>
        <v>80</v>
      </c>
      <c r="S114" s="2">
        <f>677+249</f>
        <v>926</v>
      </c>
      <c r="T114" s="2">
        <f>6+2</f>
        <v>8</v>
      </c>
      <c r="U114" s="2">
        <v>0</v>
      </c>
      <c r="V114" s="2" t="s">
        <v>44</v>
      </c>
      <c r="W114" s="2" t="s">
        <v>19</v>
      </c>
    </row>
    <row r="115" spans="1:23" x14ac:dyDescent="0.45">
      <c r="A115" s="2">
        <v>2023</v>
      </c>
      <c r="B115" s="2">
        <v>3</v>
      </c>
      <c r="C115" s="3">
        <v>93</v>
      </c>
      <c r="D115" s="3" t="s">
        <v>9</v>
      </c>
      <c r="E115" s="2" t="s">
        <v>134</v>
      </c>
      <c r="F115" s="12" t="s">
        <v>322</v>
      </c>
      <c r="G115" s="2">
        <f>2.01</f>
        <v>2.0099999999999998</v>
      </c>
      <c r="H115" s="2">
        <v>120</v>
      </c>
      <c r="I115" s="2" t="s">
        <v>165</v>
      </c>
      <c r="J115" s="2" t="s">
        <v>289</v>
      </c>
      <c r="K115" s="2" t="s">
        <v>289</v>
      </c>
      <c r="L115" s="2" t="s">
        <v>289</v>
      </c>
      <c r="M115" s="2" t="s">
        <v>289</v>
      </c>
      <c r="N115" s="2" t="s">
        <v>289</v>
      </c>
      <c r="O115" s="2">
        <v>0</v>
      </c>
      <c r="P115" s="2">
        <v>0</v>
      </c>
      <c r="Q115" s="2">
        <v>0</v>
      </c>
      <c r="R115" s="2">
        <f>9+26</f>
        <v>35</v>
      </c>
      <c r="S115" s="2">
        <f>145+417</f>
        <v>562</v>
      </c>
      <c r="T115" s="2">
        <f>1+2</f>
        <v>3</v>
      </c>
      <c r="U115" s="2">
        <v>0</v>
      </c>
      <c r="V115" s="2" t="s">
        <v>39</v>
      </c>
      <c r="W115" s="2" t="s">
        <v>23</v>
      </c>
    </row>
    <row r="116" spans="1:23" x14ac:dyDescent="0.45">
      <c r="A116" s="2">
        <v>2023</v>
      </c>
      <c r="B116" s="2" t="s">
        <v>52</v>
      </c>
      <c r="C116" s="3">
        <v>101</v>
      </c>
      <c r="D116" s="3" t="s">
        <v>9</v>
      </c>
      <c r="E116" s="2" t="s">
        <v>314</v>
      </c>
      <c r="F116" s="12" t="s">
        <v>323</v>
      </c>
      <c r="G116" s="2">
        <v>1.96</v>
      </c>
      <c r="H116" s="2">
        <v>113</v>
      </c>
      <c r="I116" s="2" t="s">
        <v>166</v>
      </c>
      <c r="J116" s="2" t="s">
        <v>289</v>
      </c>
      <c r="K116" s="2" t="s">
        <v>289</v>
      </c>
      <c r="L116" s="2" t="s">
        <v>289</v>
      </c>
      <c r="M116" s="2" t="s">
        <v>289</v>
      </c>
      <c r="N116" s="2" t="s">
        <v>289</v>
      </c>
      <c r="O116" s="2">
        <v>0</v>
      </c>
      <c r="P116" s="2">
        <v>0</v>
      </c>
      <c r="Q116" s="2">
        <v>0</v>
      </c>
      <c r="R116" s="2">
        <f>20+25</f>
        <v>45</v>
      </c>
      <c r="S116" s="2">
        <f>299+323</f>
        <v>622</v>
      </c>
      <c r="T116" s="2">
        <f>6+3</f>
        <v>9</v>
      </c>
      <c r="U116" s="2">
        <v>0</v>
      </c>
      <c r="V116" s="2" t="s">
        <v>47</v>
      </c>
      <c r="W116" s="2" t="s">
        <v>23</v>
      </c>
    </row>
    <row r="117" spans="1:23" x14ac:dyDescent="0.45">
      <c r="A117" s="2">
        <v>2024</v>
      </c>
      <c r="B117" s="2">
        <v>1</v>
      </c>
      <c r="C117" s="6">
        <v>1</v>
      </c>
      <c r="D117" s="3" t="s">
        <v>32</v>
      </c>
      <c r="E117" s="7" t="s">
        <v>224</v>
      </c>
      <c r="F117" s="14" t="s">
        <v>420</v>
      </c>
      <c r="G117" s="7">
        <v>1.85</v>
      </c>
      <c r="H117" s="7">
        <v>98</v>
      </c>
      <c r="I117" s="7" t="s">
        <v>170</v>
      </c>
      <c r="J117" s="7">
        <f>(66.2+66.8)/2</f>
        <v>66.5</v>
      </c>
      <c r="K117" s="7">
        <f>4537+3633</f>
        <v>8170</v>
      </c>
      <c r="L117" s="7">
        <f>42+30</f>
        <v>72</v>
      </c>
      <c r="M117" s="7">
        <f>5+5</f>
        <v>10</v>
      </c>
      <c r="N117" s="7">
        <f>(168.5+170.1)/2</f>
        <v>169.3</v>
      </c>
      <c r="O117" s="7">
        <f>113+97</f>
        <v>210</v>
      </c>
      <c r="P117" s="7">
        <f>382+97</f>
        <v>479</v>
      </c>
      <c r="Q117" s="7">
        <f>10+11</f>
        <v>21</v>
      </c>
      <c r="R117" s="2" t="s">
        <v>289</v>
      </c>
      <c r="S117" s="2" t="s">
        <v>289</v>
      </c>
      <c r="T117" s="2" t="s">
        <v>289</v>
      </c>
      <c r="U117" s="2">
        <v>0</v>
      </c>
      <c r="V117" s="2" t="s">
        <v>63</v>
      </c>
      <c r="W117" s="2" t="s">
        <v>6</v>
      </c>
    </row>
    <row r="118" spans="1:23" x14ac:dyDescent="0.45">
      <c r="A118" s="2">
        <v>2024</v>
      </c>
      <c r="B118" s="2">
        <v>1</v>
      </c>
      <c r="C118" s="6">
        <v>2</v>
      </c>
      <c r="D118" s="3" t="s">
        <v>32</v>
      </c>
      <c r="E118" s="7" t="s">
        <v>232</v>
      </c>
      <c r="F118" s="14" t="s">
        <v>421</v>
      </c>
      <c r="G118" s="7">
        <v>1.93</v>
      </c>
      <c r="H118" s="7">
        <v>95</v>
      </c>
      <c r="I118" s="7" t="s">
        <v>173</v>
      </c>
      <c r="J118" s="7">
        <f>(68.6+72.2)/2</f>
        <v>70.400000000000006</v>
      </c>
      <c r="K118" s="7">
        <f>2913+3812</f>
        <v>6725</v>
      </c>
      <c r="L118" s="7">
        <f>17+40</f>
        <v>57</v>
      </c>
      <c r="M118" s="7">
        <f>3+4</f>
        <v>7</v>
      </c>
      <c r="N118" s="7">
        <f>(144.5+208)/2</f>
        <v>176.25</v>
      </c>
      <c r="O118" s="7">
        <f>186+135</f>
        <v>321</v>
      </c>
      <c r="P118" s="7">
        <f>885+1134</f>
        <v>2019</v>
      </c>
      <c r="Q118" s="7">
        <f>11+10</f>
        <v>21</v>
      </c>
      <c r="R118" s="2" t="s">
        <v>289</v>
      </c>
      <c r="S118" s="2" t="s">
        <v>289</v>
      </c>
      <c r="T118" s="2" t="s">
        <v>289</v>
      </c>
      <c r="U118" s="2">
        <v>0</v>
      </c>
      <c r="V118" s="2" t="s">
        <v>45</v>
      </c>
      <c r="W118" s="2" t="s">
        <v>23</v>
      </c>
    </row>
    <row r="119" spans="1:23" x14ac:dyDescent="0.45">
      <c r="A119" s="2">
        <v>2024</v>
      </c>
      <c r="B119" s="2">
        <v>1</v>
      </c>
      <c r="C119" s="6">
        <v>3</v>
      </c>
      <c r="D119" s="3" t="s">
        <v>32</v>
      </c>
      <c r="E119" s="7" t="s">
        <v>225</v>
      </c>
      <c r="F119" s="14" t="s">
        <v>422</v>
      </c>
      <c r="G119" s="7">
        <v>1.93</v>
      </c>
      <c r="H119" s="7">
        <v>104</v>
      </c>
      <c r="I119" s="7" t="s">
        <v>182</v>
      </c>
      <c r="J119" s="7">
        <f>(66.2+63.3)/2</f>
        <v>64.75</v>
      </c>
      <c r="K119" s="7">
        <f>4321+3608</f>
        <v>7929</v>
      </c>
      <c r="L119" s="7">
        <f>38+24</f>
        <v>62</v>
      </c>
      <c r="M119" s="7">
        <f>7+9</f>
        <v>16</v>
      </c>
      <c r="N119" s="7">
        <f>(157.9+149)/2</f>
        <v>153.44999999999999</v>
      </c>
      <c r="O119" s="7">
        <f>184+112</f>
        <v>296</v>
      </c>
      <c r="P119" s="7">
        <f>698+449</f>
        <v>1147</v>
      </c>
      <c r="Q119" s="7">
        <f>7+9</f>
        <v>16</v>
      </c>
      <c r="R119" s="2" t="s">
        <v>289</v>
      </c>
      <c r="S119" s="2" t="s">
        <v>289</v>
      </c>
      <c r="T119" s="2" t="s">
        <v>289</v>
      </c>
      <c r="U119" s="2">
        <v>0</v>
      </c>
      <c r="V119" s="2" t="s">
        <v>5</v>
      </c>
      <c r="W119" s="2" t="s">
        <v>4</v>
      </c>
    </row>
    <row r="120" spans="1:23" x14ac:dyDescent="0.45">
      <c r="A120" s="2">
        <v>2024</v>
      </c>
      <c r="B120" s="2">
        <v>1</v>
      </c>
      <c r="C120" s="6">
        <v>8</v>
      </c>
      <c r="D120" s="3" t="s">
        <v>32</v>
      </c>
      <c r="E120" s="7" t="s">
        <v>234</v>
      </c>
      <c r="F120" s="14" t="s">
        <v>423</v>
      </c>
      <c r="G120" s="7">
        <v>1.91</v>
      </c>
      <c r="H120" s="7">
        <v>97</v>
      </c>
      <c r="I120" s="7" t="s">
        <v>146</v>
      </c>
      <c r="J120" s="7">
        <f>(65.3+65.4)/2</f>
        <v>65.349999999999994</v>
      </c>
      <c r="K120" s="7">
        <f>4641+4903</f>
        <v>9544</v>
      </c>
      <c r="L120" s="7">
        <f>31+36</f>
        <v>67</v>
      </c>
      <c r="M120" s="7">
        <f>8+11</f>
        <v>19</v>
      </c>
      <c r="N120" s="7">
        <f>(151.3+161.4)/2</f>
        <v>156.35000000000002</v>
      </c>
      <c r="O120" s="7">
        <f>35+35</f>
        <v>70</v>
      </c>
      <c r="P120" s="7">
        <f>92+8</f>
        <v>100</v>
      </c>
      <c r="Q120" s="7">
        <f>4+3</f>
        <v>7</v>
      </c>
      <c r="R120" s="2" t="s">
        <v>289</v>
      </c>
      <c r="S120" s="2" t="s">
        <v>289</v>
      </c>
      <c r="T120" s="2" t="s">
        <v>289</v>
      </c>
      <c r="U120" s="2">
        <v>0</v>
      </c>
      <c r="V120" s="2" t="s">
        <v>7</v>
      </c>
      <c r="W120" s="2" t="s">
        <v>6</v>
      </c>
    </row>
    <row r="121" spans="1:23" x14ac:dyDescent="0.45">
      <c r="A121" s="2">
        <v>2024</v>
      </c>
      <c r="B121" s="2">
        <v>1</v>
      </c>
      <c r="C121" s="6">
        <v>10</v>
      </c>
      <c r="D121" s="3" t="s">
        <v>32</v>
      </c>
      <c r="E121" s="7" t="s">
        <v>226</v>
      </c>
      <c r="F121" s="14" t="s">
        <v>424</v>
      </c>
      <c r="G121" s="7">
        <v>1.91</v>
      </c>
      <c r="H121" s="7">
        <v>92</v>
      </c>
      <c r="I121" s="7" t="s">
        <v>155</v>
      </c>
      <c r="J121" s="7">
        <f>(64.6+72.3)/2</f>
        <v>68.449999999999989</v>
      </c>
      <c r="K121" s="7">
        <f>(2719+2991)</f>
        <v>5710</v>
      </c>
      <c r="L121" s="7">
        <f>22+22</f>
        <v>44</v>
      </c>
      <c r="M121" s="7">
        <f>5+4</f>
        <v>9</v>
      </c>
      <c r="N121" s="7">
        <f>(155+167.4)/2</f>
        <v>161.19999999999999</v>
      </c>
      <c r="O121" s="7">
        <f>70+64</f>
        <v>134</v>
      </c>
      <c r="P121" s="7">
        <f>306+202</f>
        <v>508</v>
      </c>
      <c r="Q121" s="7">
        <f>5+3</f>
        <v>8</v>
      </c>
      <c r="R121" s="2" t="s">
        <v>289</v>
      </c>
      <c r="S121" s="2" t="s">
        <v>289</v>
      </c>
      <c r="T121" s="2" t="s">
        <v>289</v>
      </c>
      <c r="U121" s="2">
        <v>0</v>
      </c>
      <c r="V121" s="2" t="s">
        <v>40</v>
      </c>
      <c r="W121" s="2" t="s">
        <v>13</v>
      </c>
    </row>
    <row r="122" spans="1:23" x14ac:dyDescent="0.45">
      <c r="A122" s="2">
        <v>2024</v>
      </c>
      <c r="B122" s="2">
        <v>1</v>
      </c>
      <c r="C122" s="6">
        <v>12</v>
      </c>
      <c r="D122" s="3" t="s">
        <v>32</v>
      </c>
      <c r="E122" s="7" t="s">
        <v>233</v>
      </c>
      <c r="F122" s="14" t="s">
        <v>425</v>
      </c>
      <c r="G122" s="7">
        <f>1.88</f>
        <v>1.88</v>
      </c>
      <c r="H122" s="7">
        <v>98</v>
      </c>
      <c r="I122" s="7" t="s">
        <v>158</v>
      </c>
      <c r="J122" s="7">
        <f>(71.9+77.4)/2</f>
        <v>74.650000000000006</v>
      </c>
      <c r="K122" s="7">
        <f>3593+4508</f>
        <v>8101</v>
      </c>
      <c r="L122" s="7">
        <f>29+45</f>
        <v>74</v>
      </c>
      <c r="M122" s="7">
        <f>7+3</f>
        <v>10</v>
      </c>
      <c r="N122" s="7">
        <f>(165.7+188.3)/2</f>
        <v>177</v>
      </c>
      <c r="O122" s="7">
        <f>89+54</f>
        <v>143</v>
      </c>
      <c r="P122" s="7">
        <f>510+234</f>
        <v>744</v>
      </c>
      <c r="Q122" s="7">
        <f>14+6</f>
        <v>20</v>
      </c>
      <c r="R122" s="2" t="s">
        <v>289</v>
      </c>
      <c r="S122" s="2" t="s">
        <v>289</v>
      </c>
      <c r="T122" s="2" t="s">
        <v>289</v>
      </c>
      <c r="U122" s="2">
        <v>0</v>
      </c>
      <c r="V122" s="2" t="s">
        <v>74</v>
      </c>
      <c r="W122" s="2" t="s">
        <v>6</v>
      </c>
    </row>
    <row r="123" spans="1:23" x14ac:dyDescent="0.45">
      <c r="A123" s="2">
        <v>2024</v>
      </c>
      <c r="B123" s="2">
        <v>2</v>
      </c>
      <c r="C123" s="6">
        <v>46</v>
      </c>
      <c r="D123" s="3" t="s">
        <v>10</v>
      </c>
      <c r="E123" s="7" t="s">
        <v>253</v>
      </c>
      <c r="F123" s="14" t="s">
        <v>426</v>
      </c>
      <c r="G123" s="7">
        <v>1.83</v>
      </c>
      <c r="H123" s="7">
        <v>94</v>
      </c>
      <c r="I123" s="7" t="s">
        <v>141</v>
      </c>
      <c r="J123" s="2" t="s">
        <v>289</v>
      </c>
      <c r="K123" s="2" t="s">
        <v>289</v>
      </c>
      <c r="L123" s="2" t="s">
        <v>289</v>
      </c>
      <c r="M123" s="2" t="s">
        <v>289</v>
      </c>
      <c r="N123" s="2" t="s">
        <v>289</v>
      </c>
      <c r="O123" s="7">
        <f>30+187</f>
        <v>217</v>
      </c>
      <c r="P123" s="7">
        <f>197+1139</f>
        <v>1336</v>
      </c>
      <c r="Q123" s="7">
        <f>5+10</f>
        <v>15</v>
      </c>
      <c r="R123" s="7">
        <f>2+25</f>
        <v>27</v>
      </c>
      <c r="S123" s="7">
        <f>37+286</f>
        <v>323</v>
      </c>
      <c r="T123" s="7">
        <f>1+1</f>
        <v>2</v>
      </c>
      <c r="U123" s="7">
        <f>0+1</f>
        <v>1</v>
      </c>
      <c r="V123" s="2" t="s">
        <v>81</v>
      </c>
      <c r="W123" s="2" t="s">
        <v>26</v>
      </c>
    </row>
    <row r="124" spans="1:23" x14ac:dyDescent="0.45">
      <c r="A124" s="2">
        <v>2024</v>
      </c>
      <c r="B124" s="2">
        <v>3</v>
      </c>
      <c r="C124" s="6">
        <v>66</v>
      </c>
      <c r="D124" s="3" t="s">
        <v>10</v>
      </c>
      <c r="E124" s="7" t="s">
        <v>236</v>
      </c>
      <c r="F124" s="14" t="s">
        <v>427</v>
      </c>
      <c r="G124" s="7">
        <v>1.85</v>
      </c>
      <c r="H124" s="7">
        <v>100</v>
      </c>
      <c r="I124" s="7" t="s">
        <v>161</v>
      </c>
      <c r="J124" s="2" t="s">
        <v>289</v>
      </c>
      <c r="K124" s="2" t="s">
        <v>289</v>
      </c>
      <c r="L124" s="2" t="s">
        <v>289</v>
      </c>
      <c r="M124" s="2" t="s">
        <v>289</v>
      </c>
      <c r="N124" s="2" t="s">
        <v>289</v>
      </c>
      <c r="O124" s="7">
        <f>154+156</f>
        <v>310</v>
      </c>
      <c r="P124" s="7">
        <f>990+905</f>
        <v>1895</v>
      </c>
      <c r="Q124" s="7">
        <f>9+14</f>
        <v>23</v>
      </c>
      <c r="R124" s="7">
        <f>13+20</f>
        <v>33</v>
      </c>
      <c r="S124" s="7">
        <f>144+227</f>
        <v>371</v>
      </c>
      <c r="T124" s="7">
        <f>0+1</f>
        <v>1</v>
      </c>
      <c r="U124" s="7">
        <v>0</v>
      </c>
      <c r="V124" s="2" t="s">
        <v>71</v>
      </c>
      <c r="W124" s="2" t="s">
        <v>4</v>
      </c>
    </row>
    <row r="125" spans="1:23" x14ac:dyDescent="0.45">
      <c r="A125" s="2">
        <v>2024</v>
      </c>
      <c r="B125" s="2">
        <v>3</v>
      </c>
      <c r="C125" s="6">
        <v>83</v>
      </c>
      <c r="D125" s="3" t="s">
        <v>10</v>
      </c>
      <c r="E125" s="7" t="s">
        <v>252</v>
      </c>
      <c r="F125" s="14" t="s">
        <v>428</v>
      </c>
      <c r="G125" s="7">
        <v>1.73</v>
      </c>
      <c r="H125" s="7">
        <v>97</v>
      </c>
      <c r="I125" s="7" t="s">
        <v>174</v>
      </c>
      <c r="J125" s="2" t="s">
        <v>289</v>
      </c>
      <c r="K125" s="2" t="s">
        <v>289</v>
      </c>
      <c r="L125" s="2" t="s">
        <v>289</v>
      </c>
      <c r="M125" s="2" t="s">
        <v>289</v>
      </c>
      <c r="N125" s="2" t="s">
        <v>289</v>
      </c>
      <c r="O125" s="7">
        <f>247+258</f>
        <v>505</v>
      </c>
      <c r="P125" s="7">
        <f>1463+1245</f>
        <v>2708</v>
      </c>
      <c r="Q125" s="7">
        <f>18+27</f>
        <v>45</v>
      </c>
      <c r="R125" s="7">
        <f>11+16</f>
        <v>27</v>
      </c>
      <c r="S125" s="7">
        <f>80+117</f>
        <v>197</v>
      </c>
      <c r="T125" s="7">
        <f>1+1</f>
        <v>2</v>
      </c>
      <c r="U125" s="7">
        <f>1+0</f>
        <v>1</v>
      </c>
      <c r="V125" s="2" t="s">
        <v>40</v>
      </c>
      <c r="W125" s="2" t="s">
        <v>13</v>
      </c>
    </row>
    <row r="126" spans="1:23" x14ac:dyDescent="0.45">
      <c r="A126" s="2">
        <v>2024</v>
      </c>
      <c r="B126" s="2">
        <v>3</v>
      </c>
      <c r="C126" s="6">
        <v>88</v>
      </c>
      <c r="D126" s="3" t="s">
        <v>10</v>
      </c>
      <c r="E126" s="7" t="s">
        <v>259</v>
      </c>
      <c r="F126" s="14" t="s">
        <v>335</v>
      </c>
      <c r="G126" s="7">
        <v>1.75</v>
      </c>
      <c r="H126" s="7">
        <v>95</v>
      </c>
      <c r="I126" s="7" t="s">
        <v>156</v>
      </c>
      <c r="J126" s="2" t="s">
        <v>289</v>
      </c>
      <c r="K126" s="2" t="s">
        <v>289</v>
      </c>
      <c r="L126" s="2" t="s">
        <v>289</v>
      </c>
      <c r="M126" s="2" t="s">
        <v>289</v>
      </c>
      <c r="N126" s="2" t="s">
        <v>289</v>
      </c>
      <c r="O126" s="7">
        <f>111+116</f>
        <v>227</v>
      </c>
      <c r="P126" s="7">
        <f>573+820</f>
        <v>1393</v>
      </c>
      <c r="Q126" s="7">
        <f>9+9</f>
        <v>18</v>
      </c>
      <c r="R126" s="7">
        <f>18+13</f>
        <v>31</v>
      </c>
      <c r="S126" s="7">
        <f>176+232</f>
        <v>408</v>
      </c>
      <c r="T126" s="7">
        <f>2+0</f>
        <v>2</v>
      </c>
      <c r="U126" s="7">
        <f>1+3</f>
        <v>4</v>
      </c>
      <c r="V126" s="2" t="s">
        <v>63</v>
      </c>
      <c r="W126" s="2" t="s">
        <v>6</v>
      </c>
    </row>
    <row r="127" spans="1:23" x14ac:dyDescent="0.45">
      <c r="A127" s="2">
        <v>2024</v>
      </c>
      <c r="B127" s="2">
        <v>4</v>
      </c>
      <c r="C127" s="6">
        <v>120</v>
      </c>
      <c r="D127" s="3" t="s">
        <v>10</v>
      </c>
      <c r="E127" s="7" t="s">
        <v>267</v>
      </c>
      <c r="F127" s="14" t="s">
        <v>429</v>
      </c>
      <c r="G127" s="7">
        <v>1.8</v>
      </c>
      <c r="H127" s="7">
        <v>95</v>
      </c>
      <c r="I127" s="7" t="s">
        <v>149</v>
      </c>
      <c r="J127" s="2" t="s">
        <v>289</v>
      </c>
      <c r="K127" s="2" t="s">
        <v>289</v>
      </c>
      <c r="L127" s="2" t="s">
        <v>289</v>
      </c>
      <c r="M127" s="2" t="s">
        <v>289</v>
      </c>
      <c r="N127" s="2" t="s">
        <v>289</v>
      </c>
      <c r="O127" s="7">
        <f>146+137</f>
        <v>283</v>
      </c>
      <c r="P127" s="7">
        <f>875+1013</f>
        <v>1888</v>
      </c>
      <c r="Q127" s="7">
        <f>10+4</f>
        <v>14</v>
      </c>
      <c r="R127" s="7">
        <f>2+22</f>
        <v>24</v>
      </c>
      <c r="S127" s="7">
        <f>8+141</f>
        <v>149</v>
      </c>
      <c r="T127" s="7">
        <v>0</v>
      </c>
      <c r="U127" s="7">
        <v>3</v>
      </c>
      <c r="V127" s="2" t="s">
        <v>62</v>
      </c>
      <c r="W127" s="2" t="s">
        <v>23</v>
      </c>
    </row>
    <row r="128" spans="1:23" x14ac:dyDescent="0.45">
      <c r="A128" s="2">
        <v>2024</v>
      </c>
      <c r="B128" s="2">
        <v>4</v>
      </c>
      <c r="C128" s="6">
        <v>125</v>
      </c>
      <c r="D128" s="3" t="s">
        <v>10</v>
      </c>
      <c r="E128" s="7" t="s">
        <v>245</v>
      </c>
      <c r="F128" s="14" t="s">
        <v>430</v>
      </c>
      <c r="G128" s="7">
        <v>1.78</v>
      </c>
      <c r="H128" s="7">
        <v>88</v>
      </c>
      <c r="I128" s="7" t="s">
        <v>183</v>
      </c>
      <c r="J128" s="2" t="s">
        <v>289</v>
      </c>
      <c r="K128" s="2" t="s">
        <v>289</v>
      </c>
      <c r="L128" s="2" t="s">
        <v>289</v>
      </c>
      <c r="M128" s="2" t="s">
        <v>289</v>
      </c>
      <c r="N128" s="2" t="s">
        <v>289</v>
      </c>
      <c r="O128" s="7">
        <f>156+186</f>
        <v>342</v>
      </c>
      <c r="P128" s="7">
        <f>1058+1180</f>
        <v>2238</v>
      </c>
      <c r="Q128" s="7">
        <f>5+11</f>
        <v>16</v>
      </c>
      <c r="R128" s="7">
        <f>31+56</f>
        <v>87</v>
      </c>
      <c r="S128" s="7">
        <f>299+413</f>
        <v>712</v>
      </c>
      <c r="T128" s="7">
        <f>3+2</f>
        <v>5</v>
      </c>
      <c r="U128" s="7">
        <v>1</v>
      </c>
      <c r="V128" s="2" t="s">
        <v>74</v>
      </c>
      <c r="W128" s="2" t="s">
        <v>6</v>
      </c>
    </row>
    <row r="129" spans="1:23" x14ac:dyDescent="0.45">
      <c r="A129" s="2">
        <v>2024</v>
      </c>
      <c r="B129" s="2">
        <v>4</v>
      </c>
      <c r="C129" s="6">
        <v>127</v>
      </c>
      <c r="D129" s="3" t="s">
        <v>10</v>
      </c>
      <c r="E129" s="7" t="s">
        <v>257</v>
      </c>
      <c r="F129" s="14" t="s">
        <v>431</v>
      </c>
      <c r="G129" s="7">
        <v>1.8</v>
      </c>
      <c r="H129" s="7">
        <v>95</v>
      </c>
      <c r="I129" s="7" t="s">
        <v>175</v>
      </c>
      <c r="J129" s="2" t="s">
        <v>289</v>
      </c>
      <c r="K129" s="2" t="s">
        <v>289</v>
      </c>
      <c r="L129" s="2" t="s">
        <v>289</v>
      </c>
      <c r="M129" s="2" t="s">
        <v>289</v>
      </c>
      <c r="N129" s="2" t="s">
        <v>289</v>
      </c>
      <c r="O129" s="7">
        <f>210+167</f>
        <v>377</v>
      </c>
      <c r="P129" s="7">
        <f>1182+827</f>
        <v>2009</v>
      </c>
      <c r="Q129" s="7">
        <f>15+5</f>
        <v>20</v>
      </c>
      <c r="R129" s="7">
        <f>38+31</f>
        <v>69</v>
      </c>
      <c r="S129" s="7">
        <f>242+244</f>
        <v>486</v>
      </c>
      <c r="T129" s="7">
        <f>0+2</f>
        <v>2</v>
      </c>
      <c r="U129" s="7">
        <f>2+2</f>
        <v>4</v>
      </c>
      <c r="V129" s="2" t="s">
        <v>67</v>
      </c>
      <c r="W129" s="2" t="s">
        <v>4</v>
      </c>
    </row>
    <row r="130" spans="1:23" x14ac:dyDescent="0.45">
      <c r="A130" s="2">
        <v>2024</v>
      </c>
      <c r="B130" s="2">
        <v>4</v>
      </c>
      <c r="C130" s="6">
        <v>128</v>
      </c>
      <c r="D130" s="3" t="s">
        <v>10</v>
      </c>
      <c r="E130" s="7" t="s">
        <v>258</v>
      </c>
      <c r="F130" s="14" t="s">
        <v>432</v>
      </c>
      <c r="G130" s="7">
        <v>1.78</v>
      </c>
      <c r="H130" s="7">
        <v>98</v>
      </c>
      <c r="I130" s="7" t="s">
        <v>163</v>
      </c>
      <c r="J130" s="2" t="s">
        <v>289</v>
      </c>
      <c r="K130" s="2" t="s">
        <v>289</v>
      </c>
      <c r="L130" s="2" t="s">
        <v>289</v>
      </c>
      <c r="M130" s="2" t="s">
        <v>289</v>
      </c>
      <c r="N130" s="2" t="s">
        <v>289</v>
      </c>
      <c r="O130" s="7">
        <f>232+199</f>
        <v>431</v>
      </c>
      <c r="P130" s="7">
        <f>1042+1129</f>
        <v>2171</v>
      </c>
      <c r="Q130" s="7">
        <f>5+14</f>
        <v>19</v>
      </c>
      <c r="R130" s="7">
        <f>29+33</f>
        <v>62</v>
      </c>
      <c r="S130" s="7">
        <f>169+323</f>
        <v>492</v>
      </c>
      <c r="T130" s="7">
        <f>3+7</f>
        <v>10</v>
      </c>
      <c r="U130" s="7">
        <v>1</v>
      </c>
      <c r="V130" s="2" t="s">
        <v>31</v>
      </c>
      <c r="W130" s="2" t="s">
        <v>23</v>
      </c>
    </row>
    <row r="131" spans="1:23" x14ac:dyDescent="0.45">
      <c r="A131" s="2">
        <v>2024</v>
      </c>
      <c r="B131" s="2">
        <v>4</v>
      </c>
      <c r="C131" s="6">
        <v>129</v>
      </c>
      <c r="D131" s="3" t="s">
        <v>10</v>
      </c>
      <c r="E131" s="7" t="s">
        <v>268</v>
      </c>
      <c r="F131" s="14" t="s">
        <v>324</v>
      </c>
      <c r="G131" s="7">
        <f>1.83</f>
        <v>1.83</v>
      </c>
      <c r="H131" s="7">
        <v>100</v>
      </c>
      <c r="I131" s="7" t="s">
        <v>166</v>
      </c>
      <c r="J131" s="2" t="s">
        <v>289</v>
      </c>
      <c r="K131" s="2" t="s">
        <v>289</v>
      </c>
      <c r="L131" s="2" t="s">
        <v>289</v>
      </c>
      <c r="M131" s="2" t="s">
        <v>289</v>
      </c>
      <c r="N131" s="2" t="s">
        <v>289</v>
      </c>
      <c r="O131" s="7">
        <f>64+109</f>
        <v>173</v>
      </c>
      <c r="P131" s="7">
        <f>385+649</f>
        <v>1034</v>
      </c>
      <c r="Q131" s="7">
        <f>5+8</f>
        <v>13</v>
      </c>
      <c r="R131" s="7">
        <f>17+17</f>
        <v>34</v>
      </c>
      <c r="S131" s="7">
        <f>115+192</f>
        <v>307</v>
      </c>
      <c r="T131" s="7">
        <f>1+0</f>
        <v>1</v>
      </c>
      <c r="U131" s="7">
        <v>0</v>
      </c>
      <c r="V131" s="2" t="s">
        <v>85</v>
      </c>
      <c r="W131" s="2" t="s">
        <v>4</v>
      </c>
    </row>
    <row r="132" spans="1:23" x14ac:dyDescent="0.45">
      <c r="A132" s="2">
        <v>2024</v>
      </c>
      <c r="B132" s="2" t="s">
        <v>34</v>
      </c>
      <c r="C132" s="6">
        <v>132</v>
      </c>
      <c r="D132" s="3" t="s">
        <v>10</v>
      </c>
      <c r="E132" s="7" t="s">
        <v>269</v>
      </c>
      <c r="F132" s="14" t="s">
        <v>325</v>
      </c>
      <c r="G132" s="7">
        <v>1.8</v>
      </c>
      <c r="H132" s="7">
        <v>95</v>
      </c>
      <c r="I132" s="7" t="s">
        <v>145</v>
      </c>
      <c r="J132" s="2" t="s">
        <v>289</v>
      </c>
      <c r="K132" s="2" t="s">
        <v>289</v>
      </c>
      <c r="L132" s="2" t="s">
        <v>289</v>
      </c>
      <c r="M132" s="2" t="s">
        <v>289</v>
      </c>
      <c r="N132" s="2" t="s">
        <v>289</v>
      </c>
      <c r="O132" s="7">
        <f>42</f>
        <v>42</v>
      </c>
      <c r="P132" s="7">
        <v>317</v>
      </c>
      <c r="Q132" s="7">
        <v>2</v>
      </c>
      <c r="R132" s="7">
        <f>11</f>
        <v>11</v>
      </c>
      <c r="S132" s="7">
        <v>203</v>
      </c>
      <c r="T132" s="7">
        <v>3</v>
      </c>
      <c r="U132" s="7">
        <v>0</v>
      </c>
      <c r="V132" s="2" t="s">
        <v>70</v>
      </c>
      <c r="W132" s="2" t="s">
        <v>6</v>
      </c>
    </row>
    <row r="133" spans="1:23" x14ac:dyDescent="0.45">
      <c r="A133" s="2">
        <v>2024</v>
      </c>
      <c r="B133" s="2" t="s">
        <v>34</v>
      </c>
      <c r="C133" s="6">
        <v>134</v>
      </c>
      <c r="D133" s="3" t="s">
        <v>10</v>
      </c>
      <c r="E133" s="7" t="s">
        <v>240</v>
      </c>
      <c r="F133" s="14" t="s">
        <v>433</v>
      </c>
      <c r="G133" s="7">
        <v>1.88</v>
      </c>
      <c r="H133" s="7">
        <v>108</v>
      </c>
      <c r="I133" s="7" t="s">
        <v>171</v>
      </c>
      <c r="J133" s="2" t="s">
        <v>289</v>
      </c>
      <c r="K133" s="2" t="s">
        <v>289</v>
      </c>
      <c r="L133" s="2" t="s">
        <v>289</v>
      </c>
      <c r="M133" s="2" t="s">
        <v>289</v>
      </c>
      <c r="N133" s="2" t="s">
        <v>289</v>
      </c>
      <c r="O133" s="7">
        <f>230+181</f>
        <v>411</v>
      </c>
      <c r="P133" s="7">
        <f>1242+984</f>
        <v>2226</v>
      </c>
      <c r="Q133" s="7">
        <f>11+12</f>
        <v>23</v>
      </c>
      <c r="R133" s="7">
        <f>13+28</f>
        <v>41</v>
      </c>
      <c r="S133" s="7">
        <f>104+131</f>
        <v>235</v>
      </c>
      <c r="T133" s="7">
        <v>0</v>
      </c>
      <c r="U133" s="7">
        <v>0</v>
      </c>
      <c r="V133" s="2" t="s">
        <v>42</v>
      </c>
      <c r="W133" s="2" t="s">
        <v>13</v>
      </c>
    </row>
    <row r="134" spans="1:23" x14ac:dyDescent="0.45">
      <c r="A134" s="2">
        <v>2024</v>
      </c>
      <c r="B134" s="2">
        <v>5</v>
      </c>
      <c r="C134" s="6">
        <v>147</v>
      </c>
      <c r="D134" s="3" t="s">
        <v>10</v>
      </c>
      <c r="E134" s="7" t="s">
        <v>242</v>
      </c>
      <c r="F134" s="14" t="s">
        <v>434</v>
      </c>
      <c r="G134" s="7">
        <v>1.8</v>
      </c>
      <c r="H134" s="7">
        <v>106</v>
      </c>
      <c r="I134" s="7" t="s">
        <v>0</v>
      </c>
      <c r="J134" s="2" t="s">
        <v>289</v>
      </c>
      <c r="K134" s="2" t="s">
        <v>289</v>
      </c>
      <c r="L134" s="2" t="s">
        <v>289</v>
      </c>
      <c r="M134" s="2" t="s">
        <v>289</v>
      </c>
      <c r="N134" s="2" t="s">
        <v>289</v>
      </c>
      <c r="O134" s="7">
        <f>156+210</f>
        <v>366</v>
      </c>
      <c r="P134" s="7">
        <f>920+1341</f>
        <v>2261</v>
      </c>
      <c r="Q134" s="7">
        <f>11+18</f>
        <v>29</v>
      </c>
      <c r="R134" s="7">
        <f>9+17</f>
        <v>26</v>
      </c>
      <c r="S134" s="7">
        <f>135+142</f>
        <v>277</v>
      </c>
      <c r="T134" s="7">
        <f>1+0</f>
        <v>1</v>
      </c>
      <c r="U134" s="7">
        <v>0</v>
      </c>
      <c r="V134" s="2" t="s">
        <v>15</v>
      </c>
      <c r="W134" s="2" t="s">
        <v>14</v>
      </c>
    </row>
    <row r="135" spans="1:23" x14ac:dyDescent="0.45">
      <c r="A135" s="2">
        <v>2024</v>
      </c>
      <c r="B135" s="2">
        <v>1</v>
      </c>
      <c r="C135" s="6">
        <v>4</v>
      </c>
      <c r="D135" s="3" t="s">
        <v>17</v>
      </c>
      <c r="E135" s="7" t="s">
        <v>291</v>
      </c>
      <c r="F135" s="14" t="s">
        <v>437</v>
      </c>
      <c r="G135" s="7">
        <v>1.9</v>
      </c>
      <c r="H135" s="7">
        <v>91</v>
      </c>
      <c r="I135" s="7" t="s">
        <v>161</v>
      </c>
      <c r="J135" s="2" t="s">
        <v>289</v>
      </c>
      <c r="K135" s="2" t="s">
        <v>289</v>
      </c>
      <c r="L135" s="2" t="s">
        <v>289</v>
      </c>
      <c r="M135" s="2" t="s">
        <v>289</v>
      </c>
      <c r="N135" s="2" t="s">
        <v>289</v>
      </c>
      <c r="O135" s="7">
        <f>2+2</f>
        <v>4</v>
      </c>
      <c r="P135" s="7">
        <f>32+26</f>
        <v>58</v>
      </c>
      <c r="Q135" s="7">
        <f>0+1</f>
        <v>1</v>
      </c>
      <c r="R135" s="7">
        <f>77+67</f>
        <v>144</v>
      </c>
      <c r="S135" s="7">
        <f>1263+1211</f>
        <v>2474</v>
      </c>
      <c r="T135" s="7">
        <f>12+14</f>
        <v>26</v>
      </c>
      <c r="U135" s="7">
        <v>0</v>
      </c>
      <c r="V135" s="2" t="s">
        <v>20</v>
      </c>
      <c r="W135" s="2" t="s">
        <v>13</v>
      </c>
    </row>
    <row r="136" spans="1:23" x14ac:dyDescent="0.45">
      <c r="A136" s="2">
        <v>2024</v>
      </c>
      <c r="B136" s="2">
        <v>1</v>
      </c>
      <c r="C136" s="6">
        <v>6</v>
      </c>
      <c r="D136" s="3" t="s">
        <v>17</v>
      </c>
      <c r="E136" s="7" t="s">
        <v>292</v>
      </c>
      <c r="F136" s="14" t="s">
        <v>438</v>
      </c>
      <c r="G136" s="7">
        <v>1.83</v>
      </c>
      <c r="H136" s="7">
        <v>91</v>
      </c>
      <c r="I136" s="7" t="s">
        <v>159</v>
      </c>
      <c r="J136" s="2" t="s">
        <v>289</v>
      </c>
      <c r="K136" s="2" t="s">
        <v>289</v>
      </c>
      <c r="L136" s="2" t="s">
        <v>289</v>
      </c>
      <c r="M136" s="2" t="s">
        <v>289</v>
      </c>
      <c r="N136" s="2" t="s">
        <v>289</v>
      </c>
      <c r="O136" s="7">
        <f>1+1</f>
        <v>2</v>
      </c>
      <c r="P136" s="7">
        <f>5+1</f>
        <v>6</v>
      </c>
      <c r="Q136" s="7">
        <v>0</v>
      </c>
      <c r="R136" s="7">
        <f>72+89</f>
        <v>161</v>
      </c>
      <c r="S136" s="7">
        <f>1017+1569</f>
        <v>2586</v>
      </c>
      <c r="T136" s="7">
        <f>3+14</f>
        <v>17</v>
      </c>
      <c r="U136" s="7">
        <v>0</v>
      </c>
      <c r="V136" s="2" t="s">
        <v>45</v>
      </c>
      <c r="W136" s="2" t="s">
        <v>23</v>
      </c>
    </row>
    <row r="137" spans="1:23" x14ac:dyDescent="0.45">
      <c r="A137" s="2">
        <v>2024</v>
      </c>
      <c r="B137" s="2">
        <v>1</v>
      </c>
      <c r="C137" s="6">
        <v>9</v>
      </c>
      <c r="D137" s="3" t="s">
        <v>17</v>
      </c>
      <c r="E137" s="7" t="s">
        <v>229</v>
      </c>
      <c r="F137" s="14" t="s">
        <v>439</v>
      </c>
      <c r="G137" s="7">
        <v>1.91</v>
      </c>
      <c r="H137" s="7">
        <v>98</v>
      </c>
      <c r="I137" s="7" t="s">
        <v>170</v>
      </c>
      <c r="J137" s="2" t="s">
        <v>289</v>
      </c>
      <c r="K137" s="2" t="s">
        <v>289</v>
      </c>
      <c r="L137" s="2" t="s">
        <v>289</v>
      </c>
      <c r="M137" s="2" t="s">
        <v>289</v>
      </c>
      <c r="N137" s="2" t="s">
        <v>289</v>
      </c>
      <c r="O137" s="7">
        <f>3+2</f>
        <v>5</v>
      </c>
      <c r="P137" s="7">
        <f>6+37</f>
        <v>43</v>
      </c>
      <c r="Q137" s="7">
        <f>1+1</f>
        <v>2</v>
      </c>
      <c r="R137" s="7">
        <f>75+92</f>
        <v>167</v>
      </c>
      <c r="S137" s="7">
        <f>1145+1640</f>
        <v>2785</v>
      </c>
      <c r="T137" s="7">
        <f>7+13</f>
        <v>20</v>
      </c>
      <c r="U137" s="7">
        <v>0</v>
      </c>
      <c r="V137" s="2" t="s">
        <v>7</v>
      </c>
      <c r="W137" s="2" t="s">
        <v>6</v>
      </c>
    </row>
    <row r="138" spans="1:23" x14ac:dyDescent="0.45">
      <c r="A138" s="2">
        <v>2024</v>
      </c>
      <c r="B138" s="2">
        <v>1</v>
      </c>
      <c r="C138" s="6">
        <v>23</v>
      </c>
      <c r="D138" s="3" t="s">
        <v>17</v>
      </c>
      <c r="E138" s="7" t="s">
        <v>235</v>
      </c>
      <c r="F138" s="14" t="s">
        <v>440</v>
      </c>
      <c r="G138" s="7">
        <v>1.93</v>
      </c>
      <c r="H138" s="7">
        <v>93</v>
      </c>
      <c r="I138" s="7" t="s">
        <v>150</v>
      </c>
      <c r="J138" s="2" t="s">
        <v>289</v>
      </c>
      <c r="K138" s="2" t="s">
        <v>289</v>
      </c>
      <c r="L138" s="2" t="s">
        <v>289</v>
      </c>
      <c r="M138" s="2" t="s">
        <v>289</v>
      </c>
      <c r="N138" s="2" t="s">
        <v>289</v>
      </c>
      <c r="O138" s="7">
        <f>2+1</f>
        <v>3</v>
      </c>
      <c r="P138" s="7">
        <v>0</v>
      </c>
      <c r="Q138" s="7">
        <v>0</v>
      </c>
      <c r="R138" s="7">
        <f>31+68</f>
        <v>99</v>
      </c>
      <c r="S138" s="7">
        <f>361+1177</f>
        <v>1538</v>
      </c>
      <c r="T138" s="7">
        <f>5+17</f>
        <v>22</v>
      </c>
      <c r="U138" s="7">
        <v>0</v>
      </c>
      <c r="V138" s="2" t="s">
        <v>45</v>
      </c>
      <c r="W138" s="2" t="s">
        <v>23</v>
      </c>
    </row>
    <row r="139" spans="1:23" x14ac:dyDescent="0.45">
      <c r="A139" s="2">
        <v>2024</v>
      </c>
      <c r="B139" s="2">
        <v>1</v>
      </c>
      <c r="C139" s="6">
        <v>28</v>
      </c>
      <c r="D139" s="3" t="s">
        <v>17</v>
      </c>
      <c r="E139" s="7" t="s">
        <v>228</v>
      </c>
      <c r="F139" s="14" t="s">
        <v>441</v>
      </c>
      <c r="G139" s="7">
        <v>1.85</v>
      </c>
      <c r="H139" s="7">
        <v>78</v>
      </c>
      <c r="I139" s="7" t="s">
        <v>157</v>
      </c>
      <c r="J139" s="2" t="s">
        <v>289</v>
      </c>
      <c r="K139" s="2" t="s">
        <v>289</v>
      </c>
      <c r="L139" s="2" t="s">
        <v>289</v>
      </c>
      <c r="M139" s="2" t="s">
        <v>289</v>
      </c>
      <c r="N139" s="2" t="s">
        <v>289</v>
      </c>
      <c r="O139" s="7">
        <f>2+4</f>
        <v>6</v>
      </c>
      <c r="P139" s="7">
        <f>14+35</f>
        <v>49</v>
      </c>
      <c r="Q139" s="7">
        <v>0</v>
      </c>
      <c r="R139" s="7">
        <f>60+75</f>
        <v>135</v>
      </c>
      <c r="S139" s="7">
        <f>760+1014</f>
        <v>1774</v>
      </c>
      <c r="T139" s="7">
        <f>9+5</f>
        <v>14</v>
      </c>
      <c r="U139" s="7">
        <v>0</v>
      </c>
      <c r="V139" s="2" t="s">
        <v>81</v>
      </c>
      <c r="W139" s="2" t="s">
        <v>26</v>
      </c>
    </row>
    <row r="140" spans="1:23" x14ac:dyDescent="0.45">
      <c r="A140" s="2">
        <v>2024</v>
      </c>
      <c r="B140" s="2">
        <v>1</v>
      </c>
      <c r="C140" s="6">
        <v>31</v>
      </c>
      <c r="D140" s="3" t="s">
        <v>17</v>
      </c>
      <c r="E140" s="7" t="s">
        <v>262</v>
      </c>
      <c r="F140" s="14" t="s">
        <v>442</v>
      </c>
      <c r="G140" s="7">
        <v>1.85</v>
      </c>
      <c r="H140" s="7">
        <v>86</v>
      </c>
      <c r="I140" s="7" t="s">
        <v>166</v>
      </c>
      <c r="J140" s="2" t="s">
        <v>289</v>
      </c>
      <c r="K140" s="2" t="s">
        <v>289</v>
      </c>
      <c r="L140" s="2" t="s">
        <v>289</v>
      </c>
      <c r="M140" s="2" t="s">
        <v>289</v>
      </c>
      <c r="N140" s="2" t="s">
        <v>289</v>
      </c>
      <c r="O140" s="7">
        <f>8+3</f>
        <v>11</v>
      </c>
      <c r="P140" s="7">
        <f>113+62</f>
        <v>175</v>
      </c>
      <c r="Q140" s="7">
        <f>1+2</f>
        <v>3</v>
      </c>
      <c r="R140" s="7">
        <f>33+65</f>
        <v>98</v>
      </c>
      <c r="S140" s="7">
        <f>661+965</f>
        <v>1626</v>
      </c>
      <c r="T140" s="7">
        <f>5+4</f>
        <v>9</v>
      </c>
      <c r="U140" s="7">
        <v>0</v>
      </c>
      <c r="V140" s="2" t="s">
        <v>50</v>
      </c>
      <c r="W140" s="2" t="s">
        <v>23</v>
      </c>
    </row>
    <row r="141" spans="1:23" x14ac:dyDescent="0.45">
      <c r="A141" s="2">
        <v>2024</v>
      </c>
      <c r="B141" s="2">
        <v>1</v>
      </c>
      <c r="C141" s="6">
        <v>32</v>
      </c>
      <c r="D141" s="3" t="s">
        <v>17</v>
      </c>
      <c r="E141" s="7" t="s">
        <v>237</v>
      </c>
      <c r="F141" s="14" t="s">
        <v>443</v>
      </c>
      <c r="G141" s="7">
        <v>1.91</v>
      </c>
      <c r="H141" s="7">
        <v>103</v>
      </c>
      <c r="I141" s="7" t="s">
        <v>141</v>
      </c>
      <c r="J141" s="2" t="s">
        <v>289</v>
      </c>
      <c r="K141" s="2" t="s">
        <v>289</v>
      </c>
      <c r="L141" s="2" t="s">
        <v>289</v>
      </c>
      <c r="M141" s="2" t="s">
        <v>289</v>
      </c>
      <c r="N141" s="2" t="s">
        <v>289</v>
      </c>
      <c r="O141" s="7">
        <f>7+9</f>
        <v>16</v>
      </c>
      <c r="P141" s="7">
        <f>21-9</f>
        <v>12</v>
      </c>
      <c r="Q141" s="7">
        <v>0</v>
      </c>
      <c r="R141" s="7">
        <f>18+71</f>
        <v>89</v>
      </c>
      <c r="S141" s="7">
        <f>167+1255</f>
        <v>1422</v>
      </c>
      <c r="T141" s="7">
        <f>3+7</f>
        <v>10</v>
      </c>
      <c r="U141" s="7">
        <v>0</v>
      </c>
      <c r="V141" s="2" t="s">
        <v>80</v>
      </c>
      <c r="W141" s="2" t="s">
        <v>23</v>
      </c>
    </row>
    <row r="142" spans="1:23" x14ac:dyDescent="0.45">
      <c r="A142" s="2">
        <v>2024</v>
      </c>
      <c r="B142" s="2">
        <v>2</v>
      </c>
      <c r="C142" s="6">
        <v>33</v>
      </c>
      <c r="D142" s="3" t="s">
        <v>17</v>
      </c>
      <c r="E142" s="7" t="s">
        <v>230</v>
      </c>
      <c r="F142" s="14" t="s">
        <v>444</v>
      </c>
      <c r="G142" s="7">
        <v>1.93</v>
      </c>
      <c r="H142" s="7">
        <v>98</v>
      </c>
      <c r="I142" s="7" t="s">
        <v>163</v>
      </c>
      <c r="J142" s="2" t="s">
        <v>289</v>
      </c>
      <c r="K142" s="2" t="s">
        <v>289</v>
      </c>
      <c r="L142" s="2" t="s">
        <v>289</v>
      </c>
      <c r="M142" s="2" t="s">
        <v>289</v>
      </c>
      <c r="N142" s="2" t="s">
        <v>289</v>
      </c>
      <c r="O142" s="7">
        <v>1</v>
      </c>
      <c r="P142" s="7">
        <v>2</v>
      </c>
      <c r="Q142" s="7">
        <v>0</v>
      </c>
      <c r="R142" s="7">
        <f>58+50</f>
        <v>108</v>
      </c>
      <c r="S142" s="7">
        <f>798+658</f>
        <v>1456</v>
      </c>
      <c r="T142" s="7">
        <f>7+11</f>
        <v>18</v>
      </c>
      <c r="U142" s="7">
        <v>0</v>
      </c>
      <c r="V142" s="2" t="s">
        <v>71</v>
      </c>
      <c r="W142" s="2" t="s">
        <v>4</v>
      </c>
    </row>
    <row r="143" spans="1:23" x14ac:dyDescent="0.45">
      <c r="A143" s="2">
        <v>2024</v>
      </c>
      <c r="B143" s="2">
        <v>2</v>
      </c>
      <c r="C143" s="6">
        <v>34</v>
      </c>
      <c r="D143" s="3" t="s">
        <v>17</v>
      </c>
      <c r="E143" s="7" t="s">
        <v>238</v>
      </c>
      <c r="F143" s="14" t="s">
        <v>445</v>
      </c>
      <c r="G143" s="7">
        <v>1.83</v>
      </c>
      <c r="H143" s="7">
        <v>84</v>
      </c>
      <c r="I143" s="7" t="s">
        <v>153</v>
      </c>
      <c r="J143" s="2" t="s">
        <v>289</v>
      </c>
      <c r="K143" s="2" t="s">
        <v>289</v>
      </c>
      <c r="L143" s="2" t="s">
        <v>289</v>
      </c>
      <c r="M143" s="2" t="s">
        <v>289</v>
      </c>
      <c r="N143" s="2" t="s">
        <v>289</v>
      </c>
      <c r="O143" s="7">
        <f>7+1</f>
        <v>8</v>
      </c>
      <c r="P143" s="7">
        <f>134+11</f>
        <v>145</v>
      </c>
      <c r="Q143" s="7">
        <f>2+0</f>
        <v>2</v>
      </c>
      <c r="R143" s="7">
        <f>58+30</f>
        <v>88</v>
      </c>
      <c r="S143" s="7">
        <f>762+478</f>
        <v>1240</v>
      </c>
      <c r="T143" s="7">
        <f>7+2</f>
        <v>9</v>
      </c>
      <c r="U143" s="7">
        <v>0</v>
      </c>
      <c r="V143" s="2" t="s">
        <v>39</v>
      </c>
      <c r="W143" s="2" t="s">
        <v>23</v>
      </c>
    </row>
    <row r="144" spans="1:23" x14ac:dyDescent="0.45">
      <c r="A144" s="2">
        <v>2024</v>
      </c>
      <c r="B144" s="2">
        <v>2</v>
      </c>
      <c r="C144" s="6">
        <v>37</v>
      </c>
      <c r="D144" s="3" t="s">
        <v>17</v>
      </c>
      <c r="E144" s="7" t="s">
        <v>254</v>
      </c>
      <c r="F144" s="14" t="s">
        <v>446</v>
      </c>
      <c r="G144" s="7">
        <v>1.88</v>
      </c>
      <c r="H144" s="7">
        <v>93</v>
      </c>
      <c r="I144" s="7" t="s">
        <v>182</v>
      </c>
      <c r="J144" s="2" t="s">
        <v>289</v>
      </c>
      <c r="K144" s="2" t="s">
        <v>289</v>
      </c>
      <c r="L144" s="2" t="s">
        <v>289</v>
      </c>
      <c r="M144" s="2" t="s">
        <v>289</v>
      </c>
      <c r="N144" s="2" t="s">
        <v>289</v>
      </c>
      <c r="O144" s="7">
        <f>1+4</f>
        <v>5</v>
      </c>
      <c r="P144" s="7">
        <f>15+32</f>
        <v>47</v>
      </c>
      <c r="Q144" s="7">
        <f>0+1</f>
        <v>1</v>
      </c>
      <c r="R144" s="7">
        <f>41+69</f>
        <v>110</v>
      </c>
      <c r="S144" s="7">
        <f>694+1159</f>
        <v>1853</v>
      </c>
      <c r="T144" s="7">
        <f>6+9</f>
        <v>15</v>
      </c>
      <c r="U144" s="7">
        <v>0</v>
      </c>
      <c r="V144" s="2" t="s">
        <v>7</v>
      </c>
      <c r="W144" s="2" t="s">
        <v>6</v>
      </c>
    </row>
    <row r="145" spans="1:23" x14ac:dyDescent="0.45">
      <c r="A145" s="2">
        <v>2024</v>
      </c>
      <c r="B145" s="2">
        <v>2</v>
      </c>
      <c r="C145" s="6">
        <v>52</v>
      </c>
      <c r="D145" s="3" t="s">
        <v>17</v>
      </c>
      <c r="E145" s="7" t="s">
        <v>239</v>
      </c>
      <c r="F145" s="14" t="s">
        <v>440</v>
      </c>
      <c r="G145" s="7">
        <v>1.93</v>
      </c>
      <c r="H145" s="7">
        <v>89</v>
      </c>
      <c r="I145" s="7" t="s">
        <v>143</v>
      </c>
      <c r="J145" s="2" t="s">
        <v>289</v>
      </c>
      <c r="K145" s="2" t="s">
        <v>289</v>
      </c>
      <c r="L145" s="2" t="s">
        <v>289</v>
      </c>
      <c r="M145" s="2" t="s">
        <v>289</v>
      </c>
      <c r="N145" s="2" t="s">
        <v>289</v>
      </c>
      <c r="O145" s="7">
        <v>2</v>
      </c>
      <c r="P145" s="7">
        <v>1</v>
      </c>
      <c r="Q145" s="7">
        <v>0</v>
      </c>
      <c r="R145" s="7">
        <f>9+55</f>
        <v>64</v>
      </c>
      <c r="S145" s="7">
        <f>134+845</f>
        <v>979</v>
      </c>
      <c r="T145" s="7">
        <f>3+11</f>
        <v>14</v>
      </c>
      <c r="U145" s="7">
        <v>0</v>
      </c>
      <c r="V145" s="2" t="s">
        <v>81</v>
      </c>
      <c r="W145" s="2" t="s">
        <v>26</v>
      </c>
    </row>
    <row r="146" spans="1:23" x14ac:dyDescent="0.45">
      <c r="A146" s="2">
        <v>2024</v>
      </c>
      <c r="B146" s="2">
        <v>3</v>
      </c>
      <c r="C146" s="6">
        <v>65</v>
      </c>
      <c r="D146" s="3" t="s">
        <v>17</v>
      </c>
      <c r="E146" s="7" t="s">
        <v>241</v>
      </c>
      <c r="F146" s="14" t="s">
        <v>306</v>
      </c>
      <c r="G146" s="7">
        <v>1.8</v>
      </c>
      <c r="H146" s="7">
        <v>95</v>
      </c>
      <c r="I146" s="7" t="s">
        <v>171</v>
      </c>
      <c r="J146" s="2" t="s">
        <v>289</v>
      </c>
      <c r="K146" s="2" t="s">
        <v>289</v>
      </c>
      <c r="L146" s="2" t="s">
        <v>289</v>
      </c>
      <c r="M146" s="2" t="s">
        <v>289</v>
      </c>
      <c r="N146" s="2" t="s">
        <v>289</v>
      </c>
      <c r="O146" s="7">
        <f>11+4</f>
        <v>15</v>
      </c>
      <c r="P146" s="7">
        <f>87+11</f>
        <v>98</v>
      </c>
      <c r="Q146" s="7">
        <f>0</f>
        <v>0</v>
      </c>
      <c r="R146" s="7">
        <f>101+79</f>
        <v>180</v>
      </c>
      <c r="S146" s="7">
        <f>1293+984</f>
        <v>2277</v>
      </c>
      <c r="T146" s="7">
        <f>11+11</f>
        <v>22</v>
      </c>
      <c r="U146" s="7">
        <v>0</v>
      </c>
      <c r="V146" s="2" t="s">
        <v>37</v>
      </c>
      <c r="W146" s="2" t="s">
        <v>260</v>
      </c>
    </row>
    <row r="147" spans="1:23" x14ac:dyDescent="0.45">
      <c r="A147" s="2">
        <v>2024</v>
      </c>
      <c r="B147" s="2">
        <v>3</v>
      </c>
      <c r="C147" s="6">
        <v>80</v>
      </c>
      <c r="D147" s="3" t="s">
        <v>17</v>
      </c>
      <c r="E147" s="7" t="s">
        <v>263</v>
      </c>
      <c r="F147" s="14" t="s">
        <v>447</v>
      </c>
      <c r="G147" s="7">
        <v>1.83</v>
      </c>
      <c r="H147" s="7">
        <v>89</v>
      </c>
      <c r="I147" s="7" t="s">
        <v>172</v>
      </c>
      <c r="J147" s="2" t="s">
        <v>289</v>
      </c>
      <c r="K147" s="2" t="s">
        <v>289</v>
      </c>
      <c r="L147" s="2" t="s">
        <v>289</v>
      </c>
      <c r="M147" s="2" t="s">
        <v>289</v>
      </c>
      <c r="N147" s="2" t="s">
        <v>289</v>
      </c>
      <c r="O147" s="7">
        <f>4</f>
        <v>4</v>
      </c>
      <c r="P147" s="7">
        <f>50</f>
        <v>50</v>
      </c>
      <c r="Q147" s="7">
        <f>0</f>
        <v>0</v>
      </c>
      <c r="R147" s="7">
        <f>40+39</f>
        <v>79</v>
      </c>
      <c r="S147" s="7">
        <f>677+789</f>
        <v>1466</v>
      </c>
      <c r="T147" s="7">
        <f>7+8</f>
        <v>15</v>
      </c>
      <c r="U147" s="7">
        <v>0</v>
      </c>
      <c r="V147" s="2" t="s">
        <v>47</v>
      </c>
      <c r="W147" s="2" t="s">
        <v>23</v>
      </c>
    </row>
    <row r="148" spans="1:23" x14ac:dyDescent="0.45">
      <c r="A148" s="2">
        <v>2024</v>
      </c>
      <c r="B148" s="2">
        <v>3</v>
      </c>
      <c r="C148" s="6">
        <v>84</v>
      </c>
      <c r="D148" s="3" t="s">
        <v>17</v>
      </c>
      <c r="E148" s="7" t="s">
        <v>256</v>
      </c>
      <c r="F148" s="14" t="s">
        <v>448</v>
      </c>
      <c r="G148" s="7">
        <v>1.83</v>
      </c>
      <c r="H148" s="7">
        <v>87</v>
      </c>
      <c r="I148" s="7" t="s">
        <v>165</v>
      </c>
      <c r="J148" s="2" t="s">
        <v>289</v>
      </c>
      <c r="K148" s="2" t="s">
        <v>289</v>
      </c>
      <c r="L148" s="2" t="s">
        <v>289</v>
      </c>
      <c r="M148" s="2" t="s">
        <v>289</v>
      </c>
      <c r="N148" s="2" t="s">
        <v>289</v>
      </c>
      <c r="O148" s="7">
        <f>2+1</f>
        <v>3</v>
      </c>
      <c r="P148" s="7">
        <f>39+10</f>
        <v>49</v>
      </c>
      <c r="Q148" s="7">
        <f>2+0</f>
        <v>2</v>
      </c>
      <c r="R148" s="7">
        <f>25+48</f>
        <v>73</v>
      </c>
      <c r="S148" s="7">
        <f>376+789</f>
        <v>1165</v>
      </c>
      <c r="T148" s="7">
        <f>4+12</f>
        <v>16</v>
      </c>
      <c r="U148" s="7">
        <v>0</v>
      </c>
      <c r="V148" s="2" t="s">
        <v>40</v>
      </c>
      <c r="W148" s="2" t="s">
        <v>13</v>
      </c>
    </row>
    <row r="149" spans="1:23" x14ac:dyDescent="0.45">
      <c r="A149" s="2">
        <v>2024</v>
      </c>
      <c r="B149" s="2">
        <v>3</v>
      </c>
      <c r="C149" s="6">
        <v>92</v>
      </c>
      <c r="D149" s="3" t="s">
        <v>17</v>
      </c>
      <c r="E149" s="7" t="s">
        <v>243</v>
      </c>
      <c r="F149" s="14" t="s">
        <v>449</v>
      </c>
      <c r="G149" s="7">
        <v>1.85</v>
      </c>
      <c r="H149" s="7">
        <v>86</v>
      </c>
      <c r="I149" s="7" t="s">
        <v>183</v>
      </c>
      <c r="J149" s="2" t="s">
        <v>289</v>
      </c>
      <c r="K149" s="2" t="s">
        <v>289</v>
      </c>
      <c r="L149" s="2" t="s">
        <v>289</v>
      </c>
      <c r="M149" s="2" t="s">
        <v>289</v>
      </c>
      <c r="N149" s="2" t="s">
        <v>289</v>
      </c>
      <c r="O149" s="7">
        <f>1+3</f>
        <v>4</v>
      </c>
      <c r="P149" s="7">
        <f>2+30</f>
        <v>32</v>
      </c>
      <c r="Q149" s="7">
        <f>0+1</f>
        <v>1</v>
      </c>
      <c r="R149" s="7">
        <f>79+45</f>
        <v>124</v>
      </c>
      <c r="S149" s="7">
        <f>1098+559</f>
        <v>1657</v>
      </c>
      <c r="T149" s="7">
        <f>9+5</f>
        <v>14</v>
      </c>
      <c r="U149" s="7">
        <v>0</v>
      </c>
      <c r="V149" s="2" t="s">
        <v>7</v>
      </c>
      <c r="W149" s="2" t="s">
        <v>6</v>
      </c>
    </row>
    <row r="150" spans="1:23" x14ac:dyDescent="0.45">
      <c r="A150" s="2">
        <v>2024</v>
      </c>
      <c r="B150" s="2" t="s">
        <v>52</v>
      </c>
      <c r="C150" s="6">
        <v>100</v>
      </c>
      <c r="D150" s="3" t="s">
        <v>17</v>
      </c>
      <c r="E150" s="7" t="s">
        <v>264</v>
      </c>
      <c r="F150" s="14" t="s">
        <v>308</v>
      </c>
      <c r="G150" s="7">
        <v>1.88</v>
      </c>
      <c r="H150" s="7">
        <v>90</v>
      </c>
      <c r="I150" s="7" t="s">
        <v>173</v>
      </c>
      <c r="J150" s="2" t="s">
        <v>289</v>
      </c>
      <c r="K150" s="2" t="s">
        <v>289</v>
      </c>
      <c r="L150" s="2" t="s">
        <v>289</v>
      </c>
      <c r="M150" s="2" t="s">
        <v>289</v>
      </c>
      <c r="N150" s="2" t="s">
        <v>289</v>
      </c>
      <c r="O150" s="7">
        <f>12+15</f>
        <v>27</v>
      </c>
      <c r="P150" s="7">
        <f>148+117</f>
        <v>265</v>
      </c>
      <c r="Q150" s="7">
        <f>1+0</f>
        <v>1</v>
      </c>
      <c r="R150" s="7">
        <f>58+71</f>
        <v>129</v>
      </c>
      <c r="S150" s="7">
        <f>723+992</f>
        <v>1715</v>
      </c>
      <c r="T150" s="7">
        <f>6+13</f>
        <v>19</v>
      </c>
      <c r="U150" s="7">
        <f>0</f>
        <v>0</v>
      </c>
      <c r="V150" s="2" t="s">
        <v>261</v>
      </c>
      <c r="W150" s="2" t="s">
        <v>21</v>
      </c>
    </row>
    <row r="151" spans="1:23" x14ac:dyDescent="0.45">
      <c r="A151" s="2">
        <v>2024</v>
      </c>
      <c r="B151" s="2">
        <v>4</v>
      </c>
      <c r="C151" s="6">
        <v>102</v>
      </c>
      <c r="D151" s="3" t="s">
        <v>17</v>
      </c>
      <c r="E151" s="7" t="s">
        <v>227</v>
      </c>
      <c r="F151" s="14" t="s">
        <v>450</v>
      </c>
      <c r="G151" s="7">
        <v>1.91</v>
      </c>
      <c r="H151" s="7">
        <v>85</v>
      </c>
      <c r="I151" s="7" t="s">
        <v>158</v>
      </c>
      <c r="J151" s="2" t="s">
        <v>289</v>
      </c>
      <c r="K151" s="2" t="s">
        <v>289</v>
      </c>
      <c r="L151" s="2" t="s">
        <v>289</v>
      </c>
      <c r="M151" s="2" t="s">
        <v>289</v>
      </c>
      <c r="N151" s="2" t="s">
        <v>289</v>
      </c>
      <c r="O151" s="7">
        <v>0</v>
      </c>
      <c r="P151" s="7">
        <v>0</v>
      </c>
      <c r="Q151" s="7">
        <v>0</v>
      </c>
      <c r="R151" s="7">
        <f>61+81</f>
        <v>142</v>
      </c>
      <c r="S151" s="7">
        <f>891+1383</f>
        <v>2274</v>
      </c>
      <c r="T151" s="7">
        <f>9+14</f>
        <v>23</v>
      </c>
      <c r="U151" s="7">
        <v>0</v>
      </c>
      <c r="V151" s="2" t="s">
        <v>74</v>
      </c>
      <c r="W151" s="2" t="s">
        <v>6</v>
      </c>
    </row>
    <row r="152" spans="1:23" x14ac:dyDescent="0.45">
      <c r="A152" s="2">
        <v>2024</v>
      </c>
      <c r="B152" s="2">
        <v>4</v>
      </c>
      <c r="C152" s="6">
        <v>110</v>
      </c>
      <c r="D152" s="3" t="s">
        <v>17</v>
      </c>
      <c r="E152" s="7" t="s">
        <v>265</v>
      </c>
      <c r="F152" s="14" t="s">
        <v>451</v>
      </c>
      <c r="G152" s="7">
        <v>1.85</v>
      </c>
      <c r="H152" s="7">
        <v>94</v>
      </c>
      <c r="I152" s="7" t="s">
        <v>182</v>
      </c>
      <c r="J152" s="2" t="s">
        <v>289</v>
      </c>
      <c r="K152" s="2" t="s">
        <v>289</v>
      </c>
      <c r="L152" s="2" t="s">
        <v>289</v>
      </c>
      <c r="M152" s="2" t="s">
        <v>289</v>
      </c>
      <c r="N152" s="2" t="s">
        <v>289</v>
      </c>
      <c r="O152" s="7">
        <v>0</v>
      </c>
      <c r="P152" s="7">
        <v>0</v>
      </c>
      <c r="Q152" s="7">
        <v>0</v>
      </c>
      <c r="R152" s="7">
        <f>56+52</f>
        <v>108</v>
      </c>
      <c r="S152" s="7">
        <f>796+1139</f>
        <v>1935</v>
      </c>
      <c r="T152" s="7">
        <f>5+7</f>
        <v>12</v>
      </c>
      <c r="U152" s="7">
        <v>0</v>
      </c>
      <c r="V152" s="2" t="s">
        <v>77</v>
      </c>
      <c r="W152" s="2" t="s">
        <v>26</v>
      </c>
    </row>
    <row r="153" spans="1:23" x14ac:dyDescent="0.45">
      <c r="A153" s="2">
        <v>2024</v>
      </c>
      <c r="B153" s="2">
        <v>4</v>
      </c>
      <c r="C153" s="6">
        <v>113</v>
      </c>
      <c r="D153" s="3" t="s">
        <v>17</v>
      </c>
      <c r="E153" s="7" t="s">
        <v>255</v>
      </c>
      <c r="F153" s="14" t="s">
        <v>448</v>
      </c>
      <c r="G153" s="7">
        <v>1.88</v>
      </c>
      <c r="H153" s="7">
        <v>91</v>
      </c>
      <c r="I153" s="7" t="s">
        <v>154</v>
      </c>
      <c r="J153" s="2" t="s">
        <v>289</v>
      </c>
      <c r="K153" s="2" t="s">
        <v>289</v>
      </c>
      <c r="L153" s="2" t="s">
        <v>289</v>
      </c>
      <c r="M153" s="2" t="s">
        <v>289</v>
      </c>
      <c r="N153" s="2" t="s">
        <v>289</v>
      </c>
      <c r="O153" s="7">
        <f>3+3</f>
        <v>6</v>
      </c>
      <c r="P153" s="7">
        <f>29+23</f>
        <v>52</v>
      </c>
      <c r="Q153" s="7">
        <f>1+0</f>
        <v>1</v>
      </c>
      <c r="R153" s="7">
        <f>58+41</f>
        <v>99</v>
      </c>
      <c r="S153" s="7">
        <f>921+699</f>
        <v>1620</v>
      </c>
      <c r="T153" s="7">
        <f>11+7</f>
        <v>18</v>
      </c>
      <c r="U153" s="7">
        <v>0</v>
      </c>
      <c r="V153" s="2" t="s">
        <v>5</v>
      </c>
      <c r="W153" s="2" t="s">
        <v>4</v>
      </c>
    </row>
    <row r="154" spans="1:23" x14ac:dyDescent="0.45">
      <c r="A154" s="2">
        <v>2024</v>
      </c>
      <c r="B154" s="2">
        <v>4</v>
      </c>
      <c r="C154" s="6">
        <v>135</v>
      </c>
      <c r="D154" s="3" t="s">
        <v>17</v>
      </c>
      <c r="E154" s="7" t="s">
        <v>266</v>
      </c>
      <c r="F154" s="14" t="s">
        <v>452</v>
      </c>
      <c r="G154" s="7">
        <v>1.73</v>
      </c>
      <c r="H154" s="7">
        <v>79</v>
      </c>
      <c r="I154" s="7" t="s">
        <v>166</v>
      </c>
      <c r="J154" s="2" t="s">
        <v>289</v>
      </c>
      <c r="K154" s="2" t="s">
        <v>289</v>
      </c>
      <c r="L154" s="2" t="s">
        <v>289</v>
      </c>
      <c r="M154" s="2" t="s">
        <v>289</v>
      </c>
      <c r="N154" s="2" t="s">
        <v>289</v>
      </c>
      <c r="O154" s="7">
        <f>3+5</f>
        <v>8</v>
      </c>
      <c r="P154" s="7">
        <f>1+26</f>
        <v>27</v>
      </c>
      <c r="Q154" s="7">
        <f>0</f>
        <v>0</v>
      </c>
      <c r="R154" s="7">
        <f>85+90</f>
        <v>175</v>
      </c>
      <c r="S154" s="7">
        <f>1034+848</f>
        <v>1882</v>
      </c>
      <c r="T154" s="7">
        <f>7+13</f>
        <v>20</v>
      </c>
      <c r="U154" s="7">
        <v>0</v>
      </c>
      <c r="V154" s="2" t="s">
        <v>82</v>
      </c>
      <c r="W154" s="2" t="s">
        <v>6</v>
      </c>
    </row>
    <row r="155" spans="1:23" x14ac:dyDescent="0.45">
      <c r="A155" s="2">
        <v>2024</v>
      </c>
      <c r="B155" s="2">
        <v>1</v>
      </c>
      <c r="C155" s="6">
        <v>13</v>
      </c>
      <c r="D155" s="3" t="s">
        <v>9</v>
      </c>
      <c r="E155" s="2" t="s">
        <v>231</v>
      </c>
      <c r="F155" s="12" t="s">
        <v>435</v>
      </c>
      <c r="G155" s="2">
        <v>1.93</v>
      </c>
      <c r="H155" s="2">
        <v>109</v>
      </c>
      <c r="I155" s="2" t="s">
        <v>162</v>
      </c>
      <c r="J155" s="2" t="s">
        <v>289</v>
      </c>
      <c r="K155" s="2" t="s">
        <v>289</v>
      </c>
      <c r="L155" s="2" t="s">
        <v>289</v>
      </c>
      <c r="M155" s="2" t="s">
        <v>289</v>
      </c>
      <c r="N155" s="2" t="s">
        <v>289</v>
      </c>
      <c r="O155" s="2">
        <f>9+6</f>
        <v>15</v>
      </c>
      <c r="P155" s="2">
        <f>109+28</f>
        <v>137</v>
      </c>
      <c r="Q155" s="2">
        <v>0</v>
      </c>
      <c r="R155" s="2">
        <f>63+56</f>
        <v>119</v>
      </c>
      <c r="S155" s="2">
        <f>942+714</f>
        <v>1656</v>
      </c>
      <c r="T155" s="2">
        <f>7+6</f>
        <v>13</v>
      </c>
      <c r="U155" s="7">
        <v>0</v>
      </c>
      <c r="V155" s="2" t="s">
        <v>39</v>
      </c>
      <c r="W155" s="2" t="s">
        <v>23</v>
      </c>
    </row>
    <row r="156" spans="1:23" x14ac:dyDescent="0.45">
      <c r="A156" s="2">
        <v>2024</v>
      </c>
      <c r="B156" s="2">
        <v>2</v>
      </c>
      <c r="C156" s="6">
        <v>53</v>
      </c>
      <c r="D156" s="3" t="s">
        <v>9</v>
      </c>
      <c r="E156" s="2" t="s">
        <v>270</v>
      </c>
      <c r="F156" s="12" t="s">
        <v>326</v>
      </c>
      <c r="G156" s="2">
        <v>1.93</v>
      </c>
      <c r="H156" s="2">
        <v>112</v>
      </c>
      <c r="I156" s="2" t="s">
        <v>173</v>
      </c>
      <c r="J156" s="2" t="s">
        <v>289</v>
      </c>
      <c r="K156" s="2" t="s">
        <v>289</v>
      </c>
      <c r="L156" s="2" t="s">
        <v>289</v>
      </c>
      <c r="M156" s="2" t="s">
        <v>289</v>
      </c>
      <c r="N156" s="2" t="s">
        <v>289</v>
      </c>
      <c r="O156" s="2">
        <v>3</v>
      </c>
      <c r="P156" s="2">
        <v>12</v>
      </c>
      <c r="Q156" s="2">
        <v>1</v>
      </c>
      <c r="R156" s="2">
        <f>28+49</f>
        <v>77</v>
      </c>
      <c r="S156" s="2">
        <f>399+676</f>
        <v>1075</v>
      </c>
      <c r="T156" s="2">
        <f>4+6</f>
        <v>10</v>
      </c>
      <c r="U156" s="7">
        <v>0</v>
      </c>
      <c r="V156" s="2" t="s">
        <v>78</v>
      </c>
      <c r="W156" s="2" t="s">
        <v>26</v>
      </c>
    </row>
    <row r="157" spans="1:23" x14ac:dyDescent="0.45">
      <c r="A157" s="2">
        <v>2024</v>
      </c>
      <c r="B157" s="2">
        <v>3</v>
      </c>
      <c r="C157" s="6">
        <v>82</v>
      </c>
      <c r="D157" s="3" t="s">
        <v>9</v>
      </c>
      <c r="E157" s="2" t="s">
        <v>271</v>
      </c>
      <c r="F157" s="12" t="s">
        <v>327</v>
      </c>
      <c r="G157" s="2">
        <v>1.96</v>
      </c>
      <c r="H157" s="2">
        <v>126</v>
      </c>
      <c r="I157" s="2" t="s">
        <v>161</v>
      </c>
      <c r="J157" s="2" t="s">
        <v>289</v>
      </c>
      <c r="K157" s="2" t="s">
        <v>289</v>
      </c>
      <c r="L157" s="2" t="s">
        <v>289</v>
      </c>
      <c r="M157" s="2" t="s">
        <v>289</v>
      </c>
      <c r="N157" s="2" t="s">
        <v>289</v>
      </c>
      <c r="O157" s="2">
        <v>0</v>
      </c>
      <c r="P157" s="2">
        <v>0</v>
      </c>
      <c r="Q157" s="2">
        <v>0</v>
      </c>
      <c r="R157" s="2">
        <f>17+19</f>
        <v>36</v>
      </c>
      <c r="S157" s="2">
        <f>156+203</f>
        <v>359</v>
      </c>
      <c r="T157" s="2">
        <f>1+3</f>
        <v>4</v>
      </c>
      <c r="U157" s="7">
        <v>0</v>
      </c>
      <c r="V157" s="2" t="s">
        <v>55</v>
      </c>
      <c r="W157" s="2" t="s">
        <v>13</v>
      </c>
    </row>
    <row r="158" spans="1:23" x14ac:dyDescent="0.45">
      <c r="A158" s="2">
        <v>2024</v>
      </c>
      <c r="B158" s="2">
        <v>4</v>
      </c>
      <c r="C158" s="6">
        <v>101</v>
      </c>
      <c r="D158" s="3" t="s">
        <v>9</v>
      </c>
      <c r="E158" s="2" t="s">
        <v>244</v>
      </c>
      <c r="F158" s="12" t="s">
        <v>436</v>
      </c>
      <c r="G158" s="2">
        <v>1.93</v>
      </c>
      <c r="H158" s="2">
        <v>110</v>
      </c>
      <c r="I158" s="2" t="s">
        <v>141</v>
      </c>
      <c r="J158" s="2" t="s">
        <v>289</v>
      </c>
      <c r="K158" s="2" t="s">
        <v>289</v>
      </c>
      <c r="L158" s="2" t="s">
        <v>289</v>
      </c>
      <c r="M158" s="2" t="s">
        <v>289</v>
      </c>
      <c r="N158" s="2" t="s">
        <v>289</v>
      </c>
      <c r="O158" s="2">
        <f>1</f>
        <v>1</v>
      </c>
      <c r="P158" s="2">
        <v>12</v>
      </c>
      <c r="Q158" s="2">
        <v>0</v>
      </c>
      <c r="R158" s="2">
        <f>54+45</f>
        <v>99</v>
      </c>
      <c r="S158" s="2">
        <f>613+682</f>
        <v>1295</v>
      </c>
      <c r="T158" s="2">
        <f>5+2</f>
        <v>7</v>
      </c>
      <c r="U158" s="7">
        <v>0</v>
      </c>
      <c r="V158" s="2" t="s">
        <v>81</v>
      </c>
      <c r="W158" s="2" t="s">
        <v>26</v>
      </c>
    </row>
  </sheetData>
  <autoFilter ref="A1:W50" xr:uid="{8C2053EA-6AC9-488B-A8C7-4402735123C2}"/>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CC95-5B07-48EF-973C-C9ED6D76B2CA}">
  <dimension ref="A1:Y154"/>
  <sheetViews>
    <sheetView topLeftCell="O1" workbookViewId="0">
      <pane ySplit="1" topLeftCell="A2" activePane="bottomLeft" state="frozen"/>
      <selection sqref="A1:T121"/>
      <selection pane="bottomLeft" sqref="A1:T121"/>
    </sheetView>
  </sheetViews>
  <sheetFormatPr baseColWidth="10" defaultRowHeight="14.25" x14ac:dyDescent="0.45"/>
  <cols>
    <col min="1" max="1" width="10.6640625" customWidth="1"/>
    <col min="2" max="2" width="9.796875" bestFit="1" customWidth="1"/>
    <col min="3" max="3" width="10.6640625" customWidth="1"/>
    <col min="4" max="4" width="16.19921875" bestFit="1" customWidth="1"/>
    <col min="5" max="5" width="16.73046875" bestFit="1" customWidth="1"/>
    <col min="6" max="6" width="12.19921875" style="21" bestFit="1" customWidth="1"/>
    <col min="7" max="7" width="12.86328125" style="26" bestFit="1" customWidth="1"/>
    <col min="8" max="8" width="13.53125" bestFit="1" customWidth="1"/>
    <col min="9" max="9" width="11.06640625" bestFit="1" customWidth="1"/>
    <col min="10" max="10" width="22.33203125" customWidth="1"/>
    <col min="11" max="11" width="17.3984375" bestFit="1" customWidth="1"/>
    <col min="12" max="12" width="13.53125" bestFit="1" customWidth="1"/>
    <col min="13" max="13" width="11" customWidth="1"/>
    <col min="14" max="14" width="6.86328125" bestFit="1" customWidth="1"/>
    <col min="15" max="15" width="15" bestFit="1" customWidth="1"/>
    <col min="16" max="16" width="14.46484375" bestFit="1" customWidth="1"/>
    <col min="19" max="19" width="13.265625" bestFit="1" customWidth="1"/>
    <col min="20" max="21" width="15.3984375" bestFit="1" customWidth="1"/>
    <col min="22" max="22" width="11.86328125" customWidth="1"/>
    <col min="23" max="23" width="14.59765625" bestFit="1" customWidth="1"/>
    <col min="24" max="24" width="24.6640625" bestFit="1" customWidth="1"/>
    <col min="25" max="25" width="13.6640625" bestFit="1" customWidth="1"/>
  </cols>
  <sheetData>
    <row r="1" spans="1:25" x14ac:dyDescent="0.45">
      <c r="A1" s="1" t="s">
        <v>272</v>
      </c>
      <c r="B1" s="1" t="s">
        <v>485</v>
      </c>
      <c r="C1" s="1" t="s">
        <v>273</v>
      </c>
      <c r="D1" s="1" t="s">
        <v>76</v>
      </c>
      <c r="E1" s="1" t="s">
        <v>274</v>
      </c>
      <c r="F1" s="17" t="s">
        <v>486</v>
      </c>
      <c r="G1" s="23" t="s">
        <v>487</v>
      </c>
      <c r="H1" s="1" t="s">
        <v>488</v>
      </c>
      <c r="I1" s="1" t="s">
        <v>276</v>
      </c>
      <c r="J1" s="1" t="s">
        <v>484</v>
      </c>
      <c r="K1" s="1" t="s">
        <v>489</v>
      </c>
      <c r="L1" s="1" t="s">
        <v>490</v>
      </c>
      <c r="M1" s="1" t="s">
        <v>491</v>
      </c>
      <c r="N1" s="1" t="s">
        <v>492</v>
      </c>
      <c r="O1" s="1" t="s">
        <v>493</v>
      </c>
      <c r="P1" s="1" t="s">
        <v>280</v>
      </c>
      <c r="Q1" s="1" t="s">
        <v>281</v>
      </c>
      <c r="R1" s="1" t="s">
        <v>282</v>
      </c>
      <c r="S1" s="1" t="s">
        <v>494</v>
      </c>
      <c r="T1" s="1" t="s">
        <v>495</v>
      </c>
      <c r="U1" s="1" t="s">
        <v>496</v>
      </c>
      <c r="V1" s="1" t="s">
        <v>288</v>
      </c>
      <c r="W1" s="1" t="s">
        <v>510</v>
      </c>
      <c r="X1" s="1" t="s">
        <v>75</v>
      </c>
      <c r="Y1" s="1" t="s">
        <v>497</v>
      </c>
    </row>
    <row r="2" spans="1:25" x14ac:dyDescent="0.45">
      <c r="A2" s="2">
        <v>2022</v>
      </c>
      <c r="B2" s="2">
        <v>1</v>
      </c>
      <c r="C2" s="3">
        <v>20</v>
      </c>
      <c r="D2" s="3" t="s">
        <v>32</v>
      </c>
      <c r="E2" s="2" t="s">
        <v>196</v>
      </c>
      <c r="F2" s="18">
        <v>35952</v>
      </c>
      <c r="G2" s="22">
        <v>23.89</v>
      </c>
      <c r="H2" s="2">
        <v>1.9</v>
      </c>
      <c r="I2" s="2">
        <v>99</v>
      </c>
      <c r="J2" s="2" t="s">
        <v>453</v>
      </c>
      <c r="K2" s="2">
        <f>(61.1+67.2)/2</f>
        <v>64.150000000000006</v>
      </c>
      <c r="L2" s="2">
        <f>2408+4319</f>
        <v>6727</v>
      </c>
      <c r="M2" s="2">
        <f>13+42</f>
        <v>55</v>
      </c>
      <c r="N2" s="2">
        <f>9+7</f>
        <v>16</v>
      </c>
      <c r="O2" s="2">
        <f>(129.6+165.3)/2</f>
        <v>147.44999999999999</v>
      </c>
      <c r="P2" s="2">
        <f>81+97</f>
        <v>178</v>
      </c>
      <c r="Q2" s="2">
        <f>145+241</f>
        <v>386</v>
      </c>
      <c r="R2" s="2">
        <f>8+5</f>
        <v>13</v>
      </c>
      <c r="S2" s="2">
        <v>0</v>
      </c>
      <c r="T2" s="2">
        <v>0</v>
      </c>
      <c r="U2" s="2">
        <v>0</v>
      </c>
      <c r="V2" s="2">
        <v>0</v>
      </c>
      <c r="W2" s="2">
        <f>((L2/25)+(M2*4)-(N2*2)+(Q2/10)+(R2*6)+(S2*0.5)+(T2/10)+(U2*6)-(V2*2))/2</f>
        <v>286.84000000000003</v>
      </c>
      <c r="X2" s="2" t="s">
        <v>48</v>
      </c>
      <c r="Y2" s="2" t="s">
        <v>4</v>
      </c>
    </row>
    <row r="3" spans="1:25" x14ac:dyDescent="0.45">
      <c r="A3" s="2">
        <v>2022</v>
      </c>
      <c r="B3" s="2">
        <v>3</v>
      </c>
      <c r="C3" s="3">
        <v>74</v>
      </c>
      <c r="D3" s="3" t="s">
        <v>32</v>
      </c>
      <c r="E3" s="2" t="s">
        <v>201</v>
      </c>
      <c r="F3" s="18">
        <v>36403</v>
      </c>
      <c r="G3" s="22">
        <v>22.66</v>
      </c>
      <c r="H3" s="2">
        <v>1.93</v>
      </c>
      <c r="I3" s="2">
        <v>98</v>
      </c>
      <c r="J3" s="2" t="s">
        <v>457</v>
      </c>
      <c r="K3" s="2">
        <f>(66.2+64.9)/2</f>
        <v>65.550000000000011</v>
      </c>
      <c r="L3" s="2">
        <f>2296+3334</f>
        <v>5630</v>
      </c>
      <c r="M3" s="2">
        <f>19+30</f>
        <v>49</v>
      </c>
      <c r="N3" s="2">
        <f>6+8</f>
        <v>14</v>
      </c>
      <c r="O3" s="2">
        <f>(152.9+158.7)/2</f>
        <v>155.80000000000001</v>
      </c>
      <c r="P3" s="2">
        <f>98+110</f>
        <v>208</v>
      </c>
      <c r="Q3" s="2">
        <f>592+355</f>
        <v>947</v>
      </c>
      <c r="R3" s="2">
        <f>12+6</f>
        <v>18</v>
      </c>
      <c r="S3" s="2">
        <v>0</v>
      </c>
      <c r="T3" s="2">
        <v>0</v>
      </c>
      <c r="U3" s="2">
        <v>0</v>
      </c>
      <c r="V3" s="2">
        <v>0</v>
      </c>
      <c r="W3" s="2">
        <f>((L3/25)+(M3*4)-(N3*2)+(Q3/10)+(R3*6)+(S3*0.5)+(T3/10)+(U3*6)-(V3*2))/2</f>
        <v>297.95</v>
      </c>
      <c r="X3" s="2" t="s">
        <v>22</v>
      </c>
      <c r="Y3" s="2" t="s">
        <v>21</v>
      </c>
    </row>
    <row r="4" spans="1:25" x14ac:dyDescent="0.45">
      <c r="A4" s="2">
        <v>2022</v>
      </c>
      <c r="B4" s="2">
        <v>3</v>
      </c>
      <c r="C4" s="3">
        <v>86</v>
      </c>
      <c r="D4" s="3" t="s">
        <v>32</v>
      </c>
      <c r="E4" s="2" t="s">
        <v>200</v>
      </c>
      <c r="F4" s="18">
        <v>36305</v>
      </c>
      <c r="G4" s="22">
        <v>22.93</v>
      </c>
      <c r="H4" s="2">
        <v>1.85</v>
      </c>
      <c r="I4" s="2">
        <v>99</v>
      </c>
      <c r="J4" s="2" t="s">
        <v>458</v>
      </c>
      <c r="K4" s="2">
        <f>(64.2+61.1)/2</f>
        <v>62.650000000000006</v>
      </c>
      <c r="L4" s="2">
        <f>2260+2857</f>
        <v>5117</v>
      </c>
      <c r="M4" s="2">
        <f>20+27</f>
        <v>47</v>
      </c>
      <c r="N4" s="2">
        <f>6+12</f>
        <v>18</v>
      </c>
      <c r="O4" s="2">
        <f>(156.2+151.1)/2</f>
        <v>153.64999999999998</v>
      </c>
      <c r="P4" s="2">
        <f>141+197</f>
        <v>338</v>
      </c>
      <c r="Q4" s="2">
        <f>944+878</f>
        <v>1822</v>
      </c>
      <c r="R4" s="2">
        <f>14+13</f>
        <v>27</v>
      </c>
      <c r="S4" s="2">
        <v>0</v>
      </c>
      <c r="T4" s="2">
        <v>0</v>
      </c>
      <c r="U4" s="2">
        <v>0</v>
      </c>
      <c r="V4" s="2">
        <v>0</v>
      </c>
      <c r="W4" s="2">
        <f>((L4/25)+(M4*4)-(N4*2)+(Q4/10)+(R4*6)+(S4*0.5)+(T4/10)+(U4*6)-(V4*2))/2</f>
        <v>350.44</v>
      </c>
      <c r="X4" s="2" t="s">
        <v>58</v>
      </c>
      <c r="Y4" s="2" t="s">
        <v>14</v>
      </c>
    </row>
    <row r="5" spans="1:25" x14ac:dyDescent="0.45">
      <c r="A5" s="2">
        <v>2022</v>
      </c>
      <c r="B5" s="2">
        <v>3</v>
      </c>
      <c r="C5" s="3">
        <v>94</v>
      </c>
      <c r="D5" s="3" t="s">
        <v>32</v>
      </c>
      <c r="E5" s="2" t="s">
        <v>248</v>
      </c>
      <c r="F5" s="18">
        <v>36191</v>
      </c>
      <c r="G5" s="22">
        <v>23.24</v>
      </c>
      <c r="H5" s="2">
        <v>1.85</v>
      </c>
      <c r="I5" s="2">
        <v>93</v>
      </c>
      <c r="J5" s="2" t="s">
        <v>460</v>
      </c>
      <c r="K5" s="2">
        <f>(70.9+67.9)/2</f>
        <v>69.400000000000006</v>
      </c>
      <c r="L5" s="2">
        <f>3337+3349</f>
        <v>6686</v>
      </c>
      <c r="M5" s="2">
        <f>29+20</f>
        <v>49</v>
      </c>
      <c r="N5" s="2">
        <f>14+5</f>
        <v>19</v>
      </c>
      <c r="O5" s="2">
        <f>(177.6+155.3)/2</f>
        <v>166.45</v>
      </c>
      <c r="P5" s="2">
        <f>112+152</f>
        <v>264</v>
      </c>
      <c r="Q5" s="2">
        <f>506+614</f>
        <v>1120</v>
      </c>
      <c r="R5" s="2">
        <f>4+11</f>
        <v>15</v>
      </c>
      <c r="S5" s="2">
        <v>0</v>
      </c>
      <c r="T5" s="2">
        <v>0</v>
      </c>
      <c r="U5" s="2">
        <v>0</v>
      </c>
      <c r="V5" s="2">
        <v>0</v>
      </c>
      <c r="W5" s="2">
        <f>((L5/25)+(M5*4)-(N5*2)+(Q5/10)+(R5*6)+(S5*0.5)+(T5/10)+(U5*6)-(V5*2))/2</f>
        <v>313.72000000000003</v>
      </c>
      <c r="X5" s="2" t="s">
        <v>24</v>
      </c>
      <c r="Y5" s="2" t="s">
        <v>23</v>
      </c>
    </row>
    <row r="6" spans="1:25" x14ac:dyDescent="0.45">
      <c r="A6" s="2">
        <v>2022</v>
      </c>
      <c r="B6" s="2">
        <v>4</v>
      </c>
      <c r="C6" s="3">
        <v>137</v>
      </c>
      <c r="D6" s="3" t="s">
        <v>32</v>
      </c>
      <c r="E6" s="2" t="s">
        <v>221</v>
      </c>
      <c r="F6" s="18">
        <v>36276</v>
      </c>
      <c r="G6" s="22">
        <v>23.01</v>
      </c>
      <c r="H6" s="2">
        <v>1.85</v>
      </c>
      <c r="I6" s="2">
        <v>99</v>
      </c>
      <c r="J6" s="2" t="s">
        <v>459</v>
      </c>
      <c r="K6" s="2">
        <f>(65.6+69.2)/2</f>
        <v>67.400000000000006</v>
      </c>
      <c r="L6" s="2">
        <f>1833+5967</f>
        <v>7800</v>
      </c>
      <c r="M6" s="2">
        <f>15+62</f>
        <v>77</v>
      </c>
      <c r="N6" s="2">
        <f>1+11</f>
        <v>12</v>
      </c>
      <c r="O6" s="2">
        <f>(159.3+168.9)/2</f>
        <v>164.10000000000002</v>
      </c>
      <c r="P6" s="2">
        <f>19+51</f>
        <v>70</v>
      </c>
      <c r="Q6" s="2">
        <f>14+17</f>
        <v>31</v>
      </c>
      <c r="R6" s="2">
        <f>0+3</f>
        <v>3</v>
      </c>
      <c r="S6" s="2">
        <v>0</v>
      </c>
      <c r="T6" s="2">
        <v>0</v>
      </c>
      <c r="U6" s="2">
        <v>0</v>
      </c>
      <c r="V6" s="2">
        <v>0</v>
      </c>
      <c r="W6" s="2">
        <f>((L6/25)+(M6*4)-(N6*2)+(Q6/10)+(R6*6)+(S6*0.5)+(T6/10)+(U6*6)-(V6*2))/2</f>
        <v>308.55</v>
      </c>
      <c r="X6" s="2" t="s">
        <v>37</v>
      </c>
      <c r="Y6" s="2" t="s">
        <v>25</v>
      </c>
    </row>
    <row r="7" spans="1:25" x14ac:dyDescent="0.45">
      <c r="A7" s="2">
        <v>2022</v>
      </c>
      <c r="B7" s="2">
        <v>5</v>
      </c>
      <c r="C7" s="3">
        <v>144</v>
      </c>
      <c r="D7" s="3" t="s">
        <v>32</v>
      </c>
      <c r="E7" s="2" t="s">
        <v>213</v>
      </c>
      <c r="F7" s="18">
        <v>36785</v>
      </c>
      <c r="G7" s="22">
        <v>21.61</v>
      </c>
      <c r="H7" s="2">
        <v>1.85</v>
      </c>
      <c r="I7" s="2">
        <v>99</v>
      </c>
      <c r="J7" s="2" t="s">
        <v>461</v>
      </c>
      <c r="K7" s="2">
        <f>(68.1+62.5)/2</f>
        <v>65.3</v>
      </c>
      <c r="L7" s="2">
        <f>3586+3056</f>
        <v>6642</v>
      </c>
      <c r="M7" s="2">
        <f>30+24</f>
        <v>54</v>
      </c>
      <c r="N7" s="2">
        <f>7+9</f>
        <v>16</v>
      </c>
      <c r="O7" s="2">
        <f>(179+154.2)/2</f>
        <v>166.6</v>
      </c>
      <c r="P7" s="2">
        <f>92+183</f>
        <v>275</v>
      </c>
      <c r="Q7" s="2">
        <f>146+828</f>
        <v>974</v>
      </c>
      <c r="R7" s="2">
        <f>5+11</f>
        <v>16</v>
      </c>
      <c r="S7" s="2">
        <v>0</v>
      </c>
      <c r="T7" s="2">
        <v>0</v>
      </c>
      <c r="U7" s="2">
        <v>0</v>
      </c>
      <c r="V7" s="2">
        <v>0</v>
      </c>
      <c r="W7" s="2">
        <f>((L7/25)+(M7*4)-(N7*2)+(Q7/10)+(R7*6)+(S7*0.5)+(T7/10)+(U7*6)-(V7*2))/2</f>
        <v>321.54000000000002</v>
      </c>
      <c r="X7" s="2" t="s">
        <v>5</v>
      </c>
      <c r="Y7" s="2" t="s">
        <v>4</v>
      </c>
    </row>
    <row r="8" spans="1:25" x14ac:dyDescent="0.45">
      <c r="A8" s="2">
        <v>2022</v>
      </c>
      <c r="B8" s="2">
        <v>2</v>
      </c>
      <c r="C8" s="3">
        <v>36</v>
      </c>
      <c r="D8" s="3" t="s">
        <v>10</v>
      </c>
      <c r="E8" s="2" t="s">
        <v>219</v>
      </c>
      <c r="F8" s="18">
        <v>37042</v>
      </c>
      <c r="G8" s="22">
        <v>20.91</v>
      </c>
      <c r="H8" s="2">
        <v>1.8</v>
      </c>
      <c r="I8" s="2">
        <v>100</v>
      </c>
      <c r="J8" s="2" t="s">
        <v>454</v>
      </c>
      <c r="K8" s="2">
        <v>0</v>
      </c>
      <c r="L8" s="2">
        <v>0</v>
      </c>
      <c r="M8" s="2">
        <v>0</v>
      </c>
      <c r="N8" s="2">
        <v>0</v>
      </c>
      <c r="O8" s="2">
        <v>0</v>
      </c>
      <c r="P8" s="2">
        <f>279+253</f>
        <v>532</v>
      </c>
      <c r="Q8" s="2">
        <f>1572+1472</f>
        <v>3044</v>
      </c>
      <c r="R8" s="2">
        <f>21+20</f>
        <v>41</v>
      </c>
      <c r="S8" s="2">
        <f>23+36</f>
        <v>59</v>
      </c>
      <c r="T8" s="2">
        <f>180+302</f>
        <v>482</v>
      </c>
      <c r="U8" s="2">
        <f>2+3</f>
        <v>5</v>
      </c>
      <c r="V8" s="2">
        <v>0</v>
      </c>
      <c r="W8" s="2">
        <f>((L8/25)+(M8*4)-(N8*2)+(Q8/10)+(R8*6)+(S8*0.5)+(T8/10)+(U8*6)-(V8*2))/2</f>
        <v>329.05</v>
      </c>
      <c r="X8" s="2" t="s">
        <v>43</v>
      </c>
      <c r="Y8" s="2" t="s">
        <v>26</v>
      </c>
    </row>
    <row r="9" spans="1:25" x14ac:dyDescent="0.45">
      <c r="A9" s="2">
        <v>2022</v>
      </c>
      <c r="B9" s="2">
        <v>2</v>
      </c>
      <c r="C9" s="3">
        <v>41</v>
      </c>
      <c r="D9" s="3" t="s">
        <v>10</v>
      </c>
      <c r="E9" s="2" t="s">
        <v>249</v>
      </c>
      <c r="F9" s="18">
        <v>36819</v>
      </c>
      <c r="G9" s="22">
        <v>21.52</v>
      </c>
      <c r="H9" s="2">
        <v>1.75</v>
      </c>
      <c r="I9" s="2">
        <v>96</v>
      </c>
      <c r="J9" s="2" t="s">
        <v>462</v>
      </c>
      <c r="K9" s="2">
        <v>0</v>
      </c>
      <c r="L9" s="2">
        <v>0</v>
      </c>
      <c r="M9" s="2">
        <v>0</v>
      </c>
      <c r="N9" s="2">
        <v>0</v>
      </c>
      <c r="O9" s="2">
        <v>0</v>
      </c>
      <c r="P9" s="2">
        <f>119+263</f>
        <v>382</v>
      </c>
      <c r="Q9" s="2">
        <f>579+1636</f>
        <v>2215</v>
      </c>
      <c r="R9" s="2">
        <f>13+18</f>
        <v>31</v>
      </c>
      <c r="S9" s="2">
        <f>3+13</f>
        <v>16</v>
      </c>
      <c r="T9" s="2">
        <f>30+89</f>
        <v>119</v>
      </c>
      <c r="U9" s="2">
        <f>0+1</f>
        <v>1</v>
      </c>
      <c r="V9" s="2">
        <v>0</v>
      </c>
      <c r="W9" s="2">
        <f>((L9/25)+(M9*4)-(N9*2)+(Q9/10)+(R9*6)+(S9*0.5)+(T9/10)+(U9*6)-(V9*2))/2</f>
        <v>216.7</v>
      </c>
      <c r="X9" s="2" t="s">
        <v>68</v>
      </c>
      <c r="Y9" s="2" t="s">
        <v>13</v>
      </c>
    </row>
    <row r="10" spans="1:25" x14ac:dyDescent="0.45">
      <c r="A10" s="2">
        <v>2022</v>
      </c>
      <c r="B10" s="2">
        <v>2</v>
      </c>
      <c r="C10" s="3">
        <v>63</v>
      </c>
      <c r="D10" s="3" t="s">
        <v>10</v>
      </c>
      <c r="E10" s="2" t="s">
        <v>222</v>
      </c>
      <c r="F10" s="18">
        <v>36428</v>
      </c>
      <c r="G10" s="22">
        <v>22.59</v>
      </c>
      <c r="H10" s="2">
        <v>1.8</v>
      </c>
      <c r="I10" s="2">
        <v>86</v>
      </c>
      <c r="J10" s="2" t="s">
        <v>463</v>
      </c>
      <c r="K10" s="2">
        <v>0</v>
      </c>
      <c r="L10" s="2">
        <v>0</v>
      </c>
      <c r="M10" s="2">
        <v>0</v>
      </c>
      <c r="N10" s="2">
        <v>0</v>
      </c>
      <c r="O10" s="2">
        <v>0</v>
      </c>
      <c r="P10" s="2">
        <f>45+113</f>
        <v>158</v>
      </c>
      <c r="Q10" s="2">
        <f>303+728</f>
        <v>1031</v>
      </c>
      <c r="R10" s="2">
        <f>3+7</f>
        <v>10</v>
      </c>
      <c r="S10" s="2">
        <f>16+27</f>
        <v>43</v>
      </c>
      <c r="T10" s="2">
        <f>225+284</f>
        <v>509</v>
      </c>
      <c r="U10" s="2">
        <f>2+4</f>
        <v>6</v>
      </c>
      <c r="V10" s="2">
        <v>0</v>
      </c>
      <c r="W10" s="2">
        <f>((L10/25)+(M10*4)-(N10*2)+(Q10/10)+(R10*6)+(S10*0.5)+(T10/10)+(U10*6)-(V10*2))/2</f>
        <v>135.75</v>
      </c>
      <c r="X10" s="2" t="s">
        <v>39</v>
      </c>
      <c r="Y10" s="2" t="s">
        <v>23</v>
      </c>
    </row>
    <row r="11" spans="1:25" x14ac:dyDescent="0.45">
      <c r="A11" s="2">
        <v>2022</v>
      </c>
      <c r="B11" s="2">
        <v>3</v>
      </c>
      <c r="C11" s="3">
        <v>91</v>
      </c>
      <c r="D11" s="3" t="s">
        <v>10</v>
      </c>
      <c r="E11" s="2" t="s">
        <v>250</v>
      </c>
      <c r="F11" s="18">
        <v>36172</v>
      </c>
      <c r="G11" s="22">
        <v>23.29</v>
      </c>
      <c r="H11" s="2">
        <v>1.83</v>
      </c>
      <c r="I11" s="2">
        <v>97</v>
      </c>
      <c r="J11" s="2" t="s">
        <v>467</v>
      </c>
      <c r="K11" s="2">
        <v>0</v>
      </c>
      <c r="L11" s="2">
        <v>0</v>
      </c>
      <c r="M11" s="2">
        <v>0</v>
      </c>
      <c r="N11" s="2">
        <v>0</v>
      </c>
      <c r="O11" s="2">
        <v>0</v>
      </c>
      <c r="P11" s="2">
        <f>42+182</f>
        <v>224</v>
      </c>
      <c r="Q11" s="2">
        <f>420+1006</f>
        <v>1426</v>
      </c>
      <c r="R11" s="2">
        <f>5+15</f>
        <v>20</v>
      </c>
      <c r="S11" s="2">
        <f>8+43</f>
        <v>51</v>
      </c>
      <c r="T11" s="2">
        <f>151+456</f>
        <v>607</v>
      </c>
      <c r="U11" s="2">
        <f>1+1</f>
        <v>2</v>
      </c>
      <c r="V11" s="2">
        <v>0</v>
      </c>
      <c r="W11" s="2">
        <f>((L11/25)+(M11*4)-(N11*2)+(Q11/10)+(R11*6)+(S11*0.5)+(T11/10)+(U11*6)-(V11*2))/2</f>
        <v>180.4</v>
      </c>
      <c r="X11" s="2" t="s">
        <v>30</v>
      </c>
      <c r="Y11" s="2" t="s">
        <v>6</v>
      </c>
    </row>
    <row r="12" spans="1:25" x14ac:dyDescent="0.45">
      <c r="A12" s="2">
        <v>2022</v>
      </c>
      <c r="B12" s="2">
        <v>3</v>
      </c>
      <c r="C12" s="3">
        <v>93</v>
      </c>
      <c r="D12" s="3" t="s">
        <v>10</v>
      </c>
      <c r="E12" s="2" t="s">
        <v>205</v>
      </c>
      <c r="F12" s="18">
        <v>36822</v>
      </c>
      <c r="G12" s="22">
        <v>21.51</v>
      </c>
      <c r="H12" s="2">
        <v>1.85</v>
      </c>
      <c r="I12" s="2">
        <v>99</v>
      </c>
      <c r="J12" s="2" t="s">
        <v>465</v>
      </c>
      <c r="K12" s="2">
        <v>0</v>
      </c>
      <c r="L12" s="2">
        <v>0</v>
      </c>
      <c r="M12" s="2">
        <v>0</v>
      </c>
      <c r="N12" s="2">
        <v>0</v>
      </c>
      <c r="O12" s="2">
        <v>0</v>
      </c>
      <c r="P12" s="2">
        <f>104+211</f>
        <v>315</v>
      </c>
      <c r="Q12" s="2">
        <f>446+1003</f>
        <v>1449</v>
      </c>
      <c r="R12" s="2">
        <f>3+6</f>
        <v>9</v>
      </c>
      <c r="S12" s="2">
        <f>8+10</f>
        <v>18</v>
      </c>
      <c r="T12" s="2">
        <f>47+64</f>
        <v>111</v>
      </c>
      <c r="U12" s="2">
        <f>0</f>
        <v>0</v>
      </c>
      <c r="V12" s="2">
        <v>0</v>
      </c>
      <c r="W12" s="2">
        <f>((L12/25)+(M12*4)-(N12*2)+(Q12/10)+(R12*6)+(S12*0.5)+(T12/10)+(U12*6)-(V12*2))/2</f>
        <v>109.5</v>
      </c>
      <c r="X12" s="2" t="s">
        <v>45</v>
      </c>
      <c r="Y12" s="2" t="s">
        <v>23</v>
      </c>
    </row>
    <row r="13" spans="1:25" x14ac:dyDescent="0.45">
      <c r="A13" s="2">
        <v>2022</v>
      </c>
      <c r="B13" s="2">
        <v>3</v>
      </c>
      <c r="C13" s="3">
        <v>98</v>
      </c>
      <c r="D13" s="3" t="s">
        <v>10</v>
      </c>
      <c r="E13" s="2" t="s">
        <v>202</v>
      </c>
      <c r="F13" s="18">
        <v>36241</v>
      </c>
      <c r="G13" s="22">
        <v>23.1</v>
      </c>
      <c r="H13" s="2">
        <v>1.85</v>
      </c>
      <c r="I13" s="2">
        <v>103</v>
      </c>
      <c r="J13" s="2" t="s">
        <v>461</v>
      </c>
      <c r="K13" s="2">
        <v>0</v>
      </c>
      <c r="L13" s="2">
        <v>0</v>
      </c>
      <c r="M13" s="2">
        <v>0</v>
      </c>
      <c r="N13" s="2">
        <v>0</v>
      </c>
      <c r="O13" s="2">
        <v>0</v>
      </c>
      <c r="P13" s="2">
        <f>91+271</f>
        <v>362</v>
      </c>
      <c r="Q13" s="2">
        <f>483+1343</f>
        <v>1826</v>
      </c>
      <c r="R13" s="2">
        <f>6+14</f>
        <v>20</v>
      </c>
      <c r="S13" s="2">
        <f>6+35</f>
        <v>41</v>
      </c>
      <c r="T13" s="2">
        <f>26+296</f>
        <v>322</v>
      </c>
      <c r="U13" s="2">
        <f>0+2</f>
        <v>2</v>
      </c>
      <c r="V13" s="2">
        <v>0</v>
      </c>
      <c r="W13" s="2">
        <f>((L13/25)+(M13*4)-(N13*2)+(Q13/10)+(R13*6)+(S13*0.5)+(T13/10)+(U13*6)-(V13*2))/2</f>
        <v>183.65</v>
      </c>
      <c r="X13" s="2" t="s">
        <v>47</v>
      </c>
      <c r="Y13" s="2" t="s">
        <v>23</v>
      </c>
    </row>
    <row r="14" spans="1:25" x14ac:dyDescent="0.45">
      <c r="A14" s="2">
        <v>2022</v>
      </c>
      <c r="B14" s="2">
        <v>4</v>
      </c>
      <c r="C14" s="3">
        <v>107</v>
      </c>
      <c r="D14" s="3" t="s">
        <v>10</v>
      </c>
      <c r="E14" s="2" t="s">
        <v>190</v>
      </c>
      <c r="F14" s="18">
        <v>36575</v>
      </c>
      <c r="G14" s="22">
        <v>22.19</v>
      </c>
      <c r="H14" s="2">
        <v>1.78</v>
      </c>
      <c r="I14" s="2">
        <v>99</v>
      </c>
      <c r="J14" s="2" t="s">
        <v>466</v>
      </c>
      <c r="K14" s="2">
        <v>0</v>
      </c>
      <c r="L14" s="2">
        <v>0</v>
      </c>
      <c r="M14" s="2">
        <v>0</v>
      </c>
      <c r="N14" s="2">
        <v>0</v>
      </c>
      <c r="O14" s="2">
        <v>0</v>
      </c>
      <c r="P14" s="2">
        <f>106+100</f>
        <v>206</v>
      </c>
      <c r="Q14" s="2">
        <f>503+574</f>
        <v>1077</v>
      </c>
      <c r="R14" s="2">
        <f>4+13</f>
        <v>17</v>
      </c>
      <c r="S14" s="2">
        <f>17+19</f>
        <v>36</v>
      </c>
      <c r="T14" s="2">
        <f>156+216</f>
        <v>372</v>
      </c>
      <c r="U14" s="2">
        <f>1+3</f>
        <v>4</v>
      </c>
      <c r="V14" s="2">
        <v>0</v>
      </c>
      <c r="W14" s="2">
        <f>((L14/25)+(M14*4)-(N14*2)+(Q14/10)+(R14*6)+(S14*0.5)+(T14/10)+(U14*6)-(V14*2))/2</f>
        <v>144.44999999999999</v>
      </c>
      <c r="X14" s="2" t="s">
        <v>50</v>
      </c>
      <c r="Y14" s="2" t="s">
        <v>23</v>
      </c>
    </row>
    <row r="15" spans="1:25" x14ac:dyDescent="0.45">
      <c r="A15" s="2">
        <v>2022</v>
      </c>
      <c r="B15" s="2">
        <v>4</v>
      </c>
      <c r="C15" s="3">
        <v>122</v>
      </c>
      <c r="D15" s="3" t="s">
        <v>10</v>
      </c>
      <c r="E15" s="2" t="s">
        <v>208</v>
      </c>
      <c r="F15" s="18">
        <v>36421</v>
      </c>
      <c r="G15" s="22">
        <v>22.61</v>
      </c>
      <c r="H15" s="2">
        <v>1.83</v>
      </c>
      <c r="I15" s="2">
        <v>98</v>
      </c>
      <c r="J15" s="2" t="s">
        <v>468</v>
      </c>
      <c r="K15" s="2">
        <v>0</v>
      </c>
      <c r="L15" s="2">
        <v>0</v>
      </c>
      <c r="M15" s="2">
        <v>0</v>
      </c>
      <c r="N15" s="2">
        <v>0</v>
      </c>
      <c r="O15" s="2">
        <v>0</v>
      </c>
      <c r="P15" s="2">
        <f>144+160</f>
        <v>304</v>
      </c>
      <c r="Q15" s="2">
        <f>779+856</f>
        <v>1635</v>
      </c>
      <c r="R15" s="2">
        <f>11+11</f>
        <v>22</v>
      </c>
      <c r="S15" s="2">
        <f>6+9</f>
        <v>15</v>
      </c>
      <c r="T15" s="2">
        <f>37+75</f>
        <v>112</v>
      </c>
      <c r="U15" s="2">
        <f>0</f>
        <v>0</v>
      </c>
      <c r="V15" s="2">
        <v>0</v>
      </c>
      <c r="W15" s="2">
        <f>((L15/25)+(M15*4)-(N15*2)+(Q15/10)+(R15*6)+(S15*0.5)+(T15/10)+(U15*6)-(V15*2))/2</f>
        <v>157.1</v>
      </c>
      <c r="X15" s="2" t="s">
        <v>39</v>
      </c>
      <c r="Y15" s="2" t="s">
        <v>23</v>
      </c>
    </row>
    <row r="16" spans="1:25" x14ac:dyDescent="0.45">
      <c r="A16" s="2">
        <v>2022</v>
      </c>
      <c r="B16" s="2">
        <v>4</v>
      </c>
      <c r="C16" s="3">
        <v>123</v>
      </c>
      <c r="D16" s="3" t="s">
        <v>10</v>
      </c>
      <c r="E16" s="2" t="s">
        <v>194</v>
      </c>
      <c r="F16" s="18">
        <v>37112</v>
      </c>
      <c r="G16" s="22">
        <v>20.72</v>
      </c>
      <c r="H16" s="2">
        <v>1.85</v>
      </c>
      <c r="I16" s="2">
        <v>98</v>
      </c>
      <c r="J16" s="2" t="s">
        <v>469</v>
      </c>
      <c r="K16" s="2">
        <v>0</v>
      </c>
      <c r="L16" s="2">
        <v>0</v>
      </c>
      <c r="M16" s="2">
        <v>0</v>
      </c>
      <c r="N16" s="2">
        <v>0</v>
      </c>
      <c r="O16" s="2">
        <v>0</v>
      </c>
      <c r="P16" s="2">
        <f>188+179</f>
        <v>367</v>
      </c>
      <c r="Q16" s="2">
        <f>1036+1011</f>
        <v>2047</v>
      </c>
      <c r="R16" s="2">
        <f>9+6</f>
        <v>15</v>
      </c>
      <c r="S16" s="2">
        <f>20+25</f>
        <v>45</v>
      </c>
      <c r="T16" s="2">
        <f>193+189</f>
        <v>382</v>
      </c>
      <c r="U16" s="2">
        <f>0+1</f>
        <v>1</v>
      </c>
      <c r="V16" s="2">
        <v>0</v>
      </c>
      <c r="W16" s="2">
        <f>((L16/25)+(M16*4)-(N16*2)+(Q16/10)+(R16*6)+(S16*0.5)+(T16/10)+(U16*6)-(V16*2))/2</f>
        <v>180.7</v>
      </c>
      <c r="X16" s="2" t="s">
        <v>46</v>
      </c>
      <c r="Y16" s="2" t="s">
        <v>23</v>
      </c>
    </row>
    <row r="17" spans="1:25" x14ac:dyDescent="0.45">
      <c r="A17" s="2">
        <v>2022</v>
      </c>
      <c r="B17" s="2">
        <v>4</v>
      </c>
      <c r="C17" s="3">
        <v>127</v>
      </c>
      <c r="D17" s="3" t="s">
        <v>10</v>
      </c>
      <c r="E17" s="2" t="s">
        <v>251</v>
      </c>
      <c r="F17" s="18">
        <v>36139</v>
      </c>
      <c r="G17" s="22">
        <v>23.38</v>
      </c>
      <c r="H17" s="2">
        <v>1.8</v>
      </c>
      <c r="I17" s="2">
        <v>98</v>
      </c>
      <c r="J17" s="2" t="s">
        <v>459</v>
      </c>
      <c r="K17" s="2">
        <v>0</v>
      </c>
      <c r="L17" s="2">
        <v>0</v>
      </c>
      <c r="M17" s="2">
        <v>0</v>
      </c>
      <c r="N17" s="2">
        <v>0</v>
      </c>
      <c r="O17" s="2">
        <v>0</v>
      </c>
      <c r="P17" s="2">
        <f>130+240</f>
        <v>370</v>
      </c>
      <c r="Q17" s="2">
        <f>688+1673</f>
        <v>2361</v>
      </c>
      <c r="R17" s="2">
        <f>3+18</f>
        <v>21</v>
      </c>
      <c r="S17" s="2">
        <f>21+22</f>
        <v>43</v>
      </c>
      <c r="T17" s="2">
        <f>197+150</f>
        <v>347</v>
      </c>
      <c r="U17" s="2">
        <f>1+0</f>
        <v>1</v>
      </c>
      <c r="V17" s="2">
        <v>0</v>
      </c>
      <c r="W17" s="2">
        <f>((L17/25)+(M17*4)-(N17*2)+(Q17/10)+(R17*6)+(S17*0.5)+(T17/10)+(U17*6)-(V17*2))/2</f>
        <v>212.15</v>
      </c>
      <c r="X17" s="2" t="s">
        <v>44</v>
      </c>
      <c r="Y17" s="2" t="s">
        <v>19</v>
      </c>
    </row>
    <row r="18" spans="1:25" x14ac:dyDescent="0.45">
      <c r="A18" s="2">
        <v>2022</v>
      </c>
      <c r="B18" s="2">
        <v>4</v>
      </c>
      <c r="C18" s="3">
        <v>131</v>
      </c>
      <c r="D18" s="3" t="s">
        <v>10</v>
      </c>
      <c r="E18" s="2" t="s">
        <v>210</v>
      </c>
      <c r="F18" s="18">
        <v>36490</v>
      </c>
      <c r="G18" s="22">
        <v>22.42</v>
      </c>
      <c r="H18" s="2">
        <v>1.88</v>
      </c>
      <c r="I18" s="2">
        <v>103</v>
      </c>
      <c r="J18" s="2" t="s">
        <v>458</v>
      </c>
      <c r="K18" s="2">
        <v>0</v>
      </c>
      <c r="L18" s="2">
        <v>0</v>
      </c>
      <c r="M18" s="2">
        <v>0</v>
      </c>
      <c r="N18" s="2">
        <v>0</v>
      </c>
      <c r="O18" s="2">
        <v>0</v>
      </c>
      <c r="P18" s="2">
        <f>61+270</f>
        <v>331</v>
      </c>
      <c r="Q18" s="2">
        <f>375+1327</f>
        <v>1702</v>
      </c>
      <c r="R18" s="2">
        <f>6+20</f>
        <v>26</v>
      </c>
      <c r="S18" s="2">
        <f>0+18</f>
        <v>18</v>
      </c>
      <c r="T18" s="2">
        <f>0+131</f>
        <v>131</v>
      </c>
      <c r="U18" s="2">
        <v>0</v>
      </c>
      <c r="V18" s="2">
        <v>0</v>
      </c>
      <c r="W18" s="2">
        <f>((L18/25)+(M18*4)-(N18*2)+(Q18/10)+(R18*6)+(S18*0.5)+(T18/10)+(U18*6)-(V18*2))/2</f>
        <v>174.15</v>
      </c>
      <c r="X18" s="2" t="s">
        <v>40</v>
      </c>
      <c r="Y18" s="2" t="s">
        <v>13</v>
      </c>
    </row>
    <row r="19" spans="1:25" x14ac:dyDescent="0.45">
      <c r="A19" s="2">
        <v>2022</v>
      </c>
      <c r="B19" s="2">
        <v>5</v>
      </c>
      <c r="C19" s="3">
        <v>151</v>
      </c>
      <c r="D19" s="3" t="s">
        <v>10</v>
      </c>
      <c r="E19" s="2" t="s">
        <v>203</v>
      </c>
      <c r="F19" s="18">
        <v>36631</v>
      </c>
      <c r="G19" s="22">
        <v>22.04</v>
      </c>
      <c r="H19" s="2">
        <v>1.8</v>
      </c>
      <c r="I19" s="2">
        <v>100</v>
      </c>
      <c r="J19" s="2" t="s">
        <v>457</v>
      </c>
      <c r="K19" s="2">
        <v>0</v>
      </c>
      <c r="L19" s="2">
        <v>0</v>
      </c>
      <c r="M19" s="2">
        <v>0</v>
      </c>
      <c r="N19" s="2">
        <v>0</v>
      </c>
      <c r="O19" s="2">
        <v>0</v>
      </c>
      <c r="P19" s="2">
        <f>150+276</f>
        <v>426</v>
      </c>
      <c r="Q19" s="2">
        <f>1130+1606</f>
        <v>2736</v>
      </c>
      <c r="R19" s="2">
        <f>13+23</f>
        <v>36</v>
      </c>
      <c r="S19" s="2">
        <f>14+28</f>
        <v>42</v>
      </c>
      <c r="T19" s="2">
        <f>174+199</f>
        <v>373</v>
      </c>
      <c r="U19" s="2">
        <v>0</v>
      </c>
      <c r="V19" s="2">
        <v>0</v>
      </c>
      <c r="W19" s="2">
        <f>((L19/25)+(M19*4)-(N19*2)+(Q19/10)+(R19*6)+(S19*0.5)+(T19/10)+(U19*6)-(V19*2))/2</f>
        <v>273.95</v>
      </c>
      <c r="X19" s="2" t="s">
        <v>28</v>
      </c>
      <c r="Y19" s="2" t="s">
        <v>14</v>
      </c>
    </row>
    <row r="20" spans="1:25" x14ac:dyDescent="0.45">
      <c r="A20" s="2">
        <v>2022</v>
      </c>
      <c r="B20" s="2">
        <v>5</v>
      </c>
      <c r="C20" s="3">
        <v>154</v>
      </c>
      <c r="D20" s="3" t="s">
        <v>10</v>
      </c>
      <c r="E20" s="2" t="s">
        <v>212</v>
      </c>
      <c r="F20" s="18">
        <v>36739</v>
      </c>
      <c r="G20" s="22">
        <v>21.74</v>
      </c>
      <c r="H20" s="2">
        <v>1.78</v>
      </c>
      <c r="I20" s="2">
        <v>101</v>
      </c>
      <c r="J20" s="2" t="s">
        <v>470</v>
      </c>
      <c r="K20" s="2">
        <v>0</v>
      </c>
      <c r="L20" s="2">
        <v>0</v>
      </c>
      <c r="M20" s="2">
        <v>0</v>
      </c>
      <c r="N20" s="2">
        <v>0</v>
      </c>
      <c r="O20" s="2">
        <v>0</v>
      </c>
      <c r="P20" s="2">
        <f>93+130</f>
        <v>223</v>
      </c>
      <c r="Q20" s="2">
        <f>421+647</f>
        <v>1068</v>
      </c>
      <c r="R20" s="2">
        <f>8+13</f>
        <v>21</v>
      </c>
      <c r="S20" s="2">
        <f>12+14</f>
        <v>26</v>
      </c>
      <c r="T20" s="2">
        <f>83+82</f>
        <v>165</v>
      </c>
      <c r="U20" s="2">
        <v>0</v>
      </c>
      <c r="V20" s="2">
        <v>0</v>
      </c>
      <c r="W20" s="2">
        <f>((L20/25)+(M20*4)-(N20*2)+(Q20/10)+(R20*6)+(S20*0.5)+(T20/10)+(U20*6)-(V20*2))/2</f>
        <v>131.15</v>
      </c>
      <c r="X20" s="2" t="s">
        <v>24</v>
      </c>
      <c r="Y20" s="2" t="s">
        <v>23</v>
      </c>
    </row>
    <row r="21" spans="1:25" x14ac:dyDescent="0.45">
      <c r="A21" s="2">
        <v>2022</v>
      </c>
      <c r="B21" s="2">
        <v>5</v>
      </c>
      <c r="C21" s="3">
        <v>156</v>
      </c>
      <c r="D21" s="3" t="s">
        <v>10</v>
      </c>
      <c r="E21" s="2" t="s">
        <v>184</v>
      </c>
      <c r="F21" s="18">
        <v>36415</v>
      </c>
      <c r="G21" s="22">
        <v>22.63</v>
      </c>
      <c r="H21" s="2">
        <v>1.78</v>
      </c>
      <c r="I21" s="2">
        <v>95</v>
      </c>
      <c r="J21" s="2" t="s">
        <v>471</v>
      </c>
      <c r="K21" s="2">
        <v>0</v>
      </c>
      <c r="L21" s="2">
        <v>0</v>
      </c>
      <c r="M21" s="2">
        <v>0</v>
      </c>
      <c r="N21" s="2">
        <v>0</v>
      </c>
      <c r="O21" s="2">
        <v>0</v>
      </c>
      <c r="P21" s="2">
        <f>73+215</f>
        <v>288</v>
      </c>
      <c r="Q21" s="2">
        <f>483+1319</f>
        <v>1802</v>
      </c>
      <c r="R21" s="2">
        <f>8+19</f>
        <v>27</v>
      </c>
      <c r="S21" s="2">
        <f>8+21</f>
        <v>29</v>
      </c>
      <c r="T21" s="2">
        <f>51+220</f>
        <v>271</v>
      </c>
      <c r="U21" s="2">
        <f>0+1</f>
        <v>1</v>
      </c>
      <c r="V21" s="2">
        <v>0</v>
      </c>
      <c r="W21" s="2">
        <f>((L21/25)+(M21*4)-(N21*2)+(Q21/10)+(R21*6)+(S21*0.5)+(T21/10)+(U21*6)-(V21*2))/2</f>
        <v>194.9</v>
      </c>
      <c r="X21" s="2" t="s">
        <v>22</v>
      </c>
      <c r="Y21" s="2" t="s">
        <v>21</v>
      </c>
    </row>
    <row r="22" spans="1:25" x14ac:dyDescent="0.45">
      <c r="A22" s="2">
        <v>2022</v>
      </c>
      <c r="B22" s="2">
        <v>5</v>
      </c>
      <c r="C22" s="3">
        <v>164</v>
      </c>
      <c r="D22" s="3" t="s">
        <v>10</v>
      </c>
      <c r="E22" s="2" t="s">
        <v>211</v>
      </c>
      <c r="F22" s="18">
        <v>36764</v>
      </c>
      <c r="G22" s="22">
        <v>21.67</v>
      </c>
      <c r="H22" s="2">
        <v>1.75</v>
      </c>
      <c r="I22" s="2">
        <v>88</v>
      </c>
      <c r="J22" s="2" t="s">
        <v>472</v>
      </c>
      <c r="K22" s="2">
        <v>0</v>
      </c>
      <c r="L22" s="2">
        <v>0</v>
      </c>
      <c r="M22" s="2">
        <v>0</v>
      </c>
      <c r="N22" s="2">
        <v>0</v>
      </c>
      <c r="O22" s="2">
        <v>0</v>
      </c>
      <c r="P22" s="2">
        <f>211+204</f>
        <v>415</v>
      </c>
      <c r="Q22" s="2">
        <f>1125+1002</f>
        <v>2127</v>
      </c>
      <c r="R22" s="2">
        <f>13+14</f>
        <v>27</v>
      </c>
      <c r="S22" s="2">
        <f>35+42</f>
        <v>77</v>
      </c>
      <c r="T22" s="2">
        <f>313+359</f>
        <v>672</v>
      </c>
      <c r="U22" s="2">
        <f>1+3</f>
        <v>4</v>
      </c>
      <c r="V22" s="2">
        <v>0</v>
      </c>
      <c r="W22" s="2">
        <f>((L22/25)+(M22*4)-(N22*2)+(Q22/10)+(R22*6)+(S22*0.5)+(T22/10)+(U22*6)-(V22*2))/2</f>
        <v>252.2</v>
      </c>
      <c r="X22" s="2" t="s">
        <v>15</v>
      </c>
      <c r="Y22" s="2" t="s">
        <v>14</v>
      </c>
    </row>
    <row r="23" spans="1:25" x14ac:dyDescent="0.45">
      <c r="A23" s="2">
        <v>2022</v>
      </c>
      <c r="B23" s="2">
        <v>5</v>
      </c>
      <c r="C23" s="3">
        <v>169</v>
      </c>
      <c r="D23" s="3" t="s">
        <v>10</v>
      </c>
      <c r="E23" s="2" t="s">
        <v>218</v>
      </c>
      <c r="F23" s="18">
        <v>35927</v>
      </c>
      <c r="G23" s="22">
        <v>23.96</v>
      </c>
      <c r="H23" s="2">
        <v>1.8</v>
      </c>
      <c r="I23" s="2">
        <v>93</v>
      </c>
      <c r="J23" s="2" t="s">
        <v>473</v>
      </c>
      <c r="K23" s="2">
        <v>0</v>
      </c>
      <c r="L23" s="2">
        <v>0</v>
      </c>
      <c r="M23" s="2">
        <v>0</v>
      </c>
      <c r="N23" s="2">
        <v>0</v>
      </c>
      <c r="O23" s="2">
        <v>0</v>
      </c>
      <c r="P23" s="2">
        <f>100+182</f>
        <v>282</v>
      </c>
      <c r="Q23" s="2">
        <f>456+1092</f>
        <v>1548</v>
      </c>
      <c r="R23" s="2">
        <f>4+13</f>
        <v>17</v>
      </c>
      <c r="S23" s="2">
        <f>16+15</f>
        <v>31</v>
      </c>
      <c r="T23" s="2">
        <f>111+216</f>
        <v>327</v>
      </c>
      <c r="U23" s="2">
        <f>0+1</f>
        <v>1</v>
      </c>
      <c r="V23" s="2">
        <v>0</v>
      </c>
      <c r="W23" s="2">
        <f>((L23/25)+(M23*4)-(N23*2)+(Q23/10)+(R23*6)+(S23*0.5)+(T23/10)+(U23*6)-(V23*2))/2</f>
        <v>155.5</v>
      </c>
      <c r="X23" s="2" t="s">
        <v>5</v>
      </c>
      <c r="Y23" s="2" t="s">
        <v>4</v>
      </c>
    </row>
    <row r="24" spans="1:25" x14ac:dyDescent="0.45">
      <c r="A24" s="2">
        <v>2022</v>
      </c>
      <c r="B24" s="2">
        <v>1</v>
      </c>
      <c r="C24" s="3">
        <v>8</v>
      </c>
      <c r="D24" s="3" t="s">
        <v>17</v>
      </c>
      <c r="E24" s="2" t="s">
        <v>189</v>
      </c>
      <c r="F24" s="18">
        <v>37096</v>
      </c>
      <c r="G24" s="22">
        <v>20.76</v>
      </c>
      <c r="H24" s="2">
        <v>1.93</v>
      </c>
      <c r="I24" s="2">
        <v>97</v>
      </c>
      <c r="J24" s="2" t="s">
        <v>457</v>
      </c>
      <c r="K24" s="2">
        <v>0</v>
      </c>
      <c r="L24" s="2">
        <v>0</v>
      </c>
      <c r="M24" s="2">
        <v>0</v>
      </c>
      <c r="N24" s="2">
        <v>0</v>
      </c>
      <c r="O24" s="2">
        <v>0</v>
      </c>
      <c r="P24" s="2">
        <v>1</v>
      </c>
      <c r="Q24" s="2">
        <v>2</v>
      </c>
      <c r="R24" s="2">
        <v>0</v>
      </c>
      <c r="S24" s="2">
        <f>33+88</f>
        <v>121</v>
      </c>
      <c r="T24" s="2">
        <f>502+1084</f>
        <v>1586</v>
      </c>
      <c r="U24" s="2">
        <f>3+7</f>
        <v>10</v>
      </c>
      <c r="V24" s="2">
        <v>0</v>
      </c>
      <c r="W24" s="2">
        <f>((L24/25)+(M24*4)-(N24*2)+(Q24/10)+(R24*6)+(S24*0.5)+(T24/10)+(U24*6)-(V24*2))/2</f>
        <v>139.65</v>
      </c>
      <c r="X24" s="2" t="s">
        <v>63</v>
      </c>
      <c r="Y24" s="2" t="s">
        <v>6</v>
      </c>
    </row>
    <row r="25" spans="1:25" x14ac:dyDescent="0.45">
      <c r="A25" s="2">
        <v>2022</v>
      </c>
      <c r="B25" s="2">
        <v>1</v>
      </c>
      <c r="C25" s="3">
        <v>10</v>
      </c>
      <c r="D25" s="3" t="s">
        <v>17</v>
      </c>
      <c r="E25" s="2" t="s">
        <v>185</v>
      </c>
      <c r="F25" s="18">
        <v>36729</v>
      </c>
      <c r="G25" s="22">
        <v>21.77</v>
      </c>
      <c r="H25" s="2">
        <v>1.83</v>
      </c>
      <c r="I25" s="2">
        <v>87</v>
      </c>
      <c r="J25" s="2" t="s">
        <v>454</v>
      </c>
      <c r="K25" s="2">
        <v>0</v>
      </c>
      <c r="L25" s="2">
        <v>0</v>
      </c>
      <c r="M25" s="2">
        <v>0</v>
      </c>
      <c r="N25" s="2">
        <v>0</v>
      </c>
      <c r="O25" s="2">
        <v>0</v>
      </c>
      <c r="P25" s="2">
        <f>2+4</f>
        <v>6</v>
      </c>
      <c r="Q25" s="2">
        <f>67+76</f>
        <v>143</v>
      </c>
      <c r="R25" s="2">
        <f>0+1</f>
        <v>1</v>
      </c>
      <c r="S25" s="2">
        <f>43+70</f>
        <v>113</v>
      </c>
      <c r="T25" s="2">
        <f>723+1058</f>
        <v>1781</v>
      </c>
      <c r="U25" s="2">
        <f>6+12</f>
        <v>18</v>
      </c>
      <c r="V25" s="2">
        <v>0</v>
      </c>
      <c r="W25" s="2">
        <f>((L25/25)+(M25*4)-(N25*2)+(Q25/10)+(R25*6)+(S25*0.5)+(T25/10)+(U25*6)-(V25*2))/2</f>
        <v>181.45</v>
      </c>
      <c r="X25" s="2" t="s">
        <v>20</v>
      </c>
      <c r="Y25" s="2" t="s">
        <v>13</v>
      </c>
    </row>
    <row r="26" spans="1:25" x14ac:dyDescent="0.45">
      <c r="A26" s="2">
        <v>2022</v>
      </c>
      <c r="B26" s="2">
        <v>1</v>
      </c>
      <c r="C26" s="3">
        <v>11</v>
      </c>
      <c r="D26" s="3" t="s">
        <v>17</v>
      </c>
      <c r="E26" s="2" t="s">
        <v>223</v>
      </c>
      <c r="F26" s="18">
        <v>36704</v>
      </c>
      <c r="G26" s="22">
        <v>21.84</v>
      </c>
      <c r="H26" s="2">
        <v>1.83</v>
      </c>
      <c r="I26" s="2">
        <v>85</v>
      </c>
      <c r="J26" s="2" t="s">
        <v>474</v>
      </c>
      <c r="K26" s="2">
        <v>0</v>
      </c>
      <c r="L26" s="2">
        <v>0</v>
      </c>
      <c r="M26" s="2">
        <v>0</v>
      </c>
      <c r="N26" s="2">
        <v>0</v>
      </c>
      <c r="O26" s="2">
        <v>0</v>
      </c>
      <c r="P26" s="2">
        <f>2+1</f>
        <v>3</v>
      </c>
      <c r="Q26" s="2">
        <f>5+0</f>
        <v>5</v>
      </c>
      <c r="R26" s="2">
        <v>0</v>
      </c>
      <c r="S26" s="2">
        <f>50+65</f>
        <v>115</v>
      </c>
      <c r="T26" s="2">
        <f>729+936</f>
        <v>1665</v>
      </c>
      <c r="U26" s="2">
        <f>7+13</f>
        <v>20</v>
      </c>
      <c r="V26" s="2">
        <v>0</v>
      </c>
      <c r="W26" s="2">
        <f>((L26/25)+(M26*4)-(N26*2)+(Q26/10)+(R26*6)+(S26*0.5)+(T26/10)+(U26*6)-(V26*2))/2</f>
        <v>172.25</v>
      </c>
      <c r="X26" s="2" t="s">
        <v>20</v>
      </c>
      <c r="Y26" s="2" t="s">
        <v>13</v>
      </c>
    </row>
    <row r="27" spans="1:25" x14ac:dyDescent="0.45">
      <c r="A27" s="2">
        <v>2022</v>
      </c>
      <c r="B27" s="2">
        <v>1</v>
      </c>
      <c r="C27" s="3">
        <v>12</v>
      </c>
      <c r="D27" s="3" t="s">
        <v>17</v>
      </c>
      <c r="E27" s="2" t="s">
        <v>220</v>
      </c>
      <c r="F27" s="18">
        <v>36976</v>
      </c>
      <c r="G27" s="22">
        <v>21.09</v>
      </c>
      <c r="H27" s="2">
        <v>1.85</v>
      </c>
      <c r="I27" s="2">
        <v>82</v>
      </c>
      <c r="J27" s="2" t="s">
        <v>475</v>
      </c>
      <c r="K27" s="2">
        <v>0</v>
      </c>
      <c r="L27" s="2">
        <v>0</v>
      </c>
      <c r="M27" s="2">
        <v>0</v>
      </c>
      <c r="N27" s="2">
        <v>0</v>
      </c>
      <c r="O27" s="2">
        <v>0</v>
      </c>
      <c r="P27" s="2">
        <f>3</f>
        <v>3</v>
      </c>
      <c r="Q27" s="2">
        <f>23</f>
        <v>23</v>
      </c>
      <c r="R27" s="2">
        <f>0</f>
        <v>0</v>
      </c>
      <c r="S27" s="2">
        <f>9+79</f>
        <v>88</v>
      </c>
      <c r="T27" s="2">
        <f>154+1572</f>
        <v>1726</v>
      </c>
      <c r="U27" s="2">
        <f>2+15</f>
        <v>17</v>
      </c>
      <c r="V27" s="2">
        <v>0</v>
      </c>
      <c r="W27" s="2">
        <f>((L27/25)+(M27*4)-(N27*2)+(Q27/10)+(R27*6)+(S27*0.5)+(T27/10)+(U27*6)-(V27*2))/2</f>
        <v>160.44999999999999</v>
      </c>
      <c r="X27" s="2" t="s">
        <v>47</v>
      </c>
      <c r="Y27" s="2" t="s">
        <v>23</v>
      </c>
    </row>
    <row r="28" spans="1:25" x14ac:dyDescent="0.45">
      <c r="A28" s="2">
        <v>2022</v>
      </c>
      <c r="B28" s="2">
        <v>1</v>
      </c>
      <c r="C28" s="3">
        <v>16</v>
      </c>
      <c r="D28" s="3" t="s">
        <v>17</v>
      </c>
      <c r="E28" s="2" t="s">
        <v>192</v>
      </c>
      <c r="F28" s="18">
        <v>36607</v>
      </c>
      <c r="G28" s="22">
        <v>22.1</v>
      </c>
      <c r="H28" s="2">
        <v>1.8</v>
      </c>
      <c r="I28" s="2">
        <v>83</v>
      </c>
      <c r="J28" s="2" t="s">
        <v>461</v>
      </c>
      <c r="K28" s="2">
        <v>0</v>
      </c>
      <c r="L28" s="2">
        <v>0</v>
      </c>
      <c r="M28" s="2">
        <v>0</v>
      </c>
      <c r="N28" s="2">
        <v>0</v>
      </c>
      <c r="O28" s="2">
        <v>0</v>
      </c>
      <c r="P28" s="2">
        <f>2+6</f>
        <v>8</v>
      </c>
      <c r="Q28" s="2">
        <f>0+18</f>
        <v>18</v>
      </c>
      <c r="R28" s="2">
        <f>0+1</f>
        <v>1</v>
      </c>
      <c r="S28" s="2">
        <f>52+91</f>
        <v>143</v>
      </c>
      <c r="T28" s="2">
        <f>884+1182</f>
        <v>2066</v>
      </c>
      <c r="U28" s="2">
        <f>8+12</f>
        <v>20</v>
      </c>
      <c r="V28" s="2">
        <v>0</v>
      </c>
      <c r="W28" s="2">
        <f>((L28/25)+(M28*4)-(N28*2)+(Q28/10)+(R28*6)+(S28*0.5)+(T28/10)+(U28*6)-(V28*2))/2</f>
        <v>202.95</v>
      </c>
      <c r="X28" s="2" t="s">
        <v>41</v>
      </c>
      <c r="Y28" s="2" t="s">
        <v>13</v>
      </c>
    </row>
    <row r="29" spans="1:25" x14ac:dyDescent="0.45">
      <c r="A29" s="2">
        <v>2022</v>
      </c>
      <c r="B29" s="2">
        <v>1</v>
      </c>
      <c r="C29" s="3">
        <v>18</v>
      </c>
      <c r="D29" s="3" t="s">
        <v>17</v>
      </c>
      <c r="E29" s="2" t="s">
        <v>197</v>
      </c>
      <c r="F29" s="18">
        <v>36608</v>
      </c>
      <c r="G29" s="22">
        <v>22.1</v>
      </c>
      <c r="H29" s="2">
        <v>1.88</v>
      </c>
      <c r="I29" s="2">
        <v>102</v>
      </c>
      <c r="J29" s="2" t="s">
        <v>458</v>
      </c>
      <c r="K29" s="2">
        <v>0</v>
      </c>
      <c r="L29" s="2">
        <v>0</v>
      </c>
      <c r="M29" s="2">
        <v>0</v>
      </c>
      <c r="N29" s="2">
        <v>0</v>
      </c>
      <c r="O29" s="2">
        <v>0</v>
      </c>
      <c r="P29" s="2">
        <f>15+14</f>
        <v>29</v>
      </c>
      <c r="Q29" s="2">
        <f>72+112</f>
        <v>184</v>
      </c>
      <c r="R29" s="2">
        <f>0+1</f>
        <v>1</v>
      </c>
      <c r="S29" s="2">
        <f>51+66</f>
        <v>117</v>
      </c>
      <c r="T29" s="2">
        <f>820+1104</f>
        <v>1924</v>
      </c>
      <c r="U29" s="2">
        <f>7+11</f>
        <v>18</v>
      </c>
      <c r="V29" s="2">
        <v>0</v>
      </c>
      <c r="W29" s="2">
        <f>((L29/25)+(M29*4)-(N29*2)+(Q29/10)+(R29*6)+(S29*0.5)+(T29/10)+(U29*6)-(V29*2))/2</f>
        <v>191.65</v>
      </c>
      <c r="X29" s="2" t="s">
        <v>72</v>
      </c>
      <c r="Y29" s="2" t="s">
        <v>23</v>
      </c>
    </row>
    <row r="30" spans="1:25" x14ac:dyDescent="0.45">
      <c r="A30" s="2">
        <v>2022</v>
      </c>
      <c r="B30" s="2">
        <v>2</v>
      </c>
      <c r="C30" s="3">
        <v>34</v>
      </c>
      <c r="D30" s="3" t="s">
        <v>17</v>
      </c>
      <c r="E30" s="2" t="s">
        <v>186</v>
      </c>
      <c r="F30" s="18">
        <v>36292</v>
      </c>
      <c r="G30" s="22">
        <v>22.96</v>
      </c>
      <c r="H30" s="2">
        <v>1.93</v>
      </c>
      <c r="I30" s="2">
        <v>94</v>
      </c>
      <c r="J30" s="2" t="s">
        <v>476</v>
      </c>
      <c r="K30" s="2">
        <v>0</v>
      </c>
      <c r="L30" s="2">
        <v>0</v>
      </c>
      <c r="M30" s="2">
        <v>0</v>
      </c>
      <c r="N30" s="2">
        <v>0</v>
      </c>
      <c r="O30" s="2">
        <v>0</v>
      </c>
      <c r="P30" s="2">
        <f>21+15</f>
        <v>36</v>
      </c>
      <c r="Q30" s="2">
        <f>116+114</f>
        <v>230</v>
      </c>
      <c r="R30" s="2">
        <f>0+1</f>
        <v>1</v>
      </c>
      <c r="S30" s="2">
        <f>18+43</f>
        <v>61</v>
      </c>
      <c r="T30" s="2">
        <f>437+800</f>
        <v>1237</v>
      </c>
      <c r="U30" s="2">
        <f>1+7</f>
        <v>8</v>
      </c>
      <c r="V30" s="2">
        <v>0</v>
      </c>
      <c r="W30" s="2">
        <f>((L30/25)+(M30*4)-(N30*2)+(Q30/10)+(R30*6)+(S30*0.5)+(T30/10)+(U30*6)-(V30*2))/2</f>
        <v>115.6</v>
      </c>
      <c r="X30" s="2" t="s">
        <v>38</v>
      </c>
      <c r="Y30" s="2" t="s">
        <v>19</v>
      </c>
    </row>
    <row r="31" spans="1:25" x14ac:dyDescent="0.45">
      <c r="A31" s="2">
        <v>2022</v>
      </c>
      <c r="B31" s="2">
        <v>2</v>
      </c>
      <c r="C31" s="3">
        <v>43</v>
      </c>
      <c r="D31" s="3" t="s">
        <v>17</v>
      </c>
      <c r="E31" s="2" t="s">
        <v>188</v>
      </c>
      <c r="F31" s="18">
        <v>36896</v>
      </c>
      <c r="G31" s="22">
        <v>21.31</v>
      </c>
      <c r="H31" s="2">
        <v>1.73</v>
      </c>
      <c r="I31" s="2">
        <v>84</v>
      </c>
      <c r="J31" s="2" t="s">
        <v>477</v>
      </c>
      <c r="K31" s="2">
        <v>0</v>
      </c>
      <c r="L31" s="2">
        <v>0</v>
      </c>
      <c r="M31" s="2">
        <v>0</v>
      </c>
      <c r="N31" s="2">
        <v>0</v>
      </c>
      <c r="O31" s="2">
        <v>0</v>
      </c>
      <c r="P31" s="2">
        <f>46+7</f>
        <v>53</v>
      </c>
      <c r="Q31" s="2">
        <f>240+111</f>
        <v>351</v>
      </c>
      <c r="R31" s="2">
        <f>1+0</f>
        <v>1</v>
      </c>
      <c r="S31" s="2">
        <f>51+104</f>
        <v>155</v>
      </c>
      <c r="T31" s="2">
        <f>461+1334</f>
        <v>1795</v>
      </c>
      <c r="U31" s="2">
        <f>1+7</f>
        <v>8</v>
      </c>
      <c r="V31" s="2">
        <v>0</v>
      </c>
      <c r="W31" s="2">
        <f>((L31/25)+(M31*4)-(N31*2)+(Q31/10)+(R31*6)+(S31*0.5)+(T31/10)+(U31*6)-(V31*2))/2</f>
        <v>173.05</v>
      </c>
      <c r="X31" s="2" t="s">
        <v>31</v>
      </c>
      <c r="Y31" s="2" t="s">
        <v>23</v>
      </c>
    </row>
    <row r="32" spans="1:25" x14ac:dyDescent="0.45">
      <c r="A32" s="2">
        <v>2022</v>
      </c>
      <c r="B32" s="2">
        <v>2</v>
      </c>
      <c r="C32" s="3">
        <v>44</v>
      </c>
      <c r="D32" s="3" t="s">
        <v>17</v>
      </c>
      <c r="E32" s="2" t="s">
        <v>246</v>
      </c>
      <c r="F32" s="18">
        <v>36725</v>
      </c>
      <c r="G32" s="22">
        <v>21.78</v>
      </c>
      <c r="H32" s="2">
        <v>1.8</v>
      </c>
      <c r="I32" s="2">
        <v>85</v>
      </c>
      <c r="J32" s="2" t="s">
        <v>466</v>
      </c>
      <c r="K32" s="2">
        <v>0</v>
      </c>
      <c r="L32" s="2">
        <v>0</v>
      </c>
      <c r="M32" s="2">
        <v>0</v>
      </c>
      <c r="N32" s="2">
        <v>0</v>
      </c>
      <c r="O32" s="2">
        <v>0</v>
      </c>
      <c r="P32" s="2">
        <f>1</f>
        <v>1</v>
      </c>
      <c r="Q32" s="2">
        <v>8</v>
      </c>
      <c r="R32" s="2">
        <v>0</v>
      </c>
      <c r="S32" s="2">
        <f>55+96</f>
        <v>151</v>
      </c>
      <c r="T32" s="2">
        <f>916+1142</f>
        <v>2058</v>
      </c>
      <c r="U32" s="2">
        <f>6+8</f>
        <v>14</v>
      </c>
      <c r="V32" s="2">
        <v>0</v>
      </c>
      <c r="W32" s="2">
        <f>((L32/25)+(M32*4)-(N32*2)+(Q32/10)+(R32*6)+(S32*0.5)+(T32/10)+(U32*6)-(V32*2))/2</f>
        <v>183.05</v>
      </c>
      <c r="X32" s="2" t="s">
        <v>47</v>
      </c>
      <c r="Y32" s="2" t="s">
        <v>23</v>
      </c>
    </row>
    <row r="33" spans="1:25" x14ac:dyDescent="0.45">
      <c r="A33" s="2">
        <v>2022</v>
      </c>
      <c r="B33" s="2">
        <v>2</v>
      </c>
      <c r="C33" s="3">
        <v>50</v>
      </c>
      <c r="D33" s="3" t="s">
        <v>17</v>
      </c>
      <c r="E33" s="2" t="s">
        <v>204</v>
      </c>
      <c r="F33" s="18">
        <v>36745</v>
      </c>
      <c r="G33" s="22">
        <v>21.72</v>
      </c>
      <c r="H33" s="2">
        <v>1.88</v>
      </c>
      <c r="I33" s="2">
        <v>84</v>
      </c>
      <c r="J33" s="2" t="s">
        <v>459</v>
      </c>
      <c r="K33" s="2">
        <v>0</v>
      </c>
      <c r="L33" s="2">
        <v>0</v>
      </c>
      <c r="M33" s="2">
        <v>0</v>
      </c>
      <c r="N33" s="2">
        <v>0</v>
      </c>
      <c r="O33" s="2">
        <v>0</v>
      </c>
      <c r="P33" s="2">
        <f>2+1</f>
        <v>3</v>
      </c>
      <c r="Q33" s="2">
        <f>2-11</f>
        <v>-9</v>
      </c>
      <c r="R33" s="2">
        <v>0</v>
      </c>
      <c r="S33" s="2">
        <f>16+62</f>
        <v>78</v>
      </c>
      <c r="T33" s="2">
        <f>158+948</f>
        <v>1106</v>
      </c>
      <c r="U33" s="2">
        <f>1+10</f>
        <v>11</v>
      </c>
      <c r="V33" s="2">
        <v>0</v>
      </c>
      <c r="W33" s="2">
        <f>((L33/25)+(M33*4)-(N33*2)+(Q33/10)+(R33*6)+(S33*0.5)+(T33/10)+(U33*6)-(V33*2))/2</f>
        <v>107.35</v>
      </c>
      <c r="X33" s="2" t="s">
        <v>56</v>
      </c>
      <c r="Y33" s="2" t="s">
        <v>26</v>
      </c>
    </row>
    <row r="34" spans="1:25" x14ac:dyDescent="0.45">
      <c r="A34" s="2">
        <v>2022</v>
      </c>
      <c r="B34" s="2">
        <v>2</v>
      </c>
      <c r="C34" s="3">
        <v>52</v>
      </c>
      <c r="D34" s="3" t="s">
        <v>17</v>
      </c>
      <c r="E34" s="2" t="s">
        <v>207</v>
      </c>
      <c r="F34" s="18">
        <v>36954</v>
      </c>
      <c r="G34" s="22">
        <v>21.15</v>
      </c>
      <c r="H34" s="2">
        <v>1.91</v>
      </c>
      <c r="I34" s="2">
        <v>91</v>
      </c>
      <c r="J34" s="2" t="s">
        <v>453</v>
      </c>
      <c r="K34" s="2">
        <v>0</v>
      </c>
      <c r="L34" s="2">
        <v>0</v>
      </c>
      <c r="M34" s="2">
        <v>0</v>
      </c>
      <c r="N34" s="2">
        <v>0</v>
      </c>
      <c r="O34" s="2">
        <v>0</v>
      </c>
      <c r="P34" s="2">
        <v>0</v>
      </c>
      <c r="Q34" s="2">
        <v>0</v>
      </c>
      <c r="R34" s="2">
        <v>0</v>
      </c>
      <c r="S34" s="2">
        <f>36+5</f>
        <v>41</v>
      </c>
      <c r="T34" s="2">
        <f>513+107</f>
        <v>620</v>
      </c>
      <c r="U34" s="2">
        <f>6+0</f>
        <v>6</v>
      </c>
      <c r="V34" s="2">
        <v>0</v>
      </c>
      <c r="W34" s="2">
        <f>((L34/25)+(M34*4)-(N34*2)+(Q34/10)+(R34*6)+(S34*0.5)+(T34/10)+(U34*6)-(V34*2))/2</f>
        <v>59.25</v>
      </c>
      <c r="X34" s="2" t="s">
        <v>39</v>
      </c>
      <c r="Y34" s="2" t="s">
        <v>23</v>
      </c>
    </row>
    <row r="35" spans="1:25" x14ac:dyDescent="0.45">
      <c r="A35" s="2">
        <v>2022</v>
      </c>
      <c r="B35" s="2">
        <v>2</v>
      </c>
      <c r="C35" s="3">
        <v>53</v>
      </c>
      <c r="D35" s="3" t="s">
        <v>17</v>
      </c>
      <c r="E35" s="2" t="s">
        <v>339</v>
      </c>
      <c r="F35" s="18">
        <v>36648</v>
      </c>
      <c r="G35" s="22">
        <v>21.99</v>
      </c>
      <c r="H35" s="2">
        <v>1.91</v>
      </c>
      <c r="I35" s="2">
        <v>96</v>
      </c>
      <c r="J35" s="2" t="s">
        <v>478</v>
      </c>
      <c r="K35" s="2">
        <v>0</v>
      </c>
      <c r="L35" s="2">
        <v>0</v>
      </c>
      <c r="M35" s="2">
        <v>0</v>
      </c>
      <c r="N35" s="2">
        <v>0</v>
      </c>
      <c r="O35" s="2">
        <v>0</v>
      </c>
      <c r="P35" s="2">
        <v>0</v>
      </c>
      <c r="Q35" s="2">
        <v>0</v>
      </c>
      <c r="R35" s="2">
        <v>0</v>
      </c>
      <c r="S35" s="2">
        <f>17+52</f>
        <v>69</v>
      </c>
      <c r="T35" s="2">
        <f>315+884</f>
        <v>1199</v>
      </c>
      <c r="U35" s="2">
        <f>3+8</f>
        <v>11</v>
      </c>
      <c r="V35" s="2">
        <v>0</v>
      </c>
      <c r="W35" s="2">
        <f>((L35/25)+(M35*4)-(N35*2)+(Q35/10)+(R35*6)+(S35*0.5)+(T35/10)+(U35*6)-(V35*2))/2</f>
        <v>110.2</v>
      </c>
      <c r="X35" s="2" t="s">
        <v>22</v>
      </c>
      <c r="Y35" s="2" t="s">
        <v>21</v>
      </c>
    </row>
    <row r="36" spans="1:25" x14ac:dyDescent="0.45">
      <c r="A36" s="2">
        <v>2022</v>
      </c>
      <c r="B36" s="2">
        <v>2</v>
      </c>
      <c r="C36" s="3">
        <v>54</v>
      </c>
      <c r="D36" s="3" t="s">
        <v>17</v>
      </c>
      <c r="E36" s="2" t="s">
        <v>195</v>
      </c>
      <c r="F36" s="18">
        <v>36779</v>
      </c>
      <c r="G36" s="22">
        <v>21.63</v>
      </c>
      <c r="H36" s="2">
        <v>1.78</v>
      </c>
      <c r="I36" s="2">
        <v>88</v>
      </c>
      <c r="J36" s="2" t="s">
        <v>479</v>
      </c>
      <c r="K36" s="2">
        <v>0</v>
      </c>
      <c r="L36" s="2">
        <v>0</v>
      </c>
      <c r="M36" s="2">
        <v>0</v>
      </c>
      <c r="N36" s="2">
        <v>0</v>
      </c>
      <c r="O36" s="2">
        <v>0</v>
      </c>
      <c r="P36" s="2">
        <f>1+1</f>
        <v>2</v>
      </c>
      <c r="Q36" s="2">
        <f>0+10</f>
        <v>10</v>
      </c>
      <c r="R36" s="2">
        <v>0</v>
      </c>
      <c r="S36" s="2">
        <f>25+95</f>
        <v>120</v>
      </c>
      <c r="T36" s="2">
        <f>388+1292</f>
        <v>1680</v>
      </c>
      <c r="U36" s="2">
        <f>3+10</f>
        <v>13</v>
      </c>
      <c r="V36" s="2">
        <v>0</v>
      </c>
      <c r="W36" s="2">
        <f>((L36/25)+(M36*4)-(N36*2)+(Q36/10)+(R36*6)+(S36*0.5)+(T36/10)+(U36*6)-(V36*2))/2</f>
        <v>153.5</v>
      </c>
      <c r="X36" s="2" t="s">
        <v>66</v>
      </c>
      <c r="Y36" s="2" t="s">
        <v>3</v>
      </c>
    </row>
    <row r="37" spans="1:25" x14ac:dyDescent="0.45">
      <c r="A37" s="2">
        <v>2022</v>
      </c>
      <c r="B37" s="2">
        <v>3</v>
      </c>
      <c r="C37" s="3">
        <v>71</v>
      </c>
      <c r="D37" s="3" t="s">
        <v>17</v>
      </c>
      <c r="E37" s="2" t="s">
        <v>247</v>
      </c>
      <c r="F37" s="18">
        <v>35561</v>
      </c>
      <c r="G37" s="22">
        <v>24.96</v>
      </c>
      <c r="H37" s="2">
        <v>1.83</v>
      </c>
      <c r="I37" s="2">
        <v>91</v>
      </c>
      <c r="J37" s="2" t="s">
        <v>480</v>
      </c>
      <c r="K37" s="2">
        <v>0</v>
      </c>
      <c r="L37" s="2">
        <v>0</v>
      </c>
      <c r="M37" s="2">
        <v>0</v>
      </c>
      <c r="N37" s="2">
        <v>0</v>
      </c>
      <c r="O37" s="2">
        <v>0</v>
      </c>
      <c r="P37" s="2">
        <f>3+1</f>
        <v>4</v>
      </c>
      <c r="Q37" s="2">
        <f>16+15</f>
        <v>31</v>
      </c>
      <c r="R37" s="2">
        <v>0</v>
      </c>
      <c r="S37" s="2">
        <f>22+61</f>
        <v>83</v>
      </c>
      <c r="T37" s="2">
        <f>280+807</f>
        <v>1087</v>
      </c>
      <c r="U37" s="2">
        <f>3+7</f>
        <v>10</v>
      </c>
      <c r="V37" s="2">
        <v>0</v>
      </c>
      <c r="W37" s="2">
        <f>((L37/25)+(M37*4)-(N37*2)+(Q37/10)+(R37*6)+(S37*0.5)+(T37/10)+(U37*6)-(V37*2))/2</f>
        <v>106.65</v>
      </c>
      <c r="X37" s="2" t="s">
        <v>62</v>
      </c>
      <c r="Y37" s="2" t="s">
        <v>23</v>
      </c>
    </row>
    <row r="38" spans="1:25" x14ac:dyDescent="0.45">
      <c r="A38" s="2">
        <v>2022</v>
      </c>
      <c r="B38" s="2">
        <v>3</v>
      </c>
      <c r="C38" s="3">
        <v>88</v>
      </c>
      <c r="D38" s="3" t="s">
        <v>17</v>
      </c>
      <c r="E38" s="2" t="s">
        <v>206</v>
      </c>
      <c r="F38" s="18">
        <v>36218</v>
      </c>
      <c r="G38" s="22">
        <v>23.17</v>
      </c>
      <c r="H38" s="2">
        <v>1.85</v>
      </c>
      <c r="I38" s="2">
        <v>88</v>
      </c>
      <c r="J38" s="2" t="s">
        <v>481</v>
      </c>
      <c r="K38" s="2">
        <v>0</v>
      </c>
      <c r="L38" s="2">
        <v>0</v>
      </c>
      <c r="M38" s="2">
        <v>0</v>
      </c>
      <c r="N38" s="2">
        <v>0</v>
      </c>
      <c r="O38" s="2">
        <v>0</v>
      </c>
      <c r="P38" s="2">
        <v>0</v>
      </c>
      <c r="Q38" s="2">
        <v>0</v>
      </c>
      <c r="R38" s="2">
        <v>0</v>
      </c>
      <c r="S38" s="2">
        <f>64+82</f>
        <v>146</v>
      </c>
      <c r="T38" s="2">
        <f>1085+1474</f>
        <v>2559</v>
      </c>
      <c r="U38" s="2">
        <f>8+8</f>
        <v>16</v>
      </c>
      <c r="V38" s="2">
        <v>0</v>
      </c>
      <c r="W38" s="2">
        <f>((L38/25)+(M38*4)-(N38*2)+(Q38/10)+(R38*6)+(S38*0.5)+(T38/10)+(U38*6)-(V38*2))/2</f>
        <v>212.45</v>
      </c>
      <c r="X38" s="2" t="s">
        <v>57</v>
      </c>
      <c r="Y38" s="2" t="s">
        <v>18</v>
      </c>
    </row>
    <row r="39" spans="1:25" x14ac:dyDescent="0.45">
      <c r="A39" s="2">
        <v>2022</v>
      </c>
      <c r="B39" s="2">
        <v>3</v>
      </c>
      <c r="C39" s="3">
        <v>99</v>
      </c>
      <c r="D39" s="3" t="s">
        <v>17</v>
      </c>
      <c r="E39" s="2" t="s">
        <v>187</v>
      </c>
      <c r="F39" s="18">
        <v>36874</v>
      </c>
      <c r="G39" s="22">
        <v>21.37</v>
      </c>
      <c r="H39" s="2">
        <v>1.85</v>
      </c>
      <c r="I39" s="2">
        <v>96</v>
      </c>
      <c r="J39" s="2" t="s">
        <v>471</v>
      </c>
      <c r="K39" s="2">
        <v>0</v>
      </c>
      <c r="L39" s="2">
        <v>0</v>
      </c>
      <c r="M39" s="2">
        <v>0</v>
      </c>
      <c r="N39" s="2">
        <v>0</v>
      </c>
      <c r="O39" s="2">
        <v>0</v>
      </c>
      <c r="P39" s="2">
        <f>3+3</f>
        <v>6</v>
      </c>
      <c r="Q39" s="2">
        <f>12+39</f>
        <v>51</v>
      </c>
      <c r="R39" s="2">
        <f>1+0</f>
        <v>1</v>
      </c>
      <c r="S39" s="2">
        <f>53+93</f>
        <v>146</v>
      </c>
      <c r="T39" s="2">
        <f>625+1286</f>
        <v>1911</v>
      </c>
      <c r="U39" s="2">
        <f>8+6</f>
        <v>14</v>
      </c>
      <c r="V39" s="2">
        <v>0</v>
      </c>
      <c r="W39" s="2">
        <f>((L39/25)+(M39*4)-(N39*2)+(Q39/10)+(R39*6)+(S39*0.5)+(T39/10)+(U39*6)-(V39*2))/2</f>
        <v>179.6</v>
      </c>
      <c r="X39" s="2" t="s">
        <v>53</v>
      </c>
      <c r="Y39" s="2" t="s">
        <v>13</v>
      </c>
    </row>
    <row r="40" spans="1:25" x14ac:dyDescent="0.45">
      <c r="A40" s="2">
        <v>2022</v>
      </c>
      <c r="B40" s="2">
        <v>2</v>
      </c>
      <c r="C40" s="3">
        <v>55</v>
      </c>
      <c r="D40" s="3" t="s">
        <v>9</v>
      </c>
      <c r="E40" s="2" t="s">
        <v>199</v>
      </c>
      <c r="F40" s="18">
        <v>36486</v>
      </c>
      <c r="G40" s="22">
        <v>22.43</v>
      </c>
      <c r="H40" s="2">
        <v>1.93</v>
      </c>
      <c r="I40" s="2">
        <v>112</v>
      </c>
      <c r="J40" s="2" t="s">
        <v>464</v>
      </c>
      <c r="K40" s="2">
        <v>0</v>
      </c>
      <c r="L40" s="2">
        <v>0</v>
      </c>
      <c r="M40" s="2">
        <v>0</v>
      </c>
      <c r="N40" s="2">
        <v>0</v>
      </c>
      <c r="O40" s="2">
        <v>0</v>
      </c>
      <c r="P40" s="2">
        <v>0</v>
      </c>
      <c r="Q40" s="2">
        <v>0</v>
      </c>
      <c r="R40" s="2">
        <v>0</v>
      </c>
      <c r="S40" s="2">
        <f>22+90</f>
        <v>112</v>
      </c>
      <c r="T40" s="2">
        <f>330+1121</f>
        <v>1451</v>
      </c>
      <c r="U40" s="2">
        <f>4+1</f>
        <v>5</v>
      </c>
      <c r="V40" s="2">
        <v>0</v>
      </c>
      <c r="W40" s="2">
        <f>((L40/25)+(M40*4)-(N40*2)+(Q40/10)+(R40*6)+(S40*0.75)+(T40/10)+(U40*6)-(V40*2))/2</f>
        <v>129.55000000000001</v>
      </c>
      <c r="X40" s="2" t="s">
        <v>65</v>
      </c>
      <c r="Y40" s="2" t="s">
        <v>11</v>
      </c>
    </row>
    <row r="41" spans="1:25" x14ac:dyDescent="0.45">
      <c r="A41" s="2">
        <v>2022</v>
      </c>
      <c r="B41" s="2">
        <v>3</v>
      </c>
      <c r="C41" s="3">
        <v>73</v>
      </c>
      <c r="D41" s="3" t="s">
        <v>9</v>
      </c>
      <c r="E41" s="2" t="s">
        <v>193</v>
      </c>
      <c r="F41" s="18">
        <v>36077</v>
      </c>
      <c r="G41" s="22">
        <v>23.55</v>
      </c>
      <c r="H41" s="2">
        <v>2.0099999999999998</v>
      </c>
      <c r="I41" s="2">
        <v>115</v>
      </c>
      <c r="J41" s="2" t="s">
        <v>478</v>
      </c>
      <c r="K41" s="2">
        <v>0</v>
      </c>
      <c r="L41" s="2">
        <v>0</v>
      </c>
      <c r="M41" s="2">
        <v>0</v>
      </c>
      <c r="N41" s="2">
        <v>0</v>
      </c>
      <c r="O41" s="2">
        <v>0</v>
      </c>
      <c r="P41" s="2">
        <f>1+1</f>
        <v>2</v>
      </c>
      <c r="Q41" s="2">
        <f>5+1</f>
        <v>6</v>
      </c>
      <c r="R41" s="2">
        <f>0+0</f>
        <v>0</v>
      </c>
      <c r="S41" s="2">
        <f>8+44</f>
        <v>52</v>
      </c>
      <c r="T41" s="2">
        <f>129+598</f>
        <v>727</v>
      </c>
      <c r="U41" s="2">
        <f>1+8</f>
        <v>9</v>
      </c>
      <c r="V41" s="2">
        <v>0</v>
      </c>
      <c r="W41" s="2">
        <f>((L41/25)+(M41*4)-(N41*2)+(Q41/10)+(R41*6)+(S41*0.75)+(T41/10)+(U41*6)-(V41*2))/2</f>
        <v>83.15</v>
      </c>
      <c r="X41" s="2" t="s">
        <v>61</v>
      </c>
      <c r="Y41" s="2" t="s">
        <v>4</v>
      </c>
    </row>
    <row r="42" spans="1:25" x14ac:dyDescent="0.45">
      <c r="A42" s="2">
        <v>2022</v>
      </c>
      <c r="B42" s="2">
        <v>3</v>
      </c>
      <c r="C42" s="3">
        <v>80</v>
      </c>
      <c r="D42" s="3" t="s">
        <v>9</v>
      </c>
      <c r="E42" s="2" t="s">
        <v>191</v>
      </c>
      <c r="F42" s="18">
        <v>36611</v>
      </c>
      <c r="G42" s="22">
        <v>22.09</v>
      </c>
      <c r="H42" s="2">
        <v>1.93</v>
      </c>
      <c r="I42" s="2">
        <v>111</v>
      </c>
      <c r="J42" s="2" t="s">
        <v>0</v>
      </c>
      <c r="K42" s="2">
        <v>0</v>
      </c>
      <c r="L42" s="2">
        <v>0</v>
      </c>
      <c r="M42" s="2">
        <v>0</v>
      </c>
      <c r="N42" s="2">
        <v>0</v>
      </c>
      <c r="O42" s="2">
        <v>0</v>
      </c>
      <c r="P42" s="2">
        <v>0</v>
      </c>
      <c r="Q42" s="2">
        <v>0</v>
      </c>
      <c r="R42" s="2">
        <v>0</v>
      </c>
      <c r="S42" s="2">
        <f>26+42</f>
        <v>68</v>
      </c>
      <c r="T42" s="2">
        <f>517+725</f>
        <v>1242</v>
      </c>
      <c r="U42" s="2">
        <f>5+5</f>
        <v>10</v>
      </c>
      <c r="V42" s="2">
        <v>0</v>
      </c>
      <c r="W42" s="2">
        <f>((L42/25)+(M42*4)-(N42*2)+(Q42/10)+(R42*6)+(S42*0.75)+(T42/10)+(U42*6)-(V42*2))/2</f>
        <v>117.6</v>
      </c>
      <c r="X42" s="2" t="s">
        <v>16</v>
      </c>
      <c r="Y42" s="2" t="s">
        <v>6</v>
      </c>
    </row>
    <row r="43" spans="1:25" x14ac:dyDescent="0.45">
      <c r="A43" s="2">
        <v>2022</v>
      </c>
      <c r="B43" s="2">
        <v>3</v>
      </c>
      <c r="C43" s="3">
        <v>101</v>
      </c>
      <c r="D43" s="3" t="s">
        <v>9</v>
      </c>
      <c r="E43" s="2" t="s">
        <v>209</v>
      </c>
      <c r="F43" s="18">
        <v>36749</v>
      </c>
      <c r="G43" s="22">
        <v>21.71</v>
      </c>
      <c r="H43" s="2">
        <v>1.96</v>
      </c>
      <c r="I43" s="2">
        <v>113</v>
      </c>
      <c r="J43" s="2" t="s">
        <v>454</v>
      </c>
      <c r="K43" s="2">
        <v>0</v>
      </c>
      <c r="L43" s="2">
        <v>0</v>
      </c>
      <c r="M43" s="2">
        <v>0</v>
      </c>
      <c r="N43" s="2">
        <v>0</v>
      </c>
      <c r="O43" s="2">
        <v>0</v>
      </c>
      <c r="P43" s="2">
        <v>0</v>
      </c>
      <c r="Q43" s="2">
        <v>0</v>
      </c>
      <c r="R43" s="2">
        <v>0</v>
      </c>
      <c r="S43" s="2">
        <f>13+23</f>
        <v>36</v>
      </c>
      <c r="T43" s="2">
        <f>151+284</f>
        <v>435</v>
      </c>
      <c r="U43" s="2">
        <f>5+3</f>
        <v>8</v>
      </c>
      <c r="V43" s="2">
        <v>0</v>
      </c>
      <c r="W43" s="2">
        <f>((L43/25)+(M43*4)-(N43*2)+(Q43/10)+(R43*6)+(S43*0.75)+(T43/10)+(U43*6)-(V43*2))/2</f>
        <v>59.25</v>
      </c>
      <c r="X43" s="2" t="s">
        <v>20</v>
      </c>
      <c r="Y43" s="2" t="s">
        <v>13</v>
      </c>
    </row>
    <row r="44" spans="1:25" x14ac:dyDescent="0.45">
      <c r="A44" s="2">
        <v>2022</v>
      </c>
      <c r="B44" s="2">
        <v>4</v>
      </c>
      <c r="C44" s="3">
        <v>106</v>
      </c>
      <c r="D44" s="3" t="s">
        <v>9</v>
      </c>
      <c r="E44" s="2" t="s">
        <v>349</v>
      </c>
      <c r="F44" s="18">
        <v>36265</v>
      </c>
      <c r="G44" s="22">
        <v>23.04</v>
      </c>
      <c r="H44" s="2">
        <v>1.96</v>
      </c>
      <c r="I44" s="2">
        <v>113</v>
      </c>
      <c r="J44" s="2" t="s">
        <v>467</v>
      </c>
      <c r="K44" s="2">
        <v>0</v>
      </c>
      <c r="L44" s="2">
        <v>0</v>
      </c>
      <c r="M44" s="2">
        <v>0</v>
      </c>
      <c r="N44" s="2">
        <v>0</v>
      </c>
      <c r="O44" s="2">
        <v>0</v>
      </c>
      <c r="P44" s="2">
        <v>0</v>
      </c>
      <c r="Q44" s="2">
        <v>0</v>
      </c>
      <c r="R44" s="2">
        <v>0</v>
      </c>
      <c r="S44" s="2">
        <f>18+28</f>
        <v>46</v>
      </c>
      <c r="T44" s="2">
        <f>258+250</f>
        <v>508</v>
      </c>
      <c r="U44" s="2">
        <f>3+1</f>
        <v>4</v>
      </c>
      <c r="V44" s="2">
        <v>0</v>
      </c>
      <c r="W44" s="2">
        <f>((L44/25)+(M44*4)-(N44*2)+(Q44/10)+(R44*6)+(S44*0.75)+(T44/10)+(U44*6)-(V44*2))/2</f>
        <v>54.65</v>
      </c>
      <c r="X44" s="2" t="s">
        <v>7</v>
      </c>
      <c r="Y44" s="2" t="s">
        <v>6</v>
      </c>
    </row>
    <row r="45" spans="1:25" x14ac:dyDescent="0.45">
      <c r="A45" s="2">
        <v>2022</v>
      </c>
      <c r="B45" s="2">
        <v>4</v>
      </c>
      <c r="C45" s="3">
        <v>112</v>
      </c>
      <c r="D45" s="3" t="s">
        <v>9</v>
      </c>
      <c r="E45" s="2" t="s">
        <v>198</v>
      </c>
      <c r="F45" s="18">
        <v>36791</v>
      </c>
      <c r="G45" s="22">
        <v>21.6</v>
      </c>
      <c r="H45" s="2">
        <v>1.96</v>
      </c>
      <c r="I45" s="2">
        <v>115</v>
      </c>
      <c r="J45" s="2" t="s">
        <v>477</v>
      </c>
      <c r="K45" s="2">
        <v>0</v>
      </c>
      <c r="L45" s="2">
        <v>0</v>
      </c>
      <c r="M45" s="2">
        <v>0</v>
      </c>
      <c r="N45" s="2">
        <v>0</v>
      </c>
      <c r="O45" s="2">
        <v>0</v>
      </c>
      <c r="P45" s="2">
        <f>1</f>
        <v>1</v>
      </c>
      <c r="Q45" s="2">
        <v>2</v>
      </c>
      <c r="R45" s="2">
        <v>0</v>
      </c>
      <c r="S45" s="2">
        <f>21+29</f>
        <v>50</v>
      </c>
      <c r="T45" s="2">
        <f>203+344</f>
        <v>547</v>
      </c>
      <c r="U45" s="2">
        <f>0+2</f>
        <v>2</v>
      </c>
      <c r="V45" s="2">
        <v>0</v>
      </c>
      <c r="W45" s="2">
        <f>((L45/25)+(M45*4)-(N45*2)+(Q45/10)+(R45*6)+(S45*0.75)+(T45/10)+(U45*6)-(V45*2))/2</f>
        <v>52.2</v>
      </c>
      <c r="X45" s="2" t="s">
        <v>295</v>
      </c>
      <c r="Y45" s="2" t="s">
        <v>11</v>
      </c>
    </row>
    <row r="46" spans="1:25" x14ac:dyDescent="0.45">
      <c r="A46" s="2">
        <v>2022</v>
      </c>
      <c r="B46" s="2">
        <v>4</v>
      </c>
      <c r="C46" s="3">
        <v>128</v>
      </c>
      <c r="D46" s="3" t="s">
        <v>9</v>
      </c>
      <c r="E46" s="2" t="s">
        <v>217</v>
      </c>
      <c r="F46" s="18">
        <v>36201</v>
      </c>
      <c r="G46" s="22">
        <v>23.21</v>
      </c>
      <c r="H46" s="2">
        <v>1.98</v>
      </c>
      <c r="I46" s="2">
        <v>117</v>
      </c>
      <c r="J46" s="2" t="s">
        <v>456</v>
      </c>
      <c r="K46" s="2">
        <v>0</v>
      </c>
      <c r="L46" s="2">
        <v>0</v>
      </c>
      <c r="M46" s="2">
        <v>0</v>
      </c>
      <c r="N46" s="2">
        <v>0</v>
      </c>
      <c r="O46" s="2">
        <v>0</v>
      </c>
      <c r="P46" s="2">
        <v>0</v>
      </c>
      <c r="Q46" s="2">
        <v>0</v>
      </c>
      <c r="R46" s="2">
        <v>0</v>
      </c>
      <c r="S46" s="2">
        <f>44+58</f>
        <v>102</v>
      </c>
      <c r="T46" s="2">
        <f>591+723</f>
        <v>1314</v>
      </c>
      <c r="U46" s="2">
        <f>7+5</f>
        <v>12</v>
      </c>
      <c r="V46" s="2">
        <v>0</v>
      </c>
      <c r="W46" s="2">
        <f>((L46/25)+(M46*4)-(N46*2)+(Q46/10)+(R46*6)+(S46*0.75)+(T46/10)+(U46*6)-(V46*2))/2</f>
        <v>139.94999999999999</v>
      </c>
      <c r="X46" s="2" t="s">
        <v>43</v>
      </c>
      <c r="Y46" s="2" t="s">
        <v>26</v>
      </c>
    </row>
    <row r="47" spans="1:25" x14ac:dyDescent="0.45">
      <c r="A47" s="2">
        <v>2022</v>
      </c>
      <c r="B47" s="2">
        <v>4</v>
      </c>
      <c r="C47" s="3">
        <v>129</v>
      </c>
      <c r="D47" s="3" t="s">
        <v>9</v>
      </c>
      <c r="E47" s="2" t="s">
        <v>214</v>
      </c>
      <c r="F47" s="18">
        <v>36178</v>
      </c>
      <c r="G47" s="22">
        <v>23.28</v>
      </c>
      <c r="H47" s="2">
        <v>1.96</v>
      </c>
      <c r="I47" s="2">
        <v>111</v>
      </c>
      <c r="J47" s="2" t="s">
        <v>481</v>
      </c>
      <c r="K47" s="2">
        <v>0</v>
      </c>
      <c r="L47" s="2">
        <v>0</v>
      </c>
      <c r="M47" s="2">
        <v>0</v>
      </c>
      <c r="N47" s="2">
        <v>0</v>
      </c>
      <c r="O47" s="2">
        <v>0</v>
      </c>
      <c r="P47" s="2">
        <v>0</v>
      </c>
      <c r="Q47" s="2">
        <v>0</v>
      </c>
      <c r="R47" s="2">
        <v>0</v>
      </c>
      <c r="S47" s="2">
        <f>30+43</f>
        <v>73</v>
      </c>
      <c r="T47" s="2">
        <f>305+417</f>
        <v>722</v>
      </c>
      <c r="U47" s="2">
        <f>4+2</f>
        <v>6</v>
      </c>
      <c r="V47" s="2">
        <v>0</v>
      </c>
      <c r="W47" s="2">
        <f>((L47/25)+(M47*4)-(N47*2)+(Q47/10)+(R47*6)+(S47*0.75)+(T47/10)+(U47*6)-(V47*2))/2</f>
        <v>81.474999999999994</v>
      </c>
      <c r="X47" s="2" t="s">
        <v>42</v>
      </c>
      <c r="Y47" s="2" t="s">
        <v>13</v>
      </c>
    </row>
    <row r="48" spans="1:25" x14ac:dyDescent="0.45">
      <c r="A48" s="2">
        <v>2022</v>
      </c>
      <c r="B48" s="2">
        <v>4</v>
      </c>
      <c r="C48" s="3">
        <v>139</v>
      </c>
      <c r="D48" s="3" t="s">
        <v>9</v>
      </c>
      <c r="E48" s="2" t="s">
        <v>216</v>
      </c>
      <c r="F48" s="18">
        <v>36634</v>
      </c>
      <c r="G48" s="22">
        <v>22.03</v>
      </c>
      <c r="H48" s="2">
        <v>1.93</v>
      </c>
      <c r="I48" s="2">
        <v>108</v>
      </c>
      <c r="J48" s="2" t="s">
        <v>456</v>
      </c>
      <c r="K48" s="2">
        <v>0</v>
      </c>
      <c r="L48" s="2">
        <v>0</v>
      </c>
      <c r="M48" s="2">
        <v>0</v>
      </c>
      <c r="N48" s="2">
        <v>0</v>
      </c>
      <c r="O48" s="2">
        <v>0</v>
      </c>
      <c r="P48" s="2">
        <f>0+3</f>
        <v>3</v>
      </c>
      <c r="Q48" s="2">
        <f>0+10</f>
        <v>10</v>
      </c>
      <c r="R48" s="2">
        <f>0+0</f>
        <v>0</v>
      </c>
      <c r="S48" s="2">
        <f>30+52</f>
        <v>82</v>
      </c>
      <c r="T48" s="2">
        <f>601+816</f>
        <v>1417</v>
      </c>
      <c r="U48" s="2">
        <f>5+10</f>
        <v>15</v>
      </c>
      <c r="V48" s="2">
        <v>0</v>
      </c>
      <c r="W48" s="2">
        <f>((L48/25)+(M48*4)-(N48*2)+(Q48/10)+(R48*6)+(S48*0.75)+(T48/10)+(U48*6)-(V48*2))/2</f>
        <v>147.1</v>
      </c>
      <c r="X48" s="2" t="s">
        <v>296</v>
      </c>
      <c r="Y48" s="2" t="s">
        <v>18</v>
      </c>
    </row>
    <row r="49" spans="1:25" x14ac:dyDescent="0.45">
      <c r="A49" s="2">
        <v>2022</v>
      </c>
      <c r="B49" s="2">
        <v>4</v>
      </c>
      <c r="C49" s="3">
        <v>143</v>
      </c>
      <c r="D49" s="3" t="s">
        <v>9</v>
      </c>
      <c r="E49" s="2" t="s">
        <v>215</v>
      </c>
      <c r="F49" s="18">
        <v>36411</v>
      </c>
      <c r="G49" s="22">
        <v>22.64</v>
      </c>
      <c r="H49" s="2">
        <v>1.91</v>
      </c>
      <c r="I49" s="2">
        <v>108</v>
      </c>
      <c r="J49" s="2" t="s">
        <v>458</v>
      </c>
      <c r="K49" s="2">
        <v>0</v>
      </c>
      <c r="L49" s="2">
        <v>0</v>
      </c>
      <c r="M49" s="2">
        <v>0</v>
      </c>
      <c r="N49" s="2">
        <v>0</v>
      </c>
      <c r="O49" s="2">
        <v>0</v>
      </c>
      <c r="P49" s="2">
        <v>0</v>
      </c>
      <c r="Q49" s="2">
        <v>0</v>
      </c>
      <c r="R49" s="2">
        <v>0</v>
      </c>
      <c r="S49" s="2">
        <f>0+49</f>
        <v>49</v>
      </c>
      <c r="T49" s="2">
        <f>0+433</f>
        <v>433</v>
      </c>
      <c r="U49" s="2">
        <f>0+5</f>
        <v>5</v>
      </c>
      <c r="V49" s="2">
        <v>0</v>
      </c>
      <c r="W49" s="2">
        <f>((L49/25)+(M49*4)-(N49*2)+(Q49/10)+(R49*6)+(S49*0.75)+(T49/10)+(U49*6)-(V49*2))/2</f>
        <v>55.024999999999999</v>
      </c>
      <c r="X49" s="2" t="s">
        <v>33</v>
      </c>
      <c r="Y49" s="2" t="s">
        <v>13</v>
      </c>
    </row>
    <row r="50" spans="1:25" x14ac:dyDescent="0.45">
      <c r="A50" s="2">
        <v>2023</v>
      </c>
      <c r="B50" s="2">
        <v>1</v>
      </c>
      <c r="C50" s="3">
        <v>1</v>
      </c>
      <c r="D50" s="3" t="s">
        <v>32</v>
      </c>
      <c r="E50" s="2" t="s">
        <v>94</v>
      </c>
      <c r="F50" s="18">
        <v>37097</v>
      </c>
      <c r="G50" s="22">
        <v>21.76</v>
      </c>
      <c r="H50" s="2">
        <v>1.78</v>
      </c>
      <c r="I50" s="2">
        <v>88</v>
      </c>
      <c r="J50" s="2" t="s">
        <v>460</v>
      </c>
      <c r="K50" s="2">
        <f>(67+64.5)/2</f>
        <v>65.75</v>
      </c>
      <c r="L50" s="2">
        <f>8356-156</f>
        <v>8200</v>
      </c>
      <c r="M50" s="2">
        <v>79</v>
      </c>
      <c r="N50" s="2">
        <v>12</v>
      </c>
      <c r="O50" s="2">
        <f>(167.4+163.2)/2</f>
        <v>165.3</v>
      </c>
      <c r="P50" s="2">
        <v>130</v>
      </c>
      <c r="Q50" s="2">
        <v>185</v>
      </c>
      <c r="R50" s="2">
        <v>7</v>
      </c>
      <c r="S50" s="2">
        <v>0</v>
      </c>
      <c r="T50" s="2">
        <v>0</v>
      </c>
      <c r="U50" s="2">
        <v>0</v>
      </c>
      <c r="V50" s="2">
        <v>0</v>
      </c>
      <c r="W50" s="2">
        <f>((L50/25)+(M50*4)-(N50*2)+(Q50/10)+(R50*6)+(S50*0.5)+(T50/10)+(U50*6)-(V50*2))/2</f>
        <v>340.25</v>
      </c>
      <c r="X50" s="2" t="s">
        <v>47</v>
      </c>
      <c r="Y50" s="2" t="s">
        <v>23</v>
      </c>
    </row>
    <row r="51" spans="1:25" x14ac:dyDescent="0.45">
      <c r="A51" s="2">
        <v>2023</v>
      </c>
      <c r="B51" s="2">
        <v>1</v>
      </c>
      <c r="C51" s="3">
        <v>2</v>
      </c>
      <c r="D51" s="3" t="s">
        <v>32</v>
      </c>
      <c r="E51" s="2" t="s">
        <v>95</v>
      </c>
      <c r="F51" s="18">
        <v>37167</v>
      </c>
      <c r="G51" s="22">
        <v>21.56</v>
      </c>
      <c r="H51" s="2">
        <v>1.9</v>
      </c>
      <c r="I51" s="2">
        <v>97</v>
      </c>
      <c r="J51" s="2" t="s">
        <v>466</v>
      </c>
      <c r="K51" s="2">
        <v>69.3</v>
      </c>
      <c r="L51" s="2">
        <v>7775</v>
      </c>
      <c r="M51" s="2">
        <v>81</v>
      </c>
      <c r="N51" s="2">
        <v>12</v>
      </c>
      <c r="O51" s="2">
        <v>187.2</v>
      </c>
      <c r="P51" s="2">
        <v>68</v>
      </c>
      <c r="Q51" s="2">
        <v>102</v>
      </c>
      <c r="R51" s="2">
        <v>1</v>
      </c>
      <c r="S51" s="2">
        <v>0</v>
      </c>
      <c r="T51" s="2">
        <v>0</v>
      </c>
      <c r="U51" s="2">
        <v>0</v>
      </c>
      <c r="V51" s="2">
        <v>0</v>
      </c>
      <c r="W51" s="2">
        <f>((L51/25)+(M51*4)-(N51*2)+(Q51/10)+(R51*6)+(S51*0.5)+(T51/10)+(U51*6)-(V51*2))/2</f>
        <v>313.60000000000002</v>
      </c>
      <c r="X51" s="2" t="s">
        <v>20</v>
      </c>
      <c r="Y51" s="2" t="s">
        <v>13</v>
      </c>
    </row>
    <row r="52" spans="1:25" x14ac:dyDescent="0.45">
      <c r="A52" s="2">
        <v>2023</v>
      </c>
      <c r="B52" s="2">
        <v>1</v>
      </c>
      <c r="C52" s="3">
        <v>4</v>
      </c>
      <c r="D52" s="3" t="s">
        <v>32</v>
      </c>
      <c r="E52" s="2" t="s">
        <v>88</v>
      </c>
      <c r="F52" s="18">
        <v>37398</v>
      </c>
      <c r="G52" s="22">
        <v>20.93</v>
      </c>
      <c r="H52" s="2">
        <v>1.93</v>
      </c>
      <c r="I52" s="2">
        <v>107</v>
      </c>
      <c r="J52" s="2" t="s">
        <v>478</v>
      </c>
      <c r="K52" s="2">
        <f>(59.4+53.8)/2</f>
        <v>56.599999999999994</v>
      </c>
      <c r="L52" s="2">
        <f>3105-27</f>
        <v>3078</v>
      </c>
      <c r="M52" s="2">
        <v>23</v>
      </c>
      <c r="N52" s="2">
        <v>14</v>
      </c>
      <c r="O52" s="2">
        <f>(144.1+131)/2</f>
        <v>137.55000000000001</v>
      </c>
      <c r="P52" s="2">
        <f>161-7</f>
        <v>154</v>
      </c>
      <c r="Q52" s="2">
        <f>1116-61</f>
        <v>1055</v>
      </c>
      <c r="R52" s="2">
        <v>12</v>
      </c>
      <c r="S52" s="2">
        <v>0</v>
      </c>
      <c r="T52" s="2">
        <v>0</v>
      </c>
      <c r="U52" s="2">
        <v>0</v>
      </c>
      <c r="V52" s="2">
        <v>0</v>
      </c>
      <c r="W52" s="2">
        <f>((L52/25)+(M52*4)-(N52*2)+(Q52/10)+(R52*6)+(S52*0.5)+(T52/10)+(U52*6)-(V52*2))/2</f>
        <v>182.31</v>
      </c>
      <c r="X52" s="2" t="s">
        <v>50</v>
      </c>
      <c r="Y52" s="2" t="s">
        <v>23</v>
      </c>
    </row>
    <row r="53" spans="1:25" x14ac:dyDescent="0.45">
      <c r="A53" s="2">
        <v>2023</v>
      </c>
      <c r="B53" s="2">
        <v>2</v>
      </c>
      <c r="C53" s="3">
        <v>33</v>
      </c>
      <c r="D53" s="3" t="s">
        <v>32</v>
      </c>
      <c r="E53" s="2" t="s">
        <v>96</v>
      </c>
      <c r="F53" s="18">
        <v>36338</v>
      </c>
      <c r="G53" s="22">
        <v>23.83</v>
      </c>
      <c r="H53" s="2">
        <v>1.93</v>
      </c>
      <c r="I53" s="2">
        <v>105</v>
      </c>
      <c r="J53" s="2" t="s">
        <v>458</v>
      </c>
      <c r="K53" s="2">
        <f>(66+65.4)/2</f>
        <v>65.7</v>
      </c>
      <c r="L53" s="2">
        <f>2826+2406</f>
        <v>5232</v>
      </c>
      <c r="M53" s="2">
        <f>24+19</f>
        <v>43</v>
      </c>
      <c r="N53" s="2">
        <v>23</v>
      </c>
      <c r="O53" s="2">
        <f>(148.3+151.9)/2</f>
        <v>150.10000000000002</v>
      </c>
      <c r="P53" s="2">
        <f>107+72</f>
        <v>179</v>
      </c>
      <c r="Q53" s="2">
        <f>376-107</f>
        <v>269</v>
      </c>
      <c r="R53" s="2">
        <v>11</v>
      </c>
      <c r="S53" s="2">
        <v>0</v>
      </c>
      <c r="T53" s="2">
        <v>0</v>
      </c>
      <c r="U53" s="2">
        <v>0</v>
      </c>
      <c r="V53" s="2">
        <v>0</v>
      </c>
      <c r="W53" s="2">
        <f>((L53/25)+(M53*4)-(N53*2)+(Q53/10)+(R53*6)+(S53*0.5)+(T53/10)+(U53*6)-(V53*2))/2</f>
        <v>214.08999999999997</v>
      </c>
      <c r="X53" s="2" t="s">
        <v>31</v>
      </c>
      <c r="Y53" s="2" t="s">
        <v>23</v>
      </c>
    </row>
    <row r="54" spans="1:25" x14ac:dyDescent="0.45">
      <c r="A54" s="2">
        <v>2023</v>
      </c>
      <c r="B54" s="2">
        <v>3</v>
      </c>
      <c r="C54" s="3">
        <v>68</v>
      </c>
      <c r="D54" s="3" t="s">
        <v>32</v>
      </c>
      <c r="E54" s="2" t="s">
        <v>104</v>
      </c>
      <c r="F54" s="18">
        <v>35808</v>
      </c>
      <c r="G54" s="22">
        <v>25.29</v>
      </c>
      <c r="H54" s="2">
        <v>1.93</v>
      </c>
      <c r="I54" s="2">
        <v>101</v>
      </c>
      <c r="J54" s="2" t="s">
        <v>475</v>
      </c>
      <c r="K54" s="2">
        <f>(68.2+70)/2</f>
        <v>69.099999999999994</v>
      </c>
      <c r="L54" s="2">
        <f>2945+3135</f>
        <v>6080</v>
      </c>
      <c r="M54" s="2">
        <f>31+27</f>
        <v>58</v>
      </c>
      <c r="N54" s="2">
        <v>5</v>
      </c>
      <c r="O54" s="2">
        <f>(182+189.9)/2</f>
        <v>185.95</v>
      </c>
      <c r="P54" s="2">
        <f>166+104</f>
        <v>270</v>
      </c>
      <c r="Q54" s="2">
        <f>616+430</f>
        <v>1046</v>
      </c>
      <c r="R54" s="2">
        <v>10</v>
      </c>
      <c r="S54" s="2">
        <v>0</v>
      </c>
      <c r="T54" s="2">
        <v>0</v>
      </c>
      <c r="U54" s="2">
        <v>0</v>
      </c>
      <c r="V54" s="2">
        <v>0</v>
      </c>
      <c r="W54" s="2">
        <f>((L54/25)+(M54*4)-(N54*2)+(Q54/10)+(R54*6)+(S54*0.5)+(T54/10)+(U54*6)-(V54*2))/2</f>
        <v>314.89999999999998</v>
      </c>
      <c r="X54" s="2" t="s">
        <v>62</v>
      </c>
      <c r="Y54" s="2" t="s">
        <v>23</v>
      </c>
    </row>
    <row r="55" spans="1:25" x14ac:dyDescent="0.45">
      <c r="A55" s="2">
        <v>2023</v>
      </c>
      <c r="B55" s="2">
        <v>4</v>
      </c>
      <c r="C55" s="3">
        <v>127</v>
      </c>
      <c r="D55" s="3" t="s">
        <v>32</v>
      </c>
      <c r="E55" s="2" t="s">
        <v>106</v>
      </c>
      <c r="F55" s="18">
        <v>36229</v>
      </c>
      <c r="G55" s="22">
        <v>24.13</v>
      </c>
      <c r="H55" s="2">
        <v>1.85</v>
      </c>
      <c r="I55" s="2">
        <v>91</v>
      </c>
      <c r="J55" s="2" t="s">
        <v>474</v>
      </c>
      <c r="K55" s="2">
        <f>(67.5+72.6)/2</f>
        <v>70.05</v>
      </c>
      <c r="L55" s="2">
        <f>3810+2616</f>
        <v>6426</v>
      </c>
      <c r="M55" s="2">
        <f>32+18</f>
        <v>50</v>
      </c>
      <c r="N55" s="2">
        <f>9+3</f>
        <v>12</v>
      </c>
      <c r="O55" s="2">
        <f>(158.3+159.6)/2</f>
        <v>158.94999999999999</v>
      </c>
      <c r="P55" s="2">
        <f>68+40</f>
        <v>108</v>
      </c>
      <c r="Q55" s="2">
        <f>3-111</f>
        <v>-108</v>
      </c>
      <c r="R55" s="2">
        <f>3+2</f>
        <v>5</v>
      </c>
      <c r="S55" s="2">
        <v>0</v>
      </c>
      <c r="T55" s="2">
        <v>0</v>
      </c>
      <c r="U55" s="2">
        <v>0</v>
      </c>
      <c r="V55" s="2">
        <v>0</v>
      </c>
      <c r="W55" s="2">
        <f>((L55/25)+(M55*4)-(N55*2)+(Q55/10)+(R55*6)+(S55*0.5)+(T55/10)+(U55*6)-(V55*2))/2</f>
        <v>226.12</v>
      </c>
      <c r="X55" s="2" t="s">
        <v>12</v>
      </c>
      <c r="Y55" s="2" t="s">
        <v>11</v>
      </c>
    </row>
    <row r="56" spans="1:25" x14ac:dyDescent="0.45">
      <c r="A56" s="2">
        <v>2023</v>
      </c>
      <c r="B56" s="2">
        <v>4</v>
      </c>
      <c r="C56" s="3">
        <v>128</v>
      </c>
      <c r="D56" s="3" t="s">
        <v>32</v>
      </c>
      <c r="E56" s="2" t="s">
        <v>100</v>
      </c>
      <c r="F56" s="18">
        <v>35731</v>
      </c>
      <c r="G56" s="22">
        <v>25.5</v>
      </c>
      <c r="H56" s="2">
        <v>1.8</v>
      </c>
      <c r="I56" s="2">
        <v>86</v>
      </c>
      <c r="J56" s="2" t="s">
        <v>472</v>
      </c>
      <c r="K56" s="2">
        <f>(64.5+68.3)/2</f>
        <v>66.400000000000006</v>
      </c>
      <c r="L56" s="2">
        <f>2859+4127</f>
        <v>6986</v>
      </c>
      <c r="M56" s="2">
        <f>29+27</f>
        <v>56</v>
      </c>
      <c r="N56" s="2">
        <v>14</v>
      </c>
      <c r="O56" s="2">
        <f>(176.6+161.2)/2</f>
        <v>168.89999999999998</v>
      </c>
      <c r="P56" s="2">
        <f>56+57</f>
        <v>113</v>
      </c>
      <c r="Q56" s="2">
        <f>259+205</f>
        <v>464</v>
      </c>
      <c r="R56" s="2">
        <v>11</v>
      </c>
      <c r="S56" s="2">
        <v>0</v>
      </c>
      <c r="T56" s="2">
        <v>0</v>
      </c>
      <c r="U56" s="2">
        <v>0</v>
      </c>
      <c r="V56" s="2">
        <v>0</v>
      </c>
      <c r="W56" s="2">
        <f>((L56/25)+(M56*4)-(N56*2)+(Q56/10)+(R56*6)+(S56*0.5)+(T56/10)+(U56*6)-(V56*2))/2</f>
        <v>293.92</v>
      </c>
      <c r="X56" s="2" t="s">
        <v>39</v>
      </c>
      <c r="Y56" s="2" t="s">
        <v>23</v>
      </c>
    </row>
    <row r="57" spans="1:25" x14ac:dyDescent="0.45">
      <c r="A57" s="2">
        <v>2023</v>
      </c>
      <c r="B57" s="2">
        <v>4</v>
      </c>
      <c r="C57" s="3">
        <v>135</v>
      </c>
      <c r="D57" s="3" t="s">
        <v>32</v>
      </c>
      <c r="E57" s="2" t="s">
        <v>105</v>
      </c>
      <c r="F57" s="18">
        <v>36039</v>
      </c>
      <c r="G57" s="22">
        <v>24.65</v>
      </c>
      <c r="H57" s="2">
        <v>1.91</v>
      </c>
      <c r="I57" s="2">
        <v>95</v>
      </c>
      <c r="J57" s="2" t="s">
        <v>468</v>
      </c>
      <c r="K57" s="2">
        <f>(71.6+64.1)/2</f>
        <v>67.849999999999994</v>
      </c>
      <c r="L57" s="2">
        <f>3712+3490</f>
        <v>7202</v>
      </c>
      <c r="M57" s="2">
        <f>50</f>
        <v>50</v>
      </c>
      <c r="N57" s="2">
        <v>24</v>
      </c>
      <c r="O57" s="2">
        <f>(158.5+132.2)/2</f>
        <v>145.35</v>
      </c>
      <c r="P57" s="2">
        <f>25+43</f>
        <v>68</v>
      </c>
      <c r="Q57" s="2">
        <v>-201</v>
      </c>
      <c r="R57" s="2">
        <v>2</v>
      </c>
      <c r="S57" s="2">
        <v>0</v>
      </c>
      <c r="T57" s="2">
        <v>0</v>
      </c>
      <c r="U57" s="2">
        <v>0</v>
      </c>
      <c r="V57" s="2">
        <v>0</v>
      </c>
      <c r="W57" s="2">
        <f>((L57/25)+(M57*4)-(N57*2)+(Q57/10)+(R57*6)+(S57*0.5)+(T57/10)+(U57*6)-(V57*2))/2</f>
        <v>215.98999999999998</v>
      </c>
      <c r="X57" s="2" t="s">
        <v>53</v>
      </c>
      <c r="Y57" s="2" t="s">
        <v>13</v>
      </c>
    </row>
    <row r="58" spans="1:25" x14ac:dyDescent="0.45">
      <c r="A58" s="2">
        <v>2023</v>
      </c>
      <c r="B58" s="2">
        <v>1</v>
      </c>
      <c r="C58" s="3">
        <v>8</v>
      </c>
      <c r="D58" s="3" t="s">
        <v>10</v>
      </c>
      <c r="E58" s="2" t="s">
        <v>92</v>
      </c>
      <c r="F58" s="18">
        <v>37286</v>
      </c>
      <c r="G58" s="22">
        <v>21.24</v>
      </c>
      <c r="H58" s="2">
        <v>1.83</v>
      </c>
      <c r="I58" s="2">
        <v>100</v>
      </c>
      <c r="J58" s="2" t="s">
        <v>457</v>
      </c>
      <c r="K58" s="2">
        <v>0</v>
      </c>
      <c r="L58" s="2">
        <v>0</v>
      </c>
      <c r="M58" s="2">
        <v>0</v>
      </c>
      <c r="N58" s="2">
        <v>0</v>
      </c>
      <c r="O58" s="2">
        <v>0</v>
      </c>
      <c r="P58" s="2">
        <f>195+258</f>
        <v>453</v>
      </c>
      <c r="Q58" s="2">
        <f>1127+1580</f>
        <v>2707</v>
      </c>
      <c r="R58" s="2">
        <v>29</v>
      </c>
      <c r="S58" s="2">
        <v>45</v>
      </c>
      <c r="T58" s="2">
        <f>295+314</f>
        <v>609</v>
      </c>
      <c r="U58" s="2">
        <v>6</v>
      </c>
      <c r="V58" s="2">
        <v>0</v>
      </c>
      <c r="W58" s="2">
        <f>((L58/25)+(M58*4)-(N58*2)+(Q58/10)+(R58*6)+(S58*0.5)+(T58/10)+(U58*6)-(V58*2))/2</f>
        <v>282.05</v>
      </c>
      <c r="X58" s="2" t="s">
        <v>81</v>
      </c>
      <c r="Y58" s="2" t="s">
        <v>26</v>
      </c>
    </row>
    <row r="59" spans="1:25" x14ac:dyDescent="0.45">
      <c r="A59" s="2">
        <v>2023</v>
      </c>
      <c r="B59" s="2">
        <v>1</v>
      </c>
      <c r="C59" s="3">
        <v>12</v>
      </c>
      <c r="D59" s="3" t="s">
        <v>10</v>
      </c>
      <c r="E59" s="2" t="s">
        <v>90</v>
      </c>
      <c r="F59" s="18">
        <v>37335</v>
      </c>
      <c r="G59" s="22">
        <v>21.1</v>
      </c>
      <c r="H59" s="2">
        <v>1.8</v>
      </c>
      <c r="I59" s="2">
        <v>91</v>
      </c>
      <c r="J59" s="2" t="s">
        <v>475</v>
      </c>
      <c r="K59" s="2">
        <v>0</v>
      </c>
      <c r="L59" s="2">
        <v>0</v>
      </c>
      <c r="M59" s="2">
        <v>0</v>
      </c>
      <c r="N59" s="2">
        <v>0</v>
      </c>
      <c r="O59" s="2">
        <v>0</v>
      </c>
      <c r="P59" s="2">
        <f>143+151</f>
        <v>294</v>
      </c>
      <c r="Q59" s="2">
        <f>746+926</f>
        <v>1672</v>
      </c>
      <c r="R59" s="2">
        <v>11</v>
      </c>
      <c r="S59" s="2">
        <f>35+44</f>
        <v>79</v>
      </c>
      <c r="T59" s="2">
        <f>465+444</f>
        <v>909</v>
      </c>
      <c r="U59" s="2">
        <v>5</v>
      </c>
      <c r="V59" s="2">
        <v>0</v>
      </c>
      <c r="W59" s="4">
        <f>((L59/25)+(M59*4)-(N59*2)+(Q59/10)+(R59*6)+(S59*0.5)+(T59/10)+(U59*6)-(V59*2))/2</f>
        <v>196.8</v>
      </c>
      <c r="X59" s="2" t="s">
        <v>47</v>
      </c>
      <c r="Y59" s="2" t="s">
        <v>23</v>
      </c>
    </row>
    <row r="60" spans="1:25" x14ac:dyDescent="0.45">
      <c r="A60" s="2">
        <v>2023</v>
      </c>
      <c r="B60" s="2">
        <v>2</v>
      </c>
      <c r="C60" s="3">
        <v>52</v>
      </c>
      <c r="D60" s="3" t="s">
        <v>10</v>
      </c>
      <c r="E60" s="2" t="s">
        <v>108</v>
      </c>
      <c r="F60" s="18">
        <v>36899</v>
      </c>
      <c r="G60" s="22">
        <v>22.3</v>
      </c>
      <c r="H60" s="2">
        <v>1.85</v>
      </c>
      <c r="I60" s="2">
        <v>101</v>
      </c>
      <c r="J60" s="2" t="s">
        <v>462</v>
      </c>
      <c r="K60" s="2">
        <v>0</v>
      </c>
      <c r="L60" s="2">
        <v>0</v>
      </c>
      <c r="M60" s="2">
        <v>0</v>
      </c>
      <c r="N60" s="2">
        <v>0</v>
      </c>
      <c r="O60" s="2">
        <v>0</v>
      </c>
      <c r="P60" s="2">
        <f>202+195</f>
        <v>397</v>
      </c>
      <c r="Q60" s="2">
        <f>1137+1359</f>
        <v>2496</v>
      </c>
      <c r="R60" s="2">
        <v>27</v>
      </c>
      <c r="S60" s="2">
        <f>37+24</f>
        <v>61</v>
      </c>
      <c r="T60" s="2">
        <f>321+197</f>
        <v>518</v>
      </c>
      <c r="U60" s="2">
        <v>0</v>
      </c>
      <c r="V60" s="2">
        <v>0</v>
      </c>
      <c r="W60" s="4">
        <f>((L60/25)+(M60*4)-(N60*2)+(Q60/10)+(R60*6)+(S60*0.5)+(T60/10)+(U60*6)-(V60*2))/2</f>
        <v>246.95000000000002</v>
      </c>
      <c r="X60" s="2" t="s">
        <v>16</v>
      </c>
      <c r="Y60" s="2" t="s">
        <v>6</v>
      </c>
    </row>
    <row r="61" spans="1:25" x14ac:dyDescent="0.45">
      <c r="A61" s="2">
        <v>2023</v>
      </c>
      <c r="B61" s="2">
        <v>3</v>
      </c>
      <c r="C61" s="3">
        <v>71</v>
      </c>
      <c r="D61" s="3" t="s">
        <v>10</v>
      </c>
      <c r="E61" s="2" t="s">
        <v>110</v>
      </c>
      <c r="F61" s="18">
        <v>37418</v>
      </c>
      <c r="G61" s="22">
        <v>20.88</v>
      </c>
      <c r="H61" s="2">
        <v>1.83</v>
      </c>
      <c r="I61" s="2">
        <v>100</v>
      </c>
      <c r="J61" s="2" t="s">
        <v>474</v>
      </c>
      <c r="K61" s="2">
        <v>0</v>
      </c>
      <c r="L61" s="2">
        <v>0</v>
      </c>
      <c r="M61" s="2">
        <v>0</v>
      </c>
      <c r="N61" s="2">
        <v>0</v>
      </c>
      <c r="O61" s="2">
        <v>0</v>
      </c>
      <c r="P61" s="2">
        <f>224+83</f>
        <v>307</v>
      </c>
      <c r="Q61" s="2">
        <f>623+1399</f>
        <v>2022</v>
      </c>
      <c r="R61" s="2">
        <v>24</v>
      </c>
      <c r="S61" s="2">
        <v>28</v>
      </c>
      <c r="T61" s="2">
        <f>116+117</f>
        <v>233</v>
      </c>
      <c r="U61" s="2">
        <v>1</v>
      </c>
      <c r="V61" s="2">
        <v>0</v>
      </c>
      <c r="W61" s="4">
        <f>((L61/25)+(M61*4)-(N61*2)+(Q61/10)+(R61*6)+(S61*0.5)+(T61/10)+(U61*6)-(V61*2))/2</f>
        <v>194.75</v>
      </c>
      <c r="X61" s="2" t="s">
        <v>84</v>
      </c>
      <c r="Y61" s="2" t="s">
        <v>26</v>
      </c>
    </row>
    <row r="62" spans="1:25" x14ac:dyDescent="0.45">
      <c r="A62" s="2">
        <v>2023</v>
      </c>
      <c r="B62" s="2">
        <v>3</v>
      </c>
      <c r="C62" s="3">
        <v>81</v>
      </c>
      <c r="D62" s="3" t="s">
        <v>10</v>
      </c>
      <c r="E62" s="2" t="s">
        <v>107</v>
      </c>
      <c r="F62" s="18">
        <v>37057</v>
      </c>
      <c r="G62" s="22">
        <v>21.87</v>
      </c>
      <c r="H62" s="2">
        <v>1.8</v>
      </c>
      <c r="I62" s="2">
        <v>88</v>
      </c>
      <c r="J62" s="2" t="s">
        <v>458</v>
      </c>
      <c r="K62" s="2">
        <v>0</v>
      </c>
      <c r="L62" s="2">
        <v>0</v>
      </c>
      <c r="M62" s="2">
        <v>0</v>
      </c>
      <c r="N62" s="2">
        <v>0</v>
      </c>
      <c r="O62" s="2">
        <v>0</v>
      </c>
      <c r="P62" s="2">
        <f>229+129</f>
        <v>358</v>
      </c>
      <c r="Q62" s="2">
        <f>863+1581</f>
        <v>2444</v>
      </c>
      <c r="R62" s="2">
        <f>19+9</f>
        <v>28</v>
      </c>
      <c r="S62" s="2">
        <v>41</v>
      </c>
      <c r="T62" s="2">
        <f>256+145</f>
        <v>401</v>
      </c>
      <c r="U62" s="2">
        <v>2</v>
      </c>
      <c r="V62" s="2">
        <v>0</v>
      </c>
      <c r="W62" s="4">
        <f>((L62/25)+(M62*4)-(N62*2)+(Q62/10)+(R62*6)+(S62*0.5)+(T62/10)+(U62*6)-(V62*2))/2</f>
        <v>242.5</v>
      </c>
      <c r="X62" s="2" t="s">
        <v>79</v>
      </c>
      <c r="Y62" s="2" t="s">
        <v>21</v>
      </c>
    </row>
    <row r="63" spans="1:25" x14ac:dyDescent="0.45">
      <c r="A63" s="2">
        <v>2023</v>
      </c>
      <c r="B63" s="2">
        <v>3</v>
      </c>
      <c r="C63" s="3">
        <v>84</v>
      </c>
      <c r="D63" s="3" t="s">
        <v>10</v>
      </c>
      <c r="E63" s="2" t="s">
        <v>109</v>
      </c>
      <c r="F63" s="18">
        <v>37177</v>
      </c>
      <c r="G63" s="22">
        <v>21.54</v>
      </c>
      <c r="H63" s="2">
        <v>1.75</v>
      </c>
      <c r="I63" s="2">
        <v>84</v>
      </c>
      <c r="J63" s="2" t="s">
        <v>455</v>
      </c>
      <c r="K63" s="2">
        <v>0</v>
      </c>
      <c r="L63" s="2">
        <v>0</v>
      </c>
      <c r="M63" s="2">
        <v>0</v>
      </c>
      <c r="N63" s="2">
        <v>0</v>
      </c>
      <c r="O63" s="2">
        <v>0</v>
      </c>
      <c r="P63" s="2">
        <f>130+196</f>
        <v>326</v>
      </c>
      <c r="Q63" s="2">
        <f>910+1102</f>
        <v>2012</v>
      </c>
      <c r="R63" s="2">
        <v>17</v>
      </c>
      <c r="S63" s="2">
        <f>24+36</f>
        <v>60</v>
      </c>
      <c r="T63" s="2">
        <f>261+196</f>
        <v>457</v>
      </c>
      <c r="U63" s="2">
        <v>4</v>
      </c>
      <c r="V63" s="2">
        <v>0</v>
      </c>
      <c r="W63" s="4">
        <f>((L63/25)+(M63*4)-(N63*2)+(Q63/10)+(R63*6)+(S63*0.5)+(T63/10)+(U63*6)-(V63*2))/2</f>
        <v>201.45</v>
      </c>
      <c r="X63" s="2" t="s">
        <v>46</v>
      </c>
      <c r="Y63" s="2" t="s">
        <v>23</v>
      </c>
    </row>
    <row r="64" spans="1:25" x14ac:dyDescent="0.45">
      <c r="A64" s="2">
        <v>2023</v>
      </c>
      <c r="B64" s="2">
        <v>3</v>
      </c>
      <c r="C64" s="3">
        <v>88</v>
      </c>
      <c r="D64" s="3" t="s">
        <v>10</v>
      </c>
      <c r="E64" s="2" t="s">
        <v>86</v>
      </c>
      <c r="F64" s="18">
        <v>37133</v>
      </c>
      <c r="G64" s="22">
        <v>21.66</v>
      </c>
      <c r="H64" s="2">
        <v>1.83</v>
      </c>
      <c r="I64" s="2">
        <v>97</v>
      </c>
      <c r="J64" s="2" t="s">
        <v>470</v>
      </c>
      <c r="K64" s="2">
        <v>0</v>
      </c>
      <c r="L64" s="2">
        <v>0</v>
      </c>
      <c r="M64" s="2">
        <v>0</v>
      </c>
      <c r="N64" s="2">
        <v>0</v>
      </c>
      <c r="O64" s="2">
        <v>0</v>
      </c>
      <c r="P64" s="2">
        <f>223+179</f>
        <v>402</v>
      </c>
      <c r="Q64" s="2">
        <f>1099+970</f>
        <v>2069</v>
      </c>
      <c r="R64" s="2">
        <f>10+10</f>
        <v>20</v>
      </c>
      <c r="S64" s="2">
        <f>21+30</f>
        <v>51</v>
      </c>
      <c r="T64" s="2">
        <f>184+180</f>
        <v>364</v>
      </c>
      <c r="U64" s="2">
        <v>0</v>
      </c>
      <c r="V64" s="2">
        <v>0</v>
      </c>
      <c r="W64" s="4">
        <f>((L64/25)+(M64*4)-(N64*2)+(Q64/10)+(R64*6)+(S64*0.5)+(T64/10)+(U64*6)-(V64*2))/2</f>
        <v>194.39999999999998</v>
      </c>
      <c r="X64" s="2" t="s">
        <v>69</v>
      </c>
      <c r="Y64" s="2" t="s">
        <v>23</v>
      </c>
    </row>
    <row r="65" spans="1:25" x14ac:dyDescent="0.45">
      <c r="A65" s="2">
        <v>2023</v>
      </c>
      <c r="B65" s="2">
        <v>4</v>
      </c>
      <c r="C65" s="3">
        <v>115</v>
      </c>
      <c r="D65" s="3" t="s">
        <v>10</v>
      </c>
      <c r="E65" s="2" t="s">
        <v>114</v>
      </c>
      <c r="F65" s="18">
        <v>36922</v>
      </c>
      <c r="G65" s="22">
        <v>22.24</v>
      </c>
      <c r="H65" s="2">
        <v>1.83</v>
      </c>
      <c r="I65" s="2">
        <v>99</v>
      </c>
      <c r="J65" s="2" t="s">
        <v>480</v>
      </c>
      <c r="K65" s="2">
        <v>0</v>
      </c>
      <c r="L65" s="2">
        <v>0</v>
      </c>
      <c r="M65" s="2">
        <v>0</v>
      </c>
      <c r="N65" s="2">
        <v>0</v>
      </c>
      <c r="O65" s="2">
        <v>0</v>
      </c>
      <c r="P65" s="2">
        <f>96-93</f>
        <v>3</v>
      </c>
      <c r="Q65" s="2">
        <f>569+554</f>
        <v>1123</v>
      </c>
      <c r="R65" s="2">
        <f>5+5</f>
        <v>10</v>
      </c>
      <c r="S65" s="2">
        <f>11+14</f>
        <v>25</v>
      </c>
      <c r="T65" s="2">
        <f>83+128</f>
        <v>211</v>
      </c>
      <c r="U65" s="2">
        <f>0+1</f>
        <v>1</v>
      </c>
      <c r="V65" s="2">
        <v>0</v>
      </c>
      <c r="W65" s="4">
        <f>((L65/25)+(M65*4)-(N65*2)+(Q65/10)+(R65*6)+(S65*0.5)+(T65/10)+(U65*6)-(V65*2))/2</f>
        <v>105.95</v>
      </c>
      <c r="X65" s="2" t="s">
        <v>81</v>
      </c>
      <c r="Y65" s="2" t="s">
        <v>26</v>
      </c>
    </row>
    <row r="66" spans="1:25" x14ac:dyDescent="0.45">
      <c r="A66" s="2">
        <v>2023</v>
      </c>
      <c r="B66" s="2">
        <v>5</v>
      </c>
      <c r="C66" s="3">
        <v>143</v>
      </c>
      <c r="D66" s="3" t="s">
        <v>10</v>
      </c>
      <c r="E66" s="2" t="s">
        <v>112</v>
      </c>
      <c r="F66" s="18">
        <v>37534</v>
      </c>
      <c r="G66" s="22">
        <v>20.56</v>
      </c>
      <c r="H66" s="2">
        <v>1.8</v>
      </c>
      <c r="I66" s="2">
        <v>98</v>
      </c>
      <c r="J66" s="2" t="s">
        <v>454</v>
      </c>
      <c r="K66" s="2">
        <v>0</v>
      </c>
      <c r="L66" s="2">
        <v>0</v>
      </c>
      <c r="M66" s="2">
        <v>0</v>
      </c>
      <c r="N66" s="2">
        <v>0</v>
      </c>
      <c r="O66" s="2">
        <v>0</v>
      </c>
      <c r="P66" s="2">
        <f>123+239</f>
        <v>362</v>
      </c>
      <c r="Q66" s="2">
        <f>651+1431</f>
        <v>2082</v>
      </c>
      <c r="R66" s="2">
        <f>7+20</f>
        <v>27</v>
      </c>
      <c r="S66" s="2">
        <f>24+12</f>
        <v>36</v>
      </c>
      <c r="T66" s="2">
        <f>197+146</f>
        <v>343</v>
      </c>
      <c r="U66" s="2">
        <f>1+1</f>
        <v>2</v>
      </c>
      <c r="V66" s="2">
        <v>0</v>
      </c>
      <c r="W66" s="4">
        <f>((L66/25)+(M66*4)-(N66*2)+(Q66/10)+(R66*6)+(S66*0.5)+(T66/10)+(U66*6)-(V66*2))/2</f>
        <v>217.25</v>
      </c>
      <c r="X66" s="2" t="s">
        <v>48</v>
      </c>
      <c r="Y66" s="2" t="s">
        <v>4</v>
      </c>
    </row>
    <row r="67" spans="1:25" x14ac:dyDescent="0.45">
      <c r="A67" s="2">
        <v>2023</v>
      </c>
      <c r="B67" s="2">
        <v>5</v>
      </c>
      <c r="C67" s="3">
        <v>163</v>
      </c>
      <c r="D67" s="3" t="s">
        <v>10</v>
      </c>
      <c r="E67" s="2" t="s">
        <v>111</v>
      </c>
      <c r="F67" s="18">
        <v>36606</v>
      </c>
      <c r="G67" s="22">
        <v>23.1</v>
      </c>
      <c r="H67" s="2">
        <v>1.75</v>
      </c>
      <c r="I67" s="2">
        <v>98</v>
      </c>
      <c r="J67" s="2" t="s">
        <v>482</v>
      </c>
      <c r="K67" s="2">
        <v>0</v>
      </c>
      <c r="L67" s="2">
        <v>0</v>
      </c>
      <c r="M67" s="2">
        <v>0</v>
      </c>
      <c r="N67" s="2">
        <v>0</v>
      </c>
      <c r="O67" s="2">
        <v>0</v>
      </c>
      <c r="P67" s="2">
        <f>170+328</f>
        <v>498</v>
      </c>
      <c r="Q67" s="2">
        <f>1005+1643</f>
        <v>2648</v>
      </c>
      <c r="R67" s="2">
        <v>15</v>
      </c>
      <c r="S67" s="2">
        <f>27+14</f>
        <v>41</v>
      </c>
      <c r="T67" s="2">
        <f>240+142</f>
        <v>382</v>
      </c>
      <c r="U67" s="2">
        <v>3</v>
      </c>
      <c r="V67" s="2">
        <v>0</v>
      </c>
      <c r="W67" s="4">
        <f>((L67/25)+(M67*4)-(N67*2)+(Q67/10)+(R67*6)+(S67*0.5)+(T67/10)+(U67*6)-(V67*2))/2</f>
        <v>215.75</v>
      </c>
      <c r="X67" s="2" t="s">
        <v>55</v>
      </c>
      <c r="Y67" s="2" t="s">
        <v>13</v>
      </c>
    </row>
    <row r="68" spans="1:25" x14ac:dyDescent="0.45">
      <c r="A68" s="2">
        <v>2023</v>
      </c>
      <c r="B68" s="2">
        <v>5</v>
      </c>
      <c r="C68" s="3">
        <v>172</v>
      </c>
      <c r="D68" s="3" t="s">
        <v>10</v>
      </c>
      <c r="E68" s="2" t="s">
        <v>113</v>
      </c>
      <c r="F68" s="18">
        <v>36468</v>
      </c>
      <c r="G68" s="22">
        <v>23.48</v>
      </c>
      <c r="H68" s="2">
        <v>1.78</v>
      </c>
      <c r="I68" s="2">
        <v>95</v>
      </c>
      <c r="J68" s="2" t="s">
        <v>477</v>
      </c>
      <c r="K68" s="2">
        <v>0</v>
      </c>
      <c r="L68" s="2">
        <v>0</v>
      </c>
      <c r="M68" s="2">
        <v>0</v>
      </c>
      <c r="N68" s="2">
        <v>0</v>
      </c>
      <c r="O68" s="2">
        <v>0</v>
      </c>
      <c r="P68" s="2">
        <f>78+213</f>
        <v>291</v>
      </c>
      <c r="Q68" s="2">
        <f>412+1366</f>
        <v>1778</v>
      </c>
      <c r="R68" s="2">
        <v>13</v>
      </c>
      <c r="S68" s="2">
        <v>56</v>
      </c>
      <c r="T68" s="2">
        <f>229*2</f>
        <v>458</v>
      </c>
      <c r="U68" s="2">
        <v>2</v>
      </c>
      <c r="V68" s="2">
        <v>0</v>
      </c>
      <c r="W68" s="4">
        <f>((L68/25)+(M68*4)-(N68*2)+(Q68/10)+(R68*6)+(S68*0.5)+(T68/10)+(U68*6)-(V68*2))/2</f>
        <v>170.8</v>
      </c>
      <c r="X68" s="2" t="s">
        <v>27</v>
      </c>
      <c r="Y68" s="2" t="s">
        <v>26</v>
      </c>
    </row>
    <row r="69" spans="1:25" x14ac:dyDescent="0.45">
      <c r="A69" s="2">
        <v>2023</v>
      </c>
      <c r="B69" s="2">
        <v>5</v>
      </c>
      <c r="C69" s="3">
        <v>176</v>
      </c>
      <c r="D69" s="3" t="s">
        <v>10</v>
      </c>
      <c r="E69" s="2" t="s">
        <v>115</v>
      </c>
      <c r="F69" s="18">
        <v>36825</v>
      </c>
      <c r="G69" s="22">
        <v>22.5</v>
      </c>
      <c r="H69" s="2">
        <v>1.8</v>
      </c>
      <c r="I69" s="2">
        <v>95</v>
      </c>
      <c r="J69" s="2" t="s">
        <v>478</v>
      </c>
      <c r="K69" s="2">
        <v>0</v>
      </c>
      <c r="L69" s="2">
        <v>0</v>
      </c>
      <c r="M69" s="2">
        <v>0</v>
      </c>
      <c r="N69" s="2">
        <v>0</v>
      </c>
      <c r="O69" s="2">
        <v>0</v>
      </c>
      <c r="P69" s="2">
        <f>196+221</f>
        <v>417</v>
      </c>
      <c r="Q69" s="2">
        <f>1009+913</f>
        <v>1922</v>
      </c>
      <c r="R69" s="2">
        <f>7+5</f>
        <v>12</v>
      </c>
      <c r="S69" s="2">
        <f>33+55</f>
        <v>88</v>
      </c>
      <c r="T69" s="2">
        <f>264+546</f>
        <v>810</v>
      </c>
      <c r="U69" s="2">
        <f>2+2</f>
        <v>4</v>
      </c>
      <c r="V69" s="2">
        <v>0</v>
      </c>
      <c r="W69" s="4">
        <f>((L69/25)+(M69*4)-(N69*2)+(Q69/10)+(R69*6)+(S69*0.5)+(T69/10)+(U69*6)-(V69*2))/2</f>
        <v>206.6</v>
      </c>
      <c r="X69" s="2" t="s">
        <v>83</v>
      </c>
      <c r="Y69" s="2" t="s">
        <v>13</v>
      </c>
    </row>
    <row r="70" spans="1:25" x14ac:dyDescent="0.45">
      <c r="A70" s="2">
        <v>2023</v>
      </c>
      <c r="B70" s="2">
        <v>6</v>
      </c>
      <c r="C70" s="3">
        <v>193</v>
      </c>
      <c r="D70" s="3" t="s">
        <v>10</v>
      </c>
      <c r="E70" s="2" t="s">
        <v>116</v>
      </c>
      <c r="F70" s="18">
        <v>36795</v>
      </c>
      <c r="G70" s="22">
        <v>22.58</v>
      </c>
      <c r="H70" s="2">
        <v>1.8</v>
      </c>
      <c r="I70" s="2">
        <v>102</v>
      </c>
      <c r="J70" s="2" t="s">
        <v>461</v>
      </c>
      <c r="K70" s="2">
        <v>0</v>
      </c>
      <c r="L70" s="2">
        <v>0</v>
      </c>
      <c r="M70" s="2">
        <v>0</v>
      </c>
      <c r="N70" s="2">
        <v>0</v>
      </c>
      <c r="O70" s="2">
        <v>0</v>
      </c>
      <c r="P70" s="2">
        <f>225+175</f>
        <v>400</v>
      </c>
      <c r="Q70" s="2">
        <f>1379+904</f>
        <v>2283</v>
      </c>
      <c r="R70" s="2">
        <f>9+6</f>
        <v>15</v>
      </c>
      <c r="S70" s="2">
        <f>13+5</f>
        <v>18</v>
      </c>
      <c r="T70" s="2">
        <f>61+41</f>
        <v>102</v>
      </c>
      <c r="U70" s="2">
        <f>3+0</f>
        <v>3</v>
      </c>
      <c r="V70" s="2">
        <v>0</v>
      </c>
      <c r="W70" s="4">
        <f>((L70/25)+(M70*4)-(N70*2)+(Q70/10)+(R70*6)+(S70*0.5)+(T70/10)+(U70*6)-(V70*2))/2</f>
        <v>177.75</v>
      </c>
      <c r="X70" s="2" t="s">
        <v>31</v>
      </c>
      <c r="Y70" s="2" t="s">
        <v>23</v>
      </c>
    </row>
    <row r="71" spans="1:25" x14ac:dyDescent="0.45">
      <c r="A71" s="2">
        <v>2023</v>
      </c>
      <c r="B71" s="2">
        <v>6</v>
      </c>
      <c r="C71" s="3">
        <v>212</v>
      </c>
      <c r="D71" s="3" t="s">
        <v>10</v>
      </c>
      <c r="E71" s="2" t="s">
        <v>168</v>
      </c>
      <c r="F71" s="18">
        <v>37197</v>
      </c>
      <c r="G71" s="22">
        <v>21.48</v>
      </c>
      <c r="H71" s="2">
        <v>1.65</v>
      </c>
      <c r="I71" s="2">
        <v>80</v>
      </c>
      <c r="J71" s="2" t="s">
        <v>481</v>
      </c>
      <c r="K71" s="2">
        <v>0</v>
      </c>
      <c r="L71" s="2">
        <v>0</v>
      </c>
      <c r="M71" s="2">
        <v>0</v>
      </c>
      <c r="N71" s="2">
        <v>0</v>
      </c>
      <c r="O71" s="2">
        <v>0</v>
      </c>
      <c r="P71" s="2">
        <f>235+245</f>
        <v>480</v>
      </c>
      <c r="Q71" s="2">
        <f>1404+1295</f>
        <v>2699</v>
      </c>
      <c r="R71" s="2">
        <f>18+7</f>
        <v>25</v>
      </c>
      <c r="S71" s="2">
        <f>49+40</f>
        <v>89</v>
      </c>
      <c r="T71" s="2">
        <f>468+348</f>
        <v>816</v>
      </c>
      <c r="U71" s="2">
        <f>4+0</f>
        <v>4</v>
      </c>
      <c r="V71" s="2">
        <v>0</v>
      </c>
      <c r="W71" s="4">
        <f>((L71/25)+(M71*4)-(N71*2)+(Q71/10)+(R71*6)+(S71*0.5)+(T71/10)+(U71*6)-(V71*2))/2</f>
        <v>285</v>
      </c>
      <c r="X71" s="2" t="s">
        <v>78</v>
      </c>
      <c r="Y71" s="2" t="s">
        <v>26</v>
      </c>
    </row>
    <row r="72" spans="1:25" x14ac:dyDescent="0.45">
      <c r="A72" s="2">
        <v>2023</v>
      </c>
      <c r="B72" s="2">
        <v>6</v>
      </c>
      <c r="C72" s="3">
        <v>215</v>
      </c>
      <c r="D72" s="3" t="s">
        <v>10</v>
      </c>
      <c r="E72" s="2" t="s">
        <v>87</v>
      </c>
      <c r="F72" s="18">
        <v>37041</v>
      </c>
      <c r="G72" s="22">
        <v>21.91</v>
      </c>
      <c r="H72" s="2">
        <v>1.83</v>
      </c>
      <c r="I72" s="2">
        <v>98</v>
      </c>
      <c r="J72" s="2" t="s">
        <v>472</v>
      </c>
      <c r="K72" s="2">
        <v>0</v>
      </c>
      <c r="L72" s="2">
        <v>0</v>
      </c>
      <c r="M72" s="2">
        <v>0</v>
      </c>
      <c r="N72" s="2">
        <v>0</v>
      </c>
      <c r="O72" s="2">
        <v>0</v>
      </c>
      <c r="P72" s="2">
        <f>144+92</f>
        <v>236</v>
      </c>
      <c r="Q72" s="2">
        <f>936+648</f>
        <v>1584</v>
      </c>
      <c r="R72" s="2">
        <v>14</v>
      </c>
      <c r="S72" s="2">
        <v>22</v>
      </c>
      <c r="T72" s="2">
        <f>119+130</f>
        <v>249</v>
      </c>
      <c r="U72" s="2">
        <v>2</v>
      </c>
      <c r="V72" s="2">
        <v>0</v>
      </c>
      <c r="W72" s="4">
        <f>((L72/25)+(M72*4)-(N72*2)+(Q72/10)+(R72*6)+(S72*0.5)+(T72/10)+(U72*6)-(V72*2))/2</f>
        <v>145.15</v>
      </c>
      <c r="X72" s="2" t="s">
        <v>24</v>
      </c>
      <c r="Y72" s="2" t="s">
        <v>23</v>
      </c>
    </row>
    <row r="73" spans="1:25" x14ac:dyDescent="0.45">
      <c r="A73" s="2">
        <v>2023</v>
      </c>
      <c r="B73" s="2">
        <v>7</v>
      </c>
      <c r="C73" s="3">
        <v>222</v>
      </c>
      <c r="D73" s="3" t="s">
        <v>10</v>
      </c>
      <c r="E73" s="2" t="s">
        <v>118</v>
      </c>
      <c r="F73" s="18">
        <v>37080</v>
      </c>
      <c r="G73" s="22">
        <v>21.8</v>
      </c>
      <c r="H73" s="2">
        <v>1.8</v>
      </c>
      <c r="I73" s="2">
        <v>98</v>
      </c>
      <c r="J73" s="2" t="s">
        <v>473</v>
      </c>
      <c r="K73" s="2">
        <v>0</v>
      </c>
      <c r="L73" s="2">
        <v>0</v>
      </c>
      <c r="M73" s="2">
        <v>0</v>
      </c>
      <c r="N73" s="2">
        <v>0</v>
      </c>
      <c r="O73" s="2">
        <v>0</v>
      </c>
      <c r="P73" s="2">
        <f>204+233</f>
        <v>437</v>
      </c>
      <c r="Q73" s="2">
        <f>1371+1713</f>
        <v>3084</v>
      </c>
      <c r="R73" s="2">
        <f>13+19</f>
        <v>32</v>
      </c>
      <c r="S73" s="2">
        <f>3+2</f>
        <v>5</v>
      </c>
      <c r="T73" s="2">
        <f>19+10</f>
        <v>29</v>
      </c>
      <c r="U73" s="2">
        <v>0</v>
      </c>
      <c r="V73" s="2">
        <v>11</v>
      </c>
      <c r="W73" s="4">
        <f>((L73/25)+(M73*4)-(N73*2)+(Q73/10)+(R73*6)+(S73*0.5)+(T73/10)+(U73*6)-(V73*2))/2</f>
        <v>241.89999999999998</v>
      </c>
      <c r="X73" s="2" t="s">
        <v>59</v>
      </c>
      <c r="Y73" s="2" t="s">
        <v>25</v>
      </c>
    </row>
    <row r="74" spans="1:25" x14ac:dyDescent="0.45">
      <c r="A74" s="2">
        <v>2023</v>
      </c>
      <c r="B74" s="2">
        <v>7</v>
      </c>
      <c r="C74" s="3">
        <v>235</v>
      </c>
      <c r="D74" s="3" t="s">
        <v>10</v>
      </c>
      <c r="E74" s="2" t="s">
        <v>169</v>
      </c>
      <c r="F74" s="18">
        <v>37119</v>
      </c>
      <c r="G74" s="22">
        <v>21.7</v>
      </c>
      <c r="H74" s="2">
        <v>1.78</v>
      </c>
      <c r="I74" s="2">
        <v>100</v>
      </c>
      <c r="J74" s="2" t="s">
        <v>476</v>
      </c>
      <c r="K74" s="2">
        <v>0</v>
      </c>
      <c r="L74" s="2">
        <v>0</v>
      </c>
      <c r="M74" s="2">
        <v>0</v>
      </c>
      <c r="N74" s="2">
        <v>0</v>
      </c>
      <c r="O74" s="2">
        <v>0</v>
      </c>
      <c r="P74" s="2">
        <f>341+176</f>
        <v>517</v>
      </c>
      <c r="Q74" s="2">
        <f>1848+616</f>
        <v>2464</v>
      </c>
      <c r="R74" s="2">
        <f>16+6</f>
        <v>22</v>
      </c>
      <c r="S74" s="2">
        <f>40+21</f>
        <v>61</v>
      </c>
      <c r="T74" s="2">
        <f>338+128</f>
        <v>466</v>
      </c>
      <c r="U74" s="2">
        <f>2+0</f>
        <v>2</v>
      </c>
      <c r="V74" s="2">
        <v>0</v>
      </c>
      <c r="W74" s="4">
        <f>((L74/25)+(M74*4)-(N74*2)+(Q74/10)+(R74*6)+(S74*0.5)+(T74/10)+(U74*6)-(V74*2))/2</f>
        <v>233.75</v>
      </c>
      <c r="X74" s="2" t="s">
        <v>60</v>
      </c>
      <c r="Y74" s="2" t="s">
        <v>3</v>
      </c>
    </row>
    <row r="75" spans="1:25" x14ac:dyDescent="0.45">
      <c r="A75" s="2">
        <v>2023</v>
      </c>
      <c r="B75" s="2">
        <v>7</v>
      </c>
      <c r="C75" s="3">
        <v>237</v>
      </c>
      <c r="D75" s="3" t="s">
        <v>10</v>
      </c>
      <c r="E75" s="2" t="s">
        <v>117</v>
      </c>
      <c r="F75" s="18">
        <v>36588</v>
      </c>
      <c r="G75" s="22">
        <v>23.15</v>
      </c>
      <c r="H75" s="2">
        <v>1.83</v>
      </c>
      <c r="I75" s="2">
        <v>95</v>
      </c>
      <c r="J75" s="2" t="s">
        <v>462</v>
      </c>
      <c r="K75" s="2">
        <v>0</v>
      </c>
      <c r="L75" s="2">
        <v>0</v>
      </c>
      <c r="M75" s="2">
        <v>0</v>
      </c>
      <c r="N75" s="2">
        <v>0</v>
      </c>
      <c r="O75" s="2">
        <v>0</v>
      </c>
      <c r="P75" s="2">
        <f>58+136</f>
        <v>194</v>
      </c>
      <c r="Q75" s="2">
        <f>328+709</f>
        <v>1037</v>
      </c>
      <c r="R75" s="2">
        <f>3+10</f>
        <v>13</v>
      </c>
      <c r="S75" s="2">
        <f>22+37</f>
        <v>59</v>
      </c>
      <c r="T75" s="2">
        <f>242+450</f>
        <v>692</v>
      </c>
      <c r="U75" s="2">
        <f>2+1</f>
        <v>3</v>
      </c>
      <c r="V75" s="2">
        <v>0</v>
      </c>
      <c r="W75" s="4">
        <f>((L75/25)+(M75*4)-(N75*2)+(Q75/10)+(R75*6)+(S75*0.5)+(T75/10)+(U75*6)-(V75*2))/2</f>
        <v>149.19999999999999</v>
      </c>
      <c r="X75" s="2" t="s">
        <v>39</v>
      </c>
      <c r="Y75" s="2" t="s">
        <v>23</v>
      </c>
    </row>
    <row r="76" spans="1:25" x14ac:dyDescent="0.45">
      <c r="A76" s="2">
        <v>2023</v>
      </c>
      <c r="B76" s="2">
        <v>1</v>
      </c>
      <c r="C76" s="3">
        <v>20</v>
      </c>
      <c r="D76" s="3" t="s">
        <v>17</v>
      </c>
      <c r="E76" s="2" t="s">
        <v>119</v>
      </c>
      <c r="F76" s="18">
        <v>37301</v>
      </c>
      <c r="G76" s="22">
        <v>21.2</v>
      </c>
      <c r="H76" s="2">
        <v>1.83</v>
      </c>
      <c r="I76" s="2">
        <v>90</v>
      </c>
      <c r="J76" s="2" t="s">
        <v>462</v>
      </c>
      <c r="K76" s="2">
        <v>0</v>
      </c>
      <c r="L76" s="2">
        <v>0</v>
      </c>
      <c r="M76" s="2">
        <v>0</v>
      </c>
      <c r="N76" s="2">
        <v>0</v>
      </c>
      <c r="O76" s="2">
        <v>0</v>
      </c>
      <c r="P76" s="2">
        <v>0</v>
      </c>
      <c r="Q76" s="2">
        <v>0</v>
      </c>
      <c r="R76" s="2">
        <v>0</v>
      </c>
      <c r="S76" s="2">
        <v>100</v>
      </c>
      <c r="T76" s="2">
        <f>1606+43</f>
        <v>1649</v>
      </c>
      <c r="U76" s="2">
        <v>9</v>
      </c>
      <c r="V76" s="2">
        <v>0</v>
      </c>
      <c r="W76" s="4">
        <f>((L76/25)+(M76*4)-(N76*2)+(Q76/10)+(R76*6)+(S76*0.5)+(T76/10)+(U76*6)-(V76*2))/2</f>
        <v>134.44999999999999</v>
      </c>
      <c r="X76" s="2" t="s">
        <v>20</v>
      </c>
      <c r="Y76" s="2" t="s">
        <v>13</v>
      </c>
    </row>
    <row r="77" spans="1:25" x14ac:dyDescent="0.45">
      <c r="A77" s="4">
        <v>2023</v>
      </c>
      <c r="B77" s="2">
        <v>1</v>
      </c>
      <c r="C77" s="5">
        <v>21</v>
      </c>
      <c r="D77" s="5" t="s">
        <v>17</v>
      </c>
      <c r="E77" s="4" t="s">
        <v>98</v>
      </c>
      <c r="F77" s="19">
        <v>37140</v>
      </c>
      <c r="G77" s="24">
        <v>21.64</v>
      </c>
      <c r="H77" s="4">
        <v>1.88</v>
      </c>
      <c r="I77" s="4">
        <v>94</v>
      </c>
      <c r="J77" s="4" t="s">
        <v>469</v>
      </c>
      <c r="K77" s="2">
        <v>0</v>
      </c>
      <c r="L77" s="2">
        <v>0</v>
      </c>
      <c r="M77" s="2">
        <v>0</v>
      </c>
      <c r="N77" s="2">
        <v>0</v>
      </c>
      <c r="O77" s="2">
        <v>0</v>
      </c>
      <c r="P77" s="4">
        <f>2+3</f>
        <v>5</v>
      </c>
      <c r="Q77" s="4">
        <f>12-7</f>
        <v>5</v>
      </c>
      <c r="R77" s="4">
        <f>0</f>
        <v>0</v>
      </c>
      <c r="S77" s="4">
        <f>60+33</f>
        <v>93</v>
      </c>
      <c r="T77" s="4">
        <f>1069+612</f>
        <v>1681</v>
      </c>
      <c r="U77" s="4">
        <v>12</v>
      </c>
      <c r="V77" s="4">
        <v>0</v>
      </c>
      <c r="W77" s="4">
        <f>((L77/25)+(M77*4)-(N77*2)+(Q77/10)+(R77*6)+(S77*0.5)+(T77/10)+(U77*6)-(V77*2))/2</f>
        <v>143.55000000000001</v>
      </c>
      <c r="X77" s="2" t="s">
        <v>84</v>
      </c>
      <c r="Y77" s="2" t="s">
        <v>26</v>
      </c>
    </row>
    <row r="78" spans="1:25" x14ac:dyDescent="0.45">
      <c r="A78" s="2">
        <v>2023</v>
      </c>
      <c r="B78" s="2">
        <v>1</v>
      </c>
      <c r="C78" s="3">
        <v>22</v>
      </c>
      <c r="D78" s="3" t="s">
        <v>17</v>
      </c>
      <c r="E78" s="2" t="s">
        <v>89</v>
      </c>
      <c r="F78" s="18">
        <v>36780</v>
      </c>
      <c r="G78" s="22">
        <v>22.62</v>
      </c>
      <c r="H78" s="2">
        <v>1.78</v>
      </c>
      <c r="I78" s="2">
        <v>83</v>
      </c>
      <c r="J78" s="2" t="s">
        <v>456</v>
      </c>
      <c r="K78" s="2">
        <v>0</v>
      </c>
      <c r="L78" s="2">
        <v>0</v>
      </c>
      <c r="M78" s="2">
        <v>0</v>
      </c>
      <c r="N78" s="2">
        <v>0</v>
      </c>
      <c r="O78" s="2">
        <v>0</v>
      </c>
      <c r="P78" s="2">
        <f>7+12</f>
        <v>19</v>
      </c>
      <c r="Q78" s="2">
        <f>69+40</f>
        <v>109</v>
      </c>
      <c r="R78" s="2">
        <f>0</f>
        <v>0</v>
      </c>
      <c r="S78" s="2">
        <f>78+44</f>
        <v>122</v>
      </c>
      <c r="T78" s="2">
        <f>1077+746</f>
        <v>1823</v>
      </c>
      <c r="U78" s="2">
        <v>17</v>
      </c>
      <c r="V78" s="2">
        <v>0</v>
      </c>
      <c r="W78" s="2">
        <f>((L78/25)+(M78*4)-(N78*2)+(Q78/10)+(R78*6)+(S78*0.5)+(T78/10)+(U78*6)-(V78*2))/2</f>
        <v>178.10000000000002</v>
      </c>
      <c r="X78" s="2" t="s">
        <v>73</v>
      </c>
      <c r="Y78" s="2" t="s">
        <v>4</v>
      </c>
    </row>
    <row r="79" spans="1:25" x14ac:dyDescent="0.45">
      <c r="A79" s="2">
        <v>2023</v>
      </c>
      <c r="B79" s="2">
        <v>1</v>
      </c>
      <c r="C79" s="3">
        <v>23</v>
      </c>
      <c r="D79" s="3" t="s">
        <v>17</v>
      </c>
      <c r="E79" s="2" t="s">
        <v>97</v>
      </c>
      <c r="F79" s="18">
        <v>37283</v>
      </c>
      <c r="G79" s="22">
        <v>21.25</v>
      </c>
      <c r="H79" s="2">
        <v>1.83</v>
      </c>
      <c r="I79" s="2">
        <v>79</v>
      </c>
      <c r="J79" s="2" t="s">
        <v>473</v>
      </c>
      <c r="K79" s="2">
        <v>0</v>
      </c>
      <c r="L79" s="2">
        <v>0</v>
      </c>
      <c r="M79" s="2">
        <v>0</v>
      </c>
      <c r="N79" s="2">
        <v>0</v>
      </c>
      <c r="O79" s="2">
        <v>0</v>
      </c>
      <c r="P79" s="2">
        <f>6+4</f>
        <v>10</v>
      </c>
      <c r="Q79" s="2">
        <f>28+33</f>
        <v>61</v>
      </c>
      <c r="R79" s="2">
        <f>1+0</f>
        <v>1</v>
      </c>
      <c r="S79" s="2">
        <f>100+59</f>
        <v>159</v>
      </c>
      <c r="T79" s="2">
        <f>1593+875</f>
        <v>2468</v>
      </c>
      <c r="U79" s="2">
        <f>7+4</f>
        <v>11</v>
      </c>
      <c r="V79" s="2">
        <v>0</v>
      </c>
      <c r="W79" s="2">
        <f>((L79/25)+(M79*4)-(N79*2)+(Q79/10)+(R79*6)+(S79*0.5)+(T79/10)+(U79*6)-(V79*2))/2</f>
        <v>202.2</v>
      </c>
      <c r="X79" s="2" t="s">
        <v>63</v>
      </c>
      <c r="Y79" s="2" t="s">
        <v>6</v>
      </c>
    </row>
    <row r="80" spans="1:25" x14ac:dyDescent="0.45">
      <c r="A80" s="2">
        <v>2023</v>
      </c>
      <c r="B80" s="2">
        <v>2</v>
      </c>
      <c r="C80" s="3">
        <v>39</v>
      </c>
      <c r="D80" s="3" t="s">
        <v>17</v>
      </c>
      <c r="E80" s="2" t="s">
        <v>132</v>
      </c>
      <c r="F80" s="18">
        <v>37001</v>
      </c>
      <c r="G80" s="22">
        <v>22.02</v>
      </c>
      <c r="H80" s="2">
        <v>1.88</v>
      </c>
      <c r="I80" s="2">
        <v>103</v>
      </c>
      <c r="J80" s="2" t="s">
        <v>460</v>
      </c>
      <c r="K80" s="2">
        <v>0</v>
      </c>
      <c r="L80" s="2">
        <v>0</v>
      </c>
      <c r="M80" s="2">
        <v>0</v>
      </c>
      <c r="N80" s="2">
        <v>0</v>
      </c>
      <c r="O80" s="2">
        <v>0</v>
      </c>
      <c r="P80" s="2">
        <f>0+4</f>
        <v>4</v>
      </c>
      <c r="Q80" s="2">
        <f>0-7</f>
        <v>-7</v>
      </c>
      <c r="R80" s="2">
        <f>0+1</f>
        <v>1</v>
      </c>
      <c r="S80" s="2">
        <f>22+51</f>
        <v>73</v>
      </c>
      <c r="T80" s="2">
        <f>346+861</f>
        <v>1207</v>
      </c>
      <c r="U80" s="2">
        <f>3+5</f>
        <v>8</v>
      </c>
      <c r="V80" s="2">
        <v>0</v>
      </c>
      <c r="W80" s="2">
        <f>((L80/25)+(M80*4)-(N80*2)+(Q80/10)+(R80*6)+(S80*0.5)+(T80/10)+(U80*6)-(V80*2))/2</f>
        <v>105.25</v>
      </c>
      <c r="X80" s="2" t="s">
        <v>24</v>
      </c>
      <c r="Y80" s="2" t="s">
        <v>23</v>
      </c>
    </row>
    <row r="81" spans="1:25" x14ac:dyDescent="0.45">
      <c r="A81" s="2">
        <v>2023</v>
      </c>
      <c r="B81" s="2">
        <v>2</v>
      </c>
      <c r="C81" s="3">
        <v>50</v>
      </c>
      <c r="D81" s="3" t="s">
        <v>17</v>
      </c>
      <c r="E81" s="2" t="s">
        <v>126</v>
      </c>
      <c r="F81" s="18">
        <v>36644</v>
      </c>
      <c r="G81" s="22">
        <v>23</v>
      </c>
      <c r="H81" s="2">
        <v>1.83</v>
      </c>
      <c r="I81" s="2">
        <v>84</v>
      </c>
      <c r="J81" s="2" t="s">
        <v>476</v>
      </c>
      <c r="K81" s="2">
        <v>0</v>
      </c>
      <c r="L81" s="2">
        <v>0</v>
      </c>
      <c r="M81" s="2">
        <v>0</v>
      </c>
      <c r="N81" s="2">
        <v>0</v>
      </c>
      <c r="O81" s="2">
        <v>0</v>
      </c>
      <c r="P81" s="2">
        <f>7+4</f>
        <v>11</v>
      </c>
      <c r="Q81" s="2">
        <f>34+11</f>
        <v>45</v>
      </c>
      <c r="R81" s="2">
        <f>1+0</f>
        <v>1</v>
      </c>
      <c r="S81" s="2">
        <f>59+55</f>
        <v>114</v>
      </c>
      <c r="T81" s="2">
        <f>1026+636</f>
        <v>1662</v>
      </c>
      <c r="U81" s="2">
        <v>15</v>
      </c>
      <c r="V81" s="2">
        <v>0</v>
      </c>
      <c r="W81" s="2">
        <f>((L81/25)+(M81*4)-(N81*2)+(Q81/10)+(R81*6)+(S81*0.5)+(T81/10)+(U81*6)-(V81*2))/2</f>
        <v>161.85</v>
      </c>
      <c r="X81" s="2" t="s">
        <v>68</v>
      </c>
      <c r="Y81" s="2" t="s">
        <v>13</v>
      </c>
    </row>
    <row r="82" spans="1:25" x14ac:dyDescent="0.45">
      <c r="A82" s="2">
        <v>2023</v>
      </c>
      <c r="B82" s="2">
        <v>2</v>
      </c>
      <c r="C82" s="3">
        <v>55</v>
      </c>
      <c r="D82" s="3" t="s">
        <v>17</v>
      </c>
      <c r="E82" s="2" t="s">
        <v>122</v>
      </c>
      <c r="F82" s="18">
        <v>36638</v>
      </c>
      <c r="G82" s="22">
        <v>23.01</v>
      </c>
      <c r="H82" s="2">
        <v>1.84</v>
      </c>
      <c r="I82" s="2">
        <v>91</v>
      </c>
      <c r="J82" s="2" t="s">
        <v>479</v>
      </c>
      <c r="K82" s="2">
        <v>0</v>
      </c>
      <c r="L82" s="2">
        <v>0</v>
      </c>
      <c r="M82" s="2">
        <v>0</v>
      </c>
      <c r="N82" s="2">
        <v>0</v>
      </c>
      <c r="O82" s="2">
        <v>0</v>
      </c>
      <c r="P82" s="2">
        <v>0</v>
      </c>
      <c r="Q82" s="2">
        <v>0</v>
      </c>
      <c r="R82" s="2">
        <v>0</v>
      </c>
      <c r="S82" s="2">
        <f>64+96</f>
        <v>160</v>
      </c>
      <c r="T82" s="2">
        <f>670+1355</f>
        <v>2025</v>
      </c>
      <c r="U82" s="2">
        <f>9+10</f>
        <v>19</v>
      </c>
      <c r="V82" s="2">
        <v>0</v>
      </c>
      <c r="W82" s="2">
        <f>((L82/25)+(M82*4)-(N82*2)+(Q82/10)+(R82*6)+(S82*0.5)+(T82/10)+(U82*6)-(V82*2))/2</f>
        <v>198.25</v>
      </c>
      <c r="X82" s="2" t="s">
        <v>51</v>
      </c>
      <c r="Y82" s="2" t="s">
        <v>21</v>
      </c>
    </row>
    <row r="83" spans="1:25" x14ac:dyDescent="0.45">
      <c r="A83" s="2">
        <v>2023</v>
      </c>
      <c r="B83" s="2">
        <v>2</v>
      </c>
      <c r="C83" s="3">
        <v>63</v>
      </c>
      <c r="D83" s="3" t="s">
        <v>17</v>
      </c>
      <c r="E83" s="2" t="s">
        <v>123</v>
      </c>
      <c r="F83" s="18">
        <v>37334</v>
      </c>
      <c r="G83" s="22">
        <v>21.11</v>
      </c>
      <c r="H83" s="2">
        <v>1.8</v>
      </c>
      <c r="I83" s="2">
        <v>80</v>
      </c>
      <c r="J83" s="2" t="s">
        <v>0</v>
      </c>
      <c r="K83" s="2">
        <v>0</v>
      </c>
      <c r="L83" s="2">
        <v>0</v>
      </c>
      <c r="M83" s="2">
        <v>0</v>
      </c>
      <c r="N83" s="2">
        <v>0</v>
      </c>
      <c r="O83" s="2">
        <v>0</v>
      </c>
      <c r="P83" s="2">
        <f>1+2</f>
        <v>3</v>
      </c>
      <c r="Q83" s="2">
        <f>15+3</f>
        <v>18</v>
      </c>
      <c r="R83" s="2">
        <f>0+0</f>
        <v>0</v>
      </c>
      <c r="S83" s="2">
        <f>32+54</f>
        <v>86</v>
      </c>
      <c r="T83" s="2">
        <f>705+1083</f>
        <v>1788</v>
      </c>
      <c r="U83" s="2">
        <f>5+6</f>
        <v>11</v>
      </c>
      <c r="V83" s="2">
        <v>0</v>
      </c>
      <c r="W83" s="2">
        <f>((L83/25)+(M83*4)-(N83*2)+(Q83/10)+(R83*6)+(S83*0.5)+(T83/10)+(U83*6)-(V83*2))/2</f>
        <v>144.80000000000001</v>
      </c>
      <c r="X83" s="2" t="s">
        <v>27</v>
      </c>
      <c r="Y83" s="2" t="s">
        <v>26</v>
      </c>
    </row>
    <row r="84" spans="1:25" x14ac:dyDescent="0.45">
      <c r="A84" s="2">
        <v>2023</v>
      </c>
      <c r="B84" s="2">
        <v>3</v>
      </c>
      <c r="C84" s="3">
        <v>69</v>
      </c>
      <c r="D84" s="3" t="s">
        <v>17</v>
      </c>
      <c r="E84" s="2" t="s">
        <v>125</v>
      </c>
      <c r="F84" s="18">
        <v>36462</v>
      </c>
      <c r="G84" s="22">
        <v>23.49</v>
      </c>
      <c r="H84" s="2">
        <v>1.78</v>
      </c>
      <c r="I84" s="2">
        <v>75</v>
      </c>
      <c r="J84" s="2" t="s">
        <v>466</v>
      </c>
      <c r="K84" s="2">
        <v>0</v>
      </c>
      <c r="L84" s="2">
        <v>0</v>
      </c>
      <c r="M84" s="2">
        <v>0</v>
      </c>
      <c r="N84" s="2">
        <v>0</v>
      </c>
      <c r="O84" s="2">
        <v>0</v>
      </c>
      <c r="P84" s="2">
        <f>1+4</f>
        <v>5</v>
      </c>
      <c r="Q84" s="2">
        <f>5+9</f>
        <v>14</v>
      </c>
      <c r="R84" s="2">
        <f>0+0</f>
        <v>0</v>
      </c>
      <c r="S84" s="2">
        <f>90+109</f>
        <v>199</v>
      </c>
      <c r="T84" s="2">
        <f>1329+1398</f>
        <v>2727</v>
      </c>
      <c r="U84" s="2">
        <v>29</v>
      </c>
      <c r="V84" s="2">
        <v>0</v>
      </c>
      <c r="W84" s="2">
        <f>((L84/25)+(M84*4)-(N84*2)+(Q84/10)+(R84*6)+(S84*0.5)+(T84/10)+(U84*6)-(V84*2))/2</f>
        <v>273.8</v>
      </c>
      <c r="X84" s="2" t="s">
        <v>35</v>
      </c>
      <c r="Y84" s="2" t="s">
        <v>21</v>
      </c>
    </row>
    <row r="85" spans="1:25" x14ac:dyDescent="0.45">
      <c r="A85" s="2">
        <v>2023</v>
      </c>
      <c r="B85" s="2">
        <v>3</v>
      </c>
      <c r="C85" s="3">
        <v>73</v>
      </c>
      <c r="D85" s="3" t="s">
        <v>17</v>
      </c>
      <c r="E85" s="2" t="s">
        <v>120</v>
      </c>
      <c r="F85" s="18">
        <v>37159</v>
      </c>
      <c r="G85" s="22">
        <v>21.59</v>
      </c>
      <c r="H85" s="2">
        <v>1.83</v>
      </c>
      <c r="I85" s="2">
        <v>84</v>
      </c>
      <c r="J85" s="2" t="s">
        <v>477</v>
      </c>
      <c r="K85" s="2">
        <v>0</v>
      </c>
      <c r="L85" s="2">
        <v>0</v>
      </c>
      <c r="M85" s="2">
        <v>0</v>
      </c>
      <c r="N85" s="2">
        <v>0</v>
      </c>
      <c r="O85" s="2">
        <v>0</v>
      </c>
      <c r="P85" s="2">
        <f>1+1</f>
        <v>2</v>
      </c>
      <c r="Q85" s="2">
        <f>10+0</f>
        <v>10</v>
      </c>
      <c r="R85" s="2">
        <v>0</v>
      </c>
      <c r="S85" s="2">
        <f>18+67</f>
        <v>85</v>
      </c>
      <c r="T85" s="2">
        <f>191+1267</f>
        <v>1458</v>
      </c>
      <c r="U85" s="2">
        <f>1+15</f>
        <v>16</v>
      </c>
      <c r="V85" s="2">
        <v>0</v>
      </c>
      <c r="W85" s="2">
        <f>((L85/25)+(M85*4)-(N85*2)+(Q85/10)+(R85*6)+(S85*0.5)+(T85/10)+(U85*6)-(V85*2))/2</f>
        <v>142.65</v>
      </c>
      <c r="X85" s="2" t="s">
        <v>62</v>
      </c>
      <c r="Y85" s="2" t="s">
        <v>23</v>
      </c>
    </row>
    <row r="86" spans="1:25" x14ac:dyDescent="0.45">
      <c r="A86" s="2">
        <v>2023</v>
      </c>
      <c r="B86" s="2">
        <v>3</v>
      </c>
      <c r="C86" s="3">
        <v>74</v>
      </c>
      <c r="D86" s="3" t="s">
        <v>17</v>
      </c>
      <c r="E86" s="2" t="s">
        <v>121</v>
      </c>
      <c r="F86" s="18">
        <v>36635</v>
      </c>
      <c r="G86" s="22">
        <v>23.02</v>
      </c>
      <c r="H86" s="2">
        <v>1.91</v>
      </c>
      <c r="I86" s="2">
        <v>98</v>
      </c>
      <c r="J86" s="2" t="s">
        <v>471</v>
      </c>
      <c r="K86" s="2">
        <v>0</v>
      </c>
      <c r="L86" s="2">
        <v>0</v>
      </c>
      <c r="M86" s="2">
        <v>0</v>
      </c>
      <c r="N86" s="2">
        <v>0</v>
      </c>
      <c r="O86" s="2">
        <v>0</v>
      </c>
      <c r="P86" s="2">
        <v>0</v>
      </c>
      <c r="Q86" s="2">
        <v>0</v>
      </c>
      <c r="R86" s="2">
        <v>0</v>
      </c>
      <c r="S86" s="2">
        <f>57+37</f>
        <v>94</v>
      </c>
      <c r="T86" s="2">
        <f>931+417</f>
        <v>1348</v>
      </c>
      <c r="U86" s="2">
        <f>9+3</f>
        <v>12</v>
      </c>
      <c r="V86" s="2">
        <v>0</v>
      </c>
      <c r="W86" s="2">
        <f>((L86/25)+(M86*4)-(N86*2)+(Q86/10)+(R86*6)+(S86*0.5)+(T86/10)+(U86*6)-(V86*2))/2</f>
        <v>126.9</v>
      </c>
      <c r="X86" s="2" t="s">
        <v>62</v>
      </c>
      <c r="Y86" s="2" t="s">
        <v>23</v>
      </c>
    </row>
    <row r="87" spans="1:25" x14ac:dyDescent="0.45">
      <c r="A87" s="2">
        <v>2023</v>
      </c>
      <c r="B87" s="2">
        <v>3</v>
      </c>
      <c r="C87" s="3">
        <v>79</v>
      </c>
      <c r="D87" s="3" t="s">
        <v>17</v>
      </c>
      <c r="E87" s="2" t="s">
        <v>91</v>
      </c>
      <c r="F87" s="18">
        <v>37115</v>
      </c>
      <c r="G87" s="22">
        <v>21.71</v>
      </c>
      <c r="H87" s="2">
        <v>1.78</v>
      </c>
      <c r="I87" s="2">
        <v>79</v>
      </c>
      <c r="J87" s="2" t="s">
        <v>478</v>
      </c>
      <c r="K87" s="2">
        <v>0</v>
      </c>
      <c r="L87" s="2">
        <v>0</v>
      </c>
      <c r="M87" s="2">
        <v>0</v>
      </c>
      <c r="N87" s="2">
        <v>0</v>
      </c>
      <c r="O87" s="2">
        <v>0</v>
      </c>
      <c r="P87" s="2">
        <v>0</v>
      </c>
      <c r="Q87" s="2">
        <v>0</v>
      </c>
      <c r="R87" s="2">
        <v>0</v>
      </c>
      <c r="S87" s="2">
        <f>98+94</f>
        <v>192</v>
      </c>
      <c r="T87" s="2">
        <f>1273+1029</f>
        <v>2302</v>
      </c>
      <c r="U87" s="2">
        <f>8+11</f>
        <v>19</v>
      </c>
      <c r="V87" s="2">
        <v>0</v>
      </c>
      <c r="W87" s="2">
        <f>((L87/25)+(M87*4)-(N87*2)+(Q87/10)+(R87*6)+(S87*0.5)+(T87/10)+(U87*6)-(V87*2))/2</f>
        <v>220.1</v>
      </c>
      <c r="X87" s="2" t="s">
        <v>5</v>
      </c>
      <c r="Y87" s="2" t="s">
        <v>4</v>
      </c>
    </row>
    <row r="88" spans="1:25" x14ac:dyDescent="0.45">
      <c r="A88" s="2">
        <v>2023</v>
      </c>
      <c r="B88" s="2">
        <v>3</v>
      </c>
      <c r="C88" s="3">
        <v>94</v>
      </c>
      <c r="D88" s="3" t="s">
        <v>17</v>
      </c>
      <c r="E88" s="2" t="s">
        <v>151</v>
      </c>
      <c r="F88" s="18">
        <v>36579</v>
      </c>
      <c r="G88" s="22">
        <v>23.17</v>
      </c>
      <c r="H88" s="2">
        <v>1.88</v>
      </c>
      <c r="I88" s="2">
        <v>95</v>
      </c>
      <c r="J88" s="2" t="s">
        <v>464</v>
      </c>
      <c r="K88" s="2">
        <v>0</v>
      </c>
      <c r="L88" s="2">
        <v>0</v>
      </c>
      <c r="M88" s="2">
        <v>0</v>
      </c>
      <c r="N88" s="2">
        <v>0</v>
      </c>
      <c r="O88" s="2">
        <v>0</v>
      </c>
      <c r="P88" s="2">
        <f>0+4</f>
        <v>4</v>
      </c>
      <c r="Q88" s="2">
        <f>0+47</f>
        <v>47</v>
      </c>
      <c r="R88" s="2">
        <v>0</v>
      </c>
      <c r="S88" s="2">
        <f>19+26</f>
        <v>45</v>
      </c>
      <c r="T88" s="2">
        <f>185+418</f>
        <v>603</v>
      </c>
      <c r="U88" s="2">
        <f>0+4</f>
        <v>4</v>
      </c>
      <c r="V88" s="2">
        <v>0</v>
      </c>
      <c r="W88" s="2">
        <f>((L88/25)+(M88*4)-(N88*2)+(Q88/10)+(R88*6)+(S88*0.5)+(T88/10)+(U88*6)-(V88*2))/2</f>
        <v>55.75</v>
      </c>
      <c r="X88" s="2" t="s">
        <v>29</v>
      </c>
      <c r="Y88" s="2" t="s">
        <v>6</v>
      </c>
    </row>
    <row r="89" spans="1:25" x14ac:dyDescent="0.45">
      <c r="A89" s="2">
        <v>2023</v>
      </c>
      <c r="B89" s="2">
        <v>3</v>
      </c>
      <c r="C89" s="3">
        <v>100</v>
      </c>
      <c r="D89" s="3" t="s">
        <v>17</v>
      </c>
      <c r="E89" s="2" t="s">
        <v>152</v>
      </c>
      <c r="F89" s="18">
        <v>36958</v>
      </c>
      <c r="G89" s="22">
        <v>22.14</v>
      </c>
      <c r="H89" s="2">
        <v>1.75</v>
      </c>
      <c r="I89" s="2">
        <v>83</v>
      </c>
      <c r="J89" s="2" t="s">
        <v>468</v>
      </c>
      <c r="K89" s="2">
        <v>0</v>
      </c>
      <c r="L89" s="2">
        <v>0</v>
      </c>
      <c r="M89" s="2">
        <v>0</v>
      </c>
      <c r="N89" s="2">
        <v>0</v>
      </c>
      <c r="O89" s="2">
        <v>0</v>
      </c>
      <c r="P89" s="2">
        <f>2+1</f>
        <v>3</v>
      </c>
      <c r="Q89" s="2">
        <f>12+8</f>
        <v>20</v>
      </c>
      <c r="R89" s="2">
        <v>0</v>
      </c>
      <c r="S89" s="2">
        <f>32+52</f>
        <v>84</v>
      </c>
      <c r="T89" s="2">
        <f>414+672</f>
        <v>1086</v>
      </c>
      <c r="U89" s="2">
        <f>2+3</f>
        <v>5</v>
      </c>
      <c r="V89" s="2">
        <v>0</v>
      </c>
      <c r="W89" s="2">
        <f>((L89/25)+(M89*4)-(N89*2)+(Q89/10)+(R89*6)+(S89*0.5)+(T89/10)+(U89*6)-(V89*2))/2</f>
        <v>91.3</v>
      </c>
      <c r="X89" s="2" t="s">
        <v>22</v>
      </c>
      <c r="Y89" s="2" t="s">
        <v>21</v>
      </c>
    </row>
    <row r="90" spans="1:25" x14ac:dyDescent="0.45">
      <c r="A90" s="2">
        <v>2023</v>
      </c>
      <c r="B90" s="2">
        <v>4</v>
      </c>
      <c r="C90" s="3">
        <v>125</v>
      </c>
      <c r="D90" s="3" t="s">
        <v>17</v>
      </c>
      <c r="E90" s="2" t="s">
        <v>176</v>
      </c>
      <c r="F90" s="18">
        <v>36780</v>
      </c>
      <c r="G90" s="22">
        <v>22.62</v>
      </c>
      <c r="H90" s="2">
        <v>1.73</v>
      </c>
      <c r="I90" s="2">
        <v>76</v>
      </c>
      <c r="J90" s="2" t="s">
        <v>469</v>
      </c>
      <c r="K90" s="2">
        <v>0</v>
      </c>
      <c r="L90" s="2">
        <v>0</v>
      </c>
      <c r="M90" s="2">
        <v>0</v>
      </c>
      <c r="N90" s="2">
        <v>0</v>
      </c>
      <c r="O90" s="2">
        <v>0</v>
      </c>
      <c r="P90" s="2">
        <f>10+2</f>
        <v>12</v>
      </c>
      <c r="Q90" s="2">
        <f>42+28</f>
        <v>70</v>
      </c>
      <c r="R90" s="2">
        <f>1+1</f>
        <v>2</v>
      </c>
      <c r="S90" s="2">
        <f>36+35</f>
        <v>71</v>
      </c>
      <c r="T90" s="2">
        <f>518+418</f>
        <v>936</v>
      </c>
      <c r="U90" s="2">
        <f>1+5</f>
        <v>6</v>
      </c>
      <c r="V90" s="2">
        <v>0</v>
      </c>
      <c r="W90" s="2">
        <f>((L90/25)+(M90*4)-(N90*2)+(Q90/10)+(R90*6)+(S90*0.5)+(T90/10)+(U90*6)-(V90*2))/2</f>
        <v>92.05</v>
      </c>
      <c r="X90" s="2" t="s">
        <v>84</v>
      </c>
      <c r="Y90" s="2" t="s">
        <v>26</v>
      </c>
    </row>
    <row r="91" spans="1:25" x14ac:dyDescent="0.45">
      <c r="A91" s="2">
        <v>2023</v>
      </c>
      <c r="B91" s="2">
        <v>4</v>
      </c>
      <c r="C91" s="3">
        <v>131</v>
      </c>
      <c r="D91" s="3" t="s">
        <v>17</v>
      </c>
      <c r="E91" s="2" t="s">
        <v>177</v>
      </c>
      <c r="F91" s="18">
        <v>36097</v>
      </c>
      <c r="G91" s="22">
        <v>24.49</v>
      </c>
      <c r="H91" s="2">
        <v>1.83</v>
      </c>
      <c r="I91" s="2">
        <v>85</v>
      </c>
      <c r="J91" s="2" t="s">
        <v>482</v>
      </c>
      <c r="K91" s="2">
        <v>0</v>
      </c>
      <c r="L91" s="2">
        <v>0</v>
      </c>
      <c r="M91" s="2">
        <v>0</v>
      </c>
      <c r="N91" s="2">
        <v>0</v>
      </c>
      <c r="O91" s="2">
        <v>0</v>
      </c>
      <c r="P91" s="2">
        <f>7+2</f>
        <v>9</v>
      </c>
      <c r="Q91" s="2">
        <f>8+3</f>
        <v>11</v>
      </c>
      <c r="R91" s="2">
        <f>0</f>
        <v>0</v>
      </c>
      <c r="S91" s="2">
        <f>21+110</f>
        <v>131</v>
      </c>
      <c r="T91" s="2">
        <f>323+1361</f>
        <v>1684</v>
      </c>
      <c r="U91" s="2">
        <f>3+12</f>
        <v>15</v>
      </c>
      <c r="V91" s="2">
        <v>0</v>
      </c>
      <c r="W91" s="2">
        <f>((L91/25)+(M91*4)-(N91*2)+(Q91/10)+(R91*6)+(S91*0.5)+(T91/10)+(U91*6)-(V91*2))/2</f>
        <v>162.5</v>
      </c>
      <c r="X91" s="2" t="s">
        <v>53</v>
      </c>
      <c r="Y91" s="2" t="s">
        <v>13</v>
      </c>
    </row>
    <row r="92" spans="1:25" x14ac:dyDescent="0.45">
      <c r="A92" s="2">
        <v>2023</v>
      </c>
      <c r="B92" s="2">
        <v>4</v>
      </c>
      <c r="C92" s="3">
        <v>133</v>
      </c>
      <c r="D92" s="3" t="s">
        <v>17</v>
      </c>
      <c r="E92" s="2" t="s">
        <v>127</v>
      </c>
      <c r="F92" s="18">
        <v>37176</v>
      </c>
      <c r="G92" s="22">
        <v>21.54</v>
      </c>
      <c r="H92" s="2">
        <v>1.8</v>
      </c>
      <c r="I92" s="2">
        <v>84</v>
      </c>
      <c r="J92" s="2" t="s">
        <v>480</v>
      </c>
      <c r="K92" s="2">
        <v>0</v>
      </c>
      <c r="L92" s="2">
        <v>0</v>
      </c>
      <c r="M92" s="2">
        <v>0</v>
      </c>
      <c r="N92" s="2">
        <v>0</v>
      </c>
      <c r="O92" s="2">
        <v>0</v>
      </c>
      <c r="P92" s="2">
        <v>0</v>
      </c>
      <c r="Q92" s="2">
        <v>0</v>
      </c>
      <c r="R92" s="2">
        <v>0</v>
      </c>
      <c r="S92" s="2">
        <f>30+54</f>
        <v>84</v>
      </c>
      <c r="T92" s="2">
        <f>520+899</f>
        <v>1419</v>
      </c>
      <c r="U92" s="2">
        <f>5+9</f>
        <v>14</v>
      </c>
      <c r="V92" s="2">
        <v>0</v>
      </c>
      <c r="W92" s="2">
        <f>((L92/25)+(M92*4)-(N92*2)+(Q92/10)+(R92*6)+(S92*0.5)+(T92/10)+(U92*6)-(V92*2))/2</f>
        <v>133.94999999999999</v>
      </c>
      <c r="X92" s="2" t="s">
        <v>22</v>
      </c>
      <c r="Y92" s="2" t="s">
        <v>21</v>
      </c>
    </row>
    <row r="93" spans="1:25" x14ac:dyDescent="0.45">
      <c r="A93" s="2">
        <v>2023</v>
      </c>
      <c r="B93" s="2">
        <v>5</v>
      </c>
      <c r="C93" s="3">
        <v>150</v>
      </c>
      <c r="D93" s="3" t="s">
        <v>17</v>
      </c>
      <c r="E93" s="2" t="s">
        <v>178</v>
      </c>
      <c r="F93" s="18">
        <v>36633</v>
      </c>
      <c r="G93" s="22">
        <v>23.03</v>
      </c>
      <c r="H93" s="2">
        <v>1.93</v>
      </c>
      <c r="I93" s="2">
        <v>101</v>
      </c>
      <c r="J93" s="2" t="s">
        <v>463</v>
      </c>
      <c r="K93" s="2">
        <v>0</v>
      </c>
      <c r="L93" s="2">
        <v>0</v>
      </c>
      <c r="M93" s="2">
        <v>0</v>
      </c>
      <c r="N93" s="2">
        <v>0</v>
      </c>
      <c r="O93" s="2">
        <v>0</v>
      </c>
      <c r="P93" s="2">
        <v>0</v>
      </c>
      <c r="Q93" s="2">
        <v>0</v>
      </c>
      <c r="R93" s="2">
        <v>0</v>
      </c>
      <c r="S93" s="2">
        <f>38+29</f>
        <v>67</v>
      </c>
      <c r="T93" s="2">
        <f>496+577</f>
        <v>1073</v>
      </c>
      <c r="U93" s="2">
        <f>3+2</f>
        <v>5</v>
      </c>
      <c r="V93" s="2">
        <v>0</v>
      </c>
      <c r="W93" s="2">
        <f>((L93/25)+(M93*4)-(N93*2)+(Q93/10)+(R93*6)+(S93*0.5)+(T93/10)+(U93*6)-(V93*2))/2</f>
        <v>85.4</v>
      </c>
      <c r="X93" s="2" t="s">
        <v>50</v>
      </c>
      <c r="Y93" s="2" t="s">
        <v>23</v>
      </c>
    </row>
    <row r="94" spans="1:25" x14ac:dyDescent="0.45">
      <c r="A94" s="2">
        <v>2023</v>
      </c>
      <c r="B94" s="2">
        <v>5</v>
      </c>
      <c r="C94" s="3">
        <v>159</v>
      </c>
      <c r="D94" s="3" t="s">
        <v>17</v>
      </c>
      <c r="E94" s="2" t="s">
        <v>130</v>
      </c>
      <c r="F94" s="18">
        <v>37058</v>
      </c>
      <c r="G94" s="22">
        <v>21.86</v>
      </c>
      <c r="H94" s="2">
        <v>1.85</v>
      </c>
      <c r="I94" s="2">
        <v>93</v>
      </c>
      <c r="J94" s="2" t="s">
        <v>476</v>
      </c>
      <c r="K94" s="2">
        <v>0</v>
      </c>
      <c r="L94" s="2">
        <v>0</v>
      </c>
      <c r="M94" s="2">
        <v>0</v>
      </c>
      <c r="N94" s="2">
        <v>0</v>
      </c>
      <c r="O94" s="2">
        <v>0</v>
      </c>
      <c r="P94" s="2">
        <v>0</v>
      </c>
      <c r="Q94" s="2">
        <v>0</v>
      </c>
      <c r="R94" s="2">
        <v>0</v>
      </c>
      <c r="S94" s="2">
        <f>57+30</f>
        <v>87</v>
      </c>
      <c r="T94" s="2">
        <f>1203+430</f>
        <v>1633</v>
      </c>
      <c r="U94" s="2">
        <f>9+2</f>
        <v>11</v>
      </c>
      <c r="V94" s="2">
        <v>0</v>
      </c>
      <c r="W94" s="2">
        <f>((L94/25)+(M94*4)-(N94*2)+(Q94/10)+(R94*6)+(S94*0.5)+(T94/10)+(U94*6)-(V94*2))/2</f>
        <v>136.4</v>
      </c>
      <c r="X94" s="2" t="s">
        <v>61</v>
      </c>
      <c r="Y94" s="2" t="s">
        <v>4</v>
      </c>
    </row>
    <row r="95" spans="1:25" x14ac:dyDescent="0.45">
      <c r="A95" s="2">
        <v>2023</v>
      </c>
      <c r="B95" s="2">
        <v>5</v>
      </c>
      <c r="C95" s="3">
        <v>177</v>
      </c>
      <c r="D95" s="3" t="s">
        <v>17</v>
      </c>
      <c r="E95" s="2" t="s">
        <v>131</v>
      </c>
      <c r="F95" s="18">
        <v>37040</v>
      </c>
      <c r="G95" s="22">
        <v>21.91</v>
      </c>
      <c r="H95" s="2">
        <v>1.88</v>
      </c>
      <c r="I95" s="2">
        <v>93</v>
      </c>
      <c r="J95" s="2" t="s">
        <v>472</v>
      </c>
      <c r="K95" s="2">
        <v>0</v>
      </c>
      <c r="L95" s="2">
        <v>0</v>
      </c>
      <c r="M95" s="2">
        <v>0</v>
      </c>
      <c r="N95" s="2">
        <v>0</v>
      </c>
      <c r="O95" s="2">
        <v>0</v>
      </c>
      <c r="P95" s="2">
        <f>13+25</f>
        <v>38</v>
      </c>
      <c r="Q95" s="2">
        <f>118+209</f>
        <v>327</v>
      </c>
      <c r="R95" s="2">
        <f>0+5</f>
        <v>5</v>
      </c>
      <c r="S95" s="2">
        <f>42+48</f>
        <v>90</v>
      </c>
      <c r="T95" s="2">
        <f>796+625</f>
        <v>1421</v>
      </c>
      <c r="U95" s="2">
        <f>6+5</f>
        <v>11</v>
      </c>
      <c r="V95" s="2">
        <v>0</v>
      </c>
      <c r="W95" s="2">
        <f>((L95/25)+(M95*4)-(N95*2)+(Q95/10)+(R95*6)+(S95*0.5)+(T95/10)+(U95*6)-(V95*2))/2</f>
        <v>157.9</v>
      </c>
      <c r="X95" s="2" t="s">
        <v>28</v>
      </c>
      <c r="Y95" s="2" t="s">
        <v>14</v>
      </c>
    </row>
    <row r="96" spans="1:25" x14ac:dyDescent="0.45">
      <c r="A96" s="2">
        <v>2023</v>
      </c>
      <c r="B96" s="2">
        <v>6</v>
      </c>
      <c r="C96" s="3">
        <v>185</v>
      </c>
      <c r="D96" s="3" t="s">
        <v>17</v>
      </c>
      <c r="E96" s="2" t="s">
        <v>124</v>
      </c>
      <c r="F96" s="18">
        <v>37336</v>
      </c>
      <c r="G96" s="22">
        <v>21.1</v>
      </c>
      <c r="H96" s="2">
        <v>1.78</v>
      </c>
      <c r="I96" s="2">
        <v>96</v>
      </c>
      <c r="J96" s="2" t="s">
        <v>470</v>
      </c>
      <c r="K96" s="2">
        <v>0</v>
      </c>
      <c r="L96" s="2">
        <v>0</v>
      </c>
      <c r="M96" s="2">
        <v>0</v>
      </c>
      <c r="N96" s="2">
        <v>0</v>
      </c>
      <c r="O96" s="2">
        <v>0</v>
      </c>
      <c r="P96" s="2">
        <f>0+2</f>
        <v>2</v>
      </c>
      <c r="Q96" s="2">
        <f>0+8</f>
        <v>8</v>
      </c>
      <c r="R96" s="2">
        <v>0</v>
      </c>
      <c r="S96" s="2">
        <f>57+46</f>
        <v>103</v>
      </c>
      <c r="T96" s="2">
        <f>722+611</f>
        <v>1333</v>
      </c>
      <c r="U96" s="2">
        <f>4+2</f>
        <v>6</v>
      </c>
      <c r="V96" s="2">
        <v>0</v>
      </c>
      <c r="W96" s="2">
        <f>((L96/25)+(M96*4)-(N96*2)+(Q96/10)+(R96*6)+(S96*0.5)+(T96/10)+(U96*6)-(V96*2))/2</f>
        <v>110.80000000000001</v>
      </c>
      <c r="X96" s="2" t="s">
        <v>41</v>
      </c>
      <c r="Y96" s="2" t="s">
        <v>13</v>
      </c>
    </row>
    <row r="97" spans="1:25" x14ac:dyDescent="0.45">
      <c r="A97" s="2">
        <v>2023</v>
      </c>
      <c r="B97" s="2">
        <v>6</v>
      </c>
      <c r="C97" s="3">
        <v>187</v>
      </c>
      <c r="D97" s="3" t="s">
        <v>17</v>
      </c>
      <c r="E97" s="2" t="s">
        <v>93</v>
      </c>
      <c r="F97" s="18">
        <v>37383</v>
      </c>
      <c r="G97" s="22">
        <v>20.97</v>
      </c>
      <c r="H97" s="2">
        <v>1.8</v>
      </c>
      <c r="I97" s="2">
        <v>89</v>
      </c>
      <c r="J97" s="2" t="s">
        <v>459</v>
      </c>
      <c r="K97" s="2">
        <v>0</v>
      </c>
      <c r="L97" s="2">
        <v>0</v>
      </c>
      <c r="M97" s="2">
        <v>0</v>
      </c>
      <c r="N97" s="2">
        <v>0</v>
      </c>
      <c r="O97" s="2">
        <v>0</v>
      </c>
      <c r="P97" s="2">
        <f>0+1</f>
        <v>1</v>
      </c>
      <c r="Q97" s="2">
        <f>0+41</f>
        <v>41</v>
      </c>
      <c r="R97" s="2">
        <v>0</v>
      </c>
      <c r="S97" s="2">
        <f>38+48</f>
        <v>86</v>
      </c>
      <c r="T97" s="2">
        <f>509+538</f>
        <v>1047</v>
      </c>
      <c r="U97" s="2">
        <f>9+2</f>
        <v>11</v>
      </c>
      <c r="V97" s="2">
        <v>0</v>
      </c>
      <c r="W97" s="2">
        <f>((L97/25)+(M97*4)-(N97*2)+(Q97/10)+(R97*6)+(S97*0.5)+(T97/10)+(U97*6)-(V97*2))/2</f>
        <v>108.9</v>
      </c>
      <c r="X97" s="2" t="s">
        <v>45</v>
      </c>
      <c r="Y97" s="2" t="s">
        <v>23</v>
      </c>
    </row>
    <row r="98" spans="1:25" x14ac:dyDescent="0.45">
      <c r="A98" s="2">
        <v>2023</v>
      </c>
      <c r="B98" s="2">
        <v>6</v>
      </c>
      <c r="C98" s="3">
        <v>191</v>
      </c>
      <c r="D98" s="3" t="s">
        <v>17</v>
      </c>
      <c r="E98" s="2" t="s">
        <v>133</v>
      </c>
      <c r="F98" s="18">
        <v>36983</v>
      </c>
      <c r="G98" s="22">
        <v>22.07</v>
      </c>
      <c r="H98" s="2">
        <v>1.83</v>
      </c>
      <c r="I98" s="2">
        <v>87</v>
      </c>
      <c r="J98" s="2" t="s">
        <v>467</v>
      </c>
      <c r="K98" s="2">
        <v>0</v>
      </c>
      <c r="L98" s="2">
        <v>0</v>
      </c>
      <c r="M98" s="2">
        <v>0</v>
      </c>
      <c r="N98" s="2">
        <v>0</v>
      </c>
      <c r="O98" s="2">
        <v>0</v>
      </c>
      <c r="P98" s="2">
        <f>2+5</f>
        <v>7</v>
      </c>
      <c r="Q98" s="2">
        <f>0+75</f>
        <v>75</v>
      </c>
      <c r="R98" s="2">
        <f>0</f>
        <v>0</v>
      </c>
      <c r="S98" s="2">
        <f>30+71</f>
        <v>101</v>
      </c>
      <c r="T98" s="2">
        <f>344+1043</f>
        <v>1387</v>
      </c>
      <c r="U98" s="2">
        <f>3+9</f>
        <v>12</v>
      </c>
      <c r="V98" s="2">
        <v>0</v>
      </c>
      <c r="W98" s="2">
        <f>((L98/25)+(M98*4)-(N98*2)+(Q98/10)+(R98*6)+(S98*0.5)+(T98/10)+(U98*6)-(V98*2))/2</f>
        <v>134.35</v>
      </c>
      <c r="X98" s="2" t="s">
        <v>64</v>
      </c>
      <c r="Y98" s="2" t="s">
        <v>13</v>
      </c>
    </row>
    <row r="99" spans="1:25" x14ac:dyDescent="0.45">
      <c r="A99" s="2">
        <v>2023</v>
      </c>
      <c r="B99" s="2">
        <v>6</v>
      </c>
      <c r="C99" s="3">
        <v>195</v>
      </c>
      <c r="D99" s="3" t="s">
        <v>17</v>
      </c>
      <c r="E99" s="2" t="s">
        <v>128</v>
      </c>
      <c r="F99" s="18">
        <v>36459</v>
      </c>
      <c r="G99" s="22">
        <v>23.5</v>
      </c>
      <c r="H99" s="2">
        <v>1.96</v>
      </c>
      <c r="I99" s="2">
        <v>93</v>
      </c>
      <c r="J99" s="2" t="s">
        <v>474</v>
      </c>
      <c r="K99" s="2">
        <v>0</v>
      </c>
      <c r="L99" s="2">
        <v>0</v>
      </c>
      <c r="M99" s="2">
        <v>0</v>
      </c>
      <c r="N99" s="2">
        <v>0</v>
      </c>
      <c r="O99" s="2">
        <v>0</v>
      </c>
      <c r="P99" s="2">
        <v>0</v>
      </c>
      <c r="Q99" s="2">
        <v>0</v>
      </c>
      <c r="R99" s="2">
        <v>0</v>
      </c>
      <c r="S99" s="2">
        <f>61+70</f>
        <v>131</v>
      </c>
      <c r="T99" s="2">
        <f>1166+980</f>
        <v>2146</v>
      </c>
      <c r="U99" s="2">
        <f>14+11</f>
        <v>25</v>
      </c>
      <c r="V99" s="2">
        <v>0</v>
      </c>
      <c r="W99" s="2">
        <f>((L99/25)+(M99*4)-(N99*2)+(Q99/10)+(R99*6)+(S99*0.5)+(T99/10)+(U99*6)-(V99*2))/2</f>
        <v>215.05</v>
      </c>
      <c r="X99" s="2" t="s">
        <v>36</v>
      </c>
      <c r="Y99" s="2" t="s">
        <v>4</v>
      </c>
    </row>
    <row r="100" spans="1:25" x14ac:dyDescent="0.45">
      <c r="A100" s="2">
        <v>2023</v>
      </c>
      <c r="B100" s="2">
        <v>6</v>
      </c>
      <c r="C100" s="3">
        <v>197</v>
      </c>
      <c r="D100" s="3" t="s">
        <v>17</v>
      </c>
      <c r="E100" s="2" t="s">
        <v>179</v>
      </c>
      <c r="F100" s="18">
        <v>36826</v>
      </c>
      <c r="G100" s="22">
        <v>22.5</v>
      </c>
      <c r="H100" s="2">
        <v>1.91</v>
      </c>
      <c r="I100" s="2">
        <v>106</v>
      </c>
      <c r="J100" s="2" t="s">
        <v>455</v>
      </c>
      <c r="K100" s="2">
        <v>0</v>
      </c>
      <c r="L100" s="2">
        <v>0</v>
      </c>
      <c r="M100" s="2">
        <v>0</v>
      </c>
      <c r="N100" s="2">
        <v>0</v>
      </c>
      <c r="O100" s="2">
        <v>0</v>
      </c>
      <c r="P100" s="2">
        <f>0+4</f>
        <v>4</v>
      </c>
      <c r="Q100" s="2">
        <f>0+48</f>
        <v>48</v>
      </c>
      <c r="R100" s="2">
        <v>0</v>
      </c>
      <c r="S100" s="2">
        <f>44+59</f>
        <v>103</v>
      </c>
      <c r="T100" s="2">
        <f>502+704</f>
        <v>1206</v>
      </c>
      <c r="U100" s="2">
        <f>4+2</f>
        <v>6</v>
      </c>
      <c r="V100" s="2">
        <v>0</v>
      </c>
      <c r="W100" s="2">
        <f>((L100/25)+(M100*4)-(N100*2)+(Q100/10)+(R100*6)+(S100*0.5)+(T100/10)+(U100*6)-(V100*2))/2</f>
        <v>106.44999999999999</v>
      </c>
      <c r="X100" s="2" t="s">
        <v>29</v>
      </c>
      <c r="Y100" s="2" t="s">
        <v>6</v>
      </c>
    </row>
    <row r="101" spans="1:25" x14ac:dyDescent="0.45">
      <c r="A101" s="2">
        <v>2023</v>
      </c>
      <c r="B101" s="2">
        <v>6</v>
      </c>
      <c r="C101" s="3">
        <v>205</v>
      </c>
      <c r="D101" s="3" t="s">
        <v>17</v>
      </c>
      <c r="E101" s="2" t="s">
        <v>129</v>
      </c>
      <c r="F101" s="18">
        <v>36678</v>
      </c>
      <c r="G101" s="22">
        <v>22.9</v>
      </c>
      <c r="H101" s="2">
        <v>1.88</v>
      </c>
      <c r="I101" s="2">
        <v>93</v>
      </c>
      <c r="J101" s="2" t="s">
        <v>466</v>
      </c>
      <c r="K101" s="2">
        <v>0</v>
      </c>
      <c r="L101" s="2">
        <v>0</v>
      </c>
      <c r="M101" s="2">
        <v>0</v>
      </c>
      <c r="N101" s="2">
        <v>0</v>
      </c>
      <c r="O101" s="2">
        <v>0</v>
      </c>
      <c r="P101" s="2">
        <f>2+0</f>
        <v>2</v>
      </c>
      <c r="Q101" s="2">
        <f>18+0</f>
        <v>18</v>
      </c>
      <c r="R101" s="2">
        <v>0</v>
      </c>
      <c r="S101" s="2">
        <f>82+107</f>
        <v>189</v>
      </c>
      <c r="T101" s="2">
        <f>953+1171</f>
        <v>2124</v>
      </c>
      <c r="U101" s="2">
        <f>5+6</f>
        <v>11</v>
      </c>
      <c r="V101" s="2">
        <v>0</v>
      </c>
      <c r="W101" s="2">
        <f>((L101/25)+(M101*4)-(N101*2)+(Q101/10)+(R101*6)+(S101*0.5)+(T101/10)+(U101*6)-(V101*2))/2</f>
        <v>187.35</v>
      </c>
      <c r="X101" s="2" t="s">
        <v>43</v>
      </c>
      <c r="Y101" s="2" t="s">
        <v>26</v>
      </c>
    </row>
    <row r="102" spans="1:25" x14ac:dyDescent="0.45">
      <c r="A102" s="2">
        <v>2023</v>
      </c>
      <c r="B102" s="2">
        <v>6</v>
      </c>
      <c r="C102" s="3">
        <v>206</v>
      </c>
      <c r="D102" s="3" t="s">
        <v>17</v>
      </c>
      <c r="E102" s="2" t="s">
        <v>180</v>
      </c>
      <c r="F102" s="18">
        <v>36448</v>
      </c>
      <c r="G102" s="22">
        <v>23.53</v>
      </c>
      <c r="H102" s="2">
        <v>1.91</v>
      </c>
      <c r="I102" s="2">
        <v>96</v>
      </c>
      <c r="J102" s="2" t="s">
        <v>482</v>
      </c>
      <c r="K102" s="2">
        <v>0</v>
      </c>
      <c r="L102" s="2">
        <v>0</v>
      </c>
      <c r="M102" s="2">
        <v>0</v>
      </c>
      <c r="N102" s="2">
        <v>0</v>
      </c>
      <c r="O102" s="2">
        <v>0</v>
      </c>
      <c r="P102" s="2">
        <f>1+4</f>
        <v>5</v>
      </c>
      <c r="Q102" s="2">
        <f>7+10</f>
        <v>17</v>
      </c>
      <c r="R102" s="2">
        <f>0</f>
        <v>0</v>
      </c>
      <c r="S102" s="2">
        <f>41+66</f>
        <v>107</v>
      </c>
      <c r="T102" s="2">
        <f>703+943</f>
        <v>1646</v>
      </c>
      <c r="U102" s="2">
        <f>5+7</f>
        <v>12</v>
      </c>
      <c r="V102" s="2">
        <v>0</v>
      </c>
      <c r="W102" s="2">
        <f>((L102/25)+(M102*4)-(N102*2)+(Q102/10)+(R102*6)+(S102*0.5)+(T102/10)+(U102*6)-(V102*2))/2</f>
        <v>145.9</v>
      </c>
      <c r="X102" s="2" t="s">
        <v>167</v>
      </c>
      <c r="Y102" s="2" t="s">
        <v>101</v>
      </c>
    </row>
    <row r="103" spans="1:25" x14ac:dyDescent="0.45">
      <c r="A103" s="2">
        <v>2023</v>
      </c>
      <c r="B103" s="2">
        <v>6</v>
      </c>
      <c r="C103" s="3">
        <v>210</v>
      </c>
      <c r="D103" s="3" t="s">
        <v>17</v>
      </c>
      <c r="E103" s="2" t="s">
        <v>181</v>
      </c>
      <c r="F103" s="18">
        <v>36868</v>
      </c>
      <c r="G103" s="22">
        <v>22.38</v>
      </c>
      <c r="H103" s="2">
        <v>1.73</v>
      </c>
      <c r="I103" s="2">
        <v>87</v>
      </c>
      <c r="J103" s="2" t="s">
        <v>459</v>
      </c>
      <c r="K103" s="2">
        <v>0</v>
      </c>
      <c r="L103" s="2">
        <v>0</v>
      </c>
      <c r="M103" s="2">
        <v>0</v>
      </c>
      <c r="N103" s="2">
        <v>0</v>
      </c>
      <c r="O103" s="2">
        <v>0</v>
      </c>
      <c r="P103" s="2">
        <f>1+5</f>
        <v>6</v>
      </c>
      <c r="Q103" s="2">
        <f>2+105</f>
        <v>107</v>
      </c>
      <c r="R103" s="2">
        <f>0+1</f>
        <v>1</v>
      </c>
      <c r="S103" s="2">
        <f>49+73</f>
        <v>122</v>
      </c>
      <c r="T103" s="2">
        <f>679+977</f>
        <v>1656</v>
      </c>
      <c r="U103" s="2">
        <f>5+6</f>
        <v>11</v>
      </c>
      <c r="V103" s="2">
        <v>0</v>
      </c>
      <c r="W103" s="2">
        <f>((L103/25)+(M103*4)-(N103*2)+(Q103/10)+(R103*6)+(S103*0.5)+(T103/10)+(U103*6)-(V103*2))/2</f>
        <v>154.65</v>
      </c>
      <c r="X103" s="2" t="s">
        <v>58</v>
      </c>
      <c r="Y103" s="2" t="s">
        <v>14</v>
      </c>
    </row>
    <row r="104" spans="1:25" x14ac:dyDescent="0.45">
      <c r="A104" s="2">
        <v>2023</v>
      </c>
      <c r="B104" s="2">
        <v>1</v>
      </c>
      <c r="C104" s="3">
        <v>25</v>
      </c>
      <c r="D104" s="3" t="s">
        <v>9</v>
      </c>
      <c r="E104" s="2" t="s">
        <v>135</v>
      </c>
      <c r="F104" s="18">
        <v>36451</v>
      </c>
      <c r="G104" s="22">
        <v>23.52</v>
      </c>
      <c r="H104" s="2">
        <v>1.93</v>
      </c>
      <c r="I104" s="2">
        <v>112</v>
      </c>
      <c r="J104" s="2" t="s">
        <v>463</v>
      </c>
      <c r="K104" s="2">
        <v>0</v>
      </c>
      <c r="L104" s="2">
        <v>0</v>
      </c>
      <c r="M104" s="2">
        <v>0</v>
      </c>
      <c r="N104" s="2">
        <v>0</v>
      </c>
      <c r="O104" s="2">
        <v>0</v>
      </c>
      <c r="P104" s="2">
        <f>1+0</f>
        <v>1</v>
      </c>
      <c r="Q104" s="2">
        <f>4+0</f>
        <v>4</v>
      </c>
      <c r="R104" s="2">
        <v>0</v>
      </c>
      <c r="S104" s="2">
        <f>33+70</f>
        <v>103</v>
      </c>
      <c r="T104" s="2">
        <f>465+890</f>
        <v>1355</v>
      </c>
      <c r="U104" s="2">
        <f>7+8</f>
        <v>15</v>
      </c>
      <c r="V104" s="2">
        <v>0</v>
      </c>
      <c r="W104" s="2">
        <f>((L104/25)+(M104*4)-(N104*2)+(Q104/10)+(R104*6)+(S104*0.75)+(T104/10)+(U104*6)-(V104*2))/2</f>
        <v>151.57499999999999</v>
      </c>
      <c r="X104" s="2" t="s">
        <v>70</v>
      </c>
      <c r="Y104" s="2" t="s">
        <v>6</v>
      </c>
    </row>
    <row r="105" spans="1:25" x14ac:dyDescent="0.45">
      <c r="A105" s="2">
        <v>2023</v>
      </c>
      <c r="B105" s="2">
        <v>2</v>
      </c>
      <c r="C105" s="3">
        <v>34</v>
      </c>
      <c r="D105" s="3" t="s">
        <v>9</v>
      </c>
      <c r="E105" s="2" t="s">
        <v>136</v>
      </c>
      <c r="F105" s="18">
        <v>36903</v>
      </c>
      <c r="G105" s="22">
        <v>22.29</v>
      </c>
      <c r="H105" s="2">
        <v>1.93</v>
      </c>
      <c r="I105" s="2">
        <v>113</v>
      </c>
      <c r="J105" s="2" t="s">
        <v>475</v>
      </c>
      <c r="K105" s="2">
        <v>0</v>
      </c>
      <c r="L105" s="2">
        <v>0</v>
      </c>
      <c r="M105" s="2">
        <v>0</v>
      </c>
      <c r="N105" s="2">
        <v>0</v>
      </c>
      <c r="O105" s="2">
        <v>0</v>
      </c>
      <c r="P105" s="2">
        <v>0</v>
      </c>
      <c r="Q105" s="2">
        <v>0</v>
      </c>
      <c r="R105" s="2">
        <v>0</v>
      </c>
      <c r="S105" s="2">
        <f>46+53</f>
        <v>99</v>
      </c>
      <c r="T105" s="2">
        <f>548+601</f>
        <v>1149</v>
      </c>
      <c r="U105" s="2">
        <f>2+1</f>
        <v>3</v>
      </c>
      <c r="V105" s="2">
        <v>0</v>
      </c>
      <c r="W105" s="2">
        <f>((L105/25)+(M105*4)-(N105*2)+(Q105/10)+(R105*6)+(S105*0.75)+(T105/10)+(U105*6)-(V105*2))/2</f>
        <v>103.575</v>
      </c>
      <c r="X105" s="2" t="s">
        <v>49</v>
      </c>
      <c r="Y105" s="2" t="s">
        <v>13</v>
      </c>
    </row>
    <row r="106" spans="1:25" x14ac:dyDescent="0.45">
      <c r="A106" s="2">
        <v>2023</v>
      </c>
      <c r="B106" s="2">
        <v>2</v>
      </c>
      <c r="C106" s="3">
        <v>35</v>
      </c>
      <c r="D106" s="3" t="s">
        <v>9</v>
      </c>
      <c r="E106" s="2" t="s">
        <v>99</v>
      </c>
      <c r="F106" s="18">
        <v>37078</v>
      </c>
      <c r="G106" s="22">
        <v>21.81</v>
      </c>
      <c r="H106" s="2">
        <v>1.93</v>
      </c>
      <c r="I106" s="2">
        <v>120</v>
      </c>
      <c r="J106" s="2" t="s">
        <v>468</v>
      </c>
      <c r="K106" s="2">
        <v>0</v>
      </c>
      <c r="L106" s="2">
        <v>0</v>
      </c>
      <c r="M106" s="2">
        <v>0</v>
      </c>
      <c r="N106" s="2">
        <v>0</v>
      </c>
      <c r="O106" s="2">
        <v>0</v>
      </c>
      <c r="P106" s="2">
        <v>0</v>
      </c>
      <c r="Q106" s="2">
        <v>0</v>
      </c>
      <c r="R106" s="2">
        <v>0</v>
      </c>
      <c r="S106" s="2">
        <f>64+67</f>
        <v>131</v>
      </c>
      <c r="T106" s="2">
        <f>768+809</f>
        <v>1577</v>
      </c>
      <c r="U106" s="2">
        <f>5+9</f>
        <v>14</v>
      </c>
      <c r="V106" s="2">
        <v>0</v>
      </c>
      <c r="W106" s="2">
        <f>((L106/25)+(M106*4)-(N106*2)+(Q106/10)+(R106*6)+(S106*0.75)+(T106/10)+(U106*6)-(V106*2))/2</f>
        <v>169.97499999999999</v>
      </c>
      <c r="X106" s="2" t="s">
        <v>15</v>
      </c>
      <c r="Y106" s="2" t="s">
        <v>14</v>
      </c>
    </row>
    <row r="107" spans="1:25" x14ac:dyDescent="0.45">
      <c r="A107" s="2">
        <v>2023</v>
      </c>
      <c r="B107" s="2">
        <v>2</v>
      </c>
      <c r="C107" s="3">
        <v>42</v>
      </c>
      <c r="D107" s="3" t="s">
        <v>9</v>
      </c>
      <c r="E107" s="2" t="s">
        <v>137</v>
      </c>
      <c r="F107" s="18">
        <v>36771</v>
      </c>
      <c r="G107" s="22">
        <v>22.65</v>
      </c>
      <c r="H107" s="2">
        <v>1.98</v>
      </c>
      <c r="I107" s="2">
        <v>116</v>
      </c>
      <c r="J107" s="2" t="s">
        <v>476</v>
      </c>
      <c r="K107" s="2">
        <v>0</v>
      </c>
      <c r="L107" s="2">
        <v>0</v>
      </c>
      <c r="M107" s="2">
        <v>0</v>
      </c>
      <c r="N107" s="2">
        <v>0</v>
      </c>
      <c r="O107" s="2">
        <v>0</v>
      </c>
      <c r="P107" s="2">
        <f>1+0</f>
        <v>1</v>
      </c>
      <c r="Q107" s="2">
        <f>-1</f>
        <v>-1</v>
      </c>
      <c r="R107" s="2">
        <v>0</v>
      </c>
      <c r="S107" s="2">
        <f>19+11</f>
        <v>30</v>
      </c>
      <c r="T107" s="2">
        <f>260+169</f>
        <v>429</v>
      </c>
      <c r="U107" s="2">
        <f>1+1</f>
        <v>2</v>
      </c>
      <c r="V107" s="2">
        <v>0</v>
      </c>
      <c r="W107" s="2">
        <f>((L107/25)+(M107*4)-(N107*2)+(Q107/10)+(R107*6)+(S107*0.75)+(T107/10)+(U107*6)-(V107*2))/2</f>
        <v>38.65</v>
      </c>
      <c r="X107" s="2" t="s">
        <v>8</v>
      </c>
      <c r="Y107" s="2" t="s">
        <v>6</v>
      </c>
    </row>
    <row r="108" spans="1:25" x14ac:dyDescent="0.45">
      <c r="A108" s="2">
        <v>2023</v>
      </c>
      <c r="B108" s="2">
        <v>2</v>
      </c>
      <c r="C108" s="3">
        <v>58</v>
      </c>
      <c r="D108" s="3" t="s">
        <v>9</v>
      </c>
      <c r="E108" s="2" t="s">
        <v>140</v>
      </c>
      <c r="F108" s="18">
        <v>36066</v>
      </c>
      <c r="G108" s="22">
        <v>24.58</v>
      </c>
      <c r="H108" s="2">
        <v>1.98</v>
      </c>
      <c r="I108" s="2">
        <v>113</v>
      </c>
      <c r="J108" s="2" t="s">
        <v>481</v>
      </c>
      <c r="K108" s="2">
        <v>0</v>
      </c>
      <c r="L108" s="2">
        <v>0</v>
      </c>
      <c r="M108" s="2">
        <v>0</v>
      </c>
      <c r="N108" s="2">
        <v>0</v>
      </c>
      <c r="O108" s="2">
        <v>0</v>
      </c>
      <c r="P108" s="2">
        <v>0</v>
      </c>
      <c r="Q108" s="2">
        <v>0</v>
      </c>
      <c r="R108" s="2">
        <v>0</v>
      </c>
      <c r="S108" s="2">
        <f>17+34</f>
        <v>51</v>
      </c>
      <c r="T108" s="2">
        <f>165+386</f>
        <v>551</v>
      </c>
      <c r="U108" s="2">
        <f>3+3</f>
        <v>6</v>
      </c>
      <c r="V108" s="2">
        <v>0</v>
      </c>
      <c r="W108" s="2">
        <f>((L108/25)+(M108*4)-(N108*2)+(Q108/10)+(R108*6)+(S108*0.75)+(T108/10)+(U108*6)-(V108*2))/2</f>
        <v>64.674999999999997</v>
      </c>
      <c r="X108" s="2" t="s">
        <v>40</v>
      </c>
      <c r="Y108" s="2" t="s">
        <v>13</v>
      </c>
    </row>
    <row r="109" spans="1:25" x14ac:dyDescent="0.45">
      <c r="A109" s="2">
        <v>2023</v>
      </c>
      <c r="B109" s="2">
        <v>2</v>
      </c>
      <c r="C109" s="3">
        <v>61</v>
      </c>
      <c r="D109" s="3" t="s">
        <v>9</v>
      </c>
      <c r="E109" s="2" t="s">
        <v>139</v>
      </c>
      <c r="F109" s="18">
        <v>36887</v>
      </c>
      <c r="G109" s="22">
        <v>22.33</v>
      </c>
      <c r="H109" s="2">
        <v>1.93</v>
      </c>
      <c r="I109" s="2">
        <v>112</v>
      </c>
      <c r="J109" s="2" t="s">
        <v>470</v>
      </c>
      <c r="K109" s="2">
        <v>0</v>
      </c>
      <c r="L109" s="2">
        <v>0</v>
      </c>
      <c r="M109" s="2">
        <v>0</v>
      </c>
      <c r="N109" s="2">
        <v>0</v>
      </c>
      <c r="O109" s="2">
        <v>0</v>
      </c>
      <c r="P109" s="2">
        <f>0+1</f>
        <v>1</v>
      </c>
      <c r="Q109" s="2">
        <f>0</f>
        <v>0</v>
      </c>
      <c r="R109" s="2">
        <v>0</v>
      </c>
      <c r="S109" s="2">
        <f>19+32</f>
        <v>51</v>
      </c>
      <c r="T109" s="2">
        <f>226+362</f>
        <v>588</v>
      </c>
      <c r="U109" s="2">
        <f>3+5</f>
        <v>8</v>
      </c>
      <c r="V109" s="2">
        <v>0</v>
      </c>
      <c r="W109" s="2">
        <f>((L109/25)+(M109*4)-(N109*2)+(Q109/10)+(R109*6)+(S109*0.75)+(T109/10)+(U109*6)-(V109*2))/2</f>
        <v>72.525000000000006</v>
      </c>
      <c r="X109" s="2" t="s">
        <v>41</v>
      </c>
      <c r="Y109" s="2" t="s">
        <v>13</v>
      </c>
    </row>
    <row r="110" spans="1:25" x14ac:dyDescent="0.45">
      <c r="A110" s="2">
        <v>2023</v>
      </c>
      <c r="B110" s="2">
        <v>3</v>
      </c>
      <c r="C110" s="3">
        <v>78</v>
      </c>
      <c r="D110" s="3" t="s">
        <v>9</v>
      </c>
      <c r="E110" s="2" t="s">
        <v>138</v>
      </c>
      <c r="F110" s="18">
        <v>36833</v>
      </c>
      <c r="G110" s="22">
        <v>22.48</v>
      </c>
      <c r="H110" s="2">
        <v>1.96</v>
      </c>
      <c r="I110" s="2">
        <v>116</v>
      </c>
      <c r="J110" s="2" t="s">
        <v>476</v>
      </c>
      <c r="K110" s="2">
        <v>0</v>
      </c>
      <c r="L110" s="2">
        <v>0</v>
      </c>
      <c r="M110" s="2">
        <v>0</v>
      </c>
      <c r="N110" s="2">
        <v>0</v>
      </c>
      <c r="O110" s="2">
        <v>0</v>
      </c>
      <c r="P110" s="2">
        <f>2+2</f>
        <v>4</v>
      </c>
      <c r="Q110" s="2">
        <f>6+5</f>
        <v>11</v>
      </c>
      <c r="R110" s="2">
        <v>0</v>
      </c>
      <c r="S110" s="2">
        <f>59+21</f>
        <v>80</v>
      </c>
      <c r="T110" s="2">
        <f>677+249</f>
        <v>926</v>
      </c>
      <c r="U110" s="2">
        <f>6+2</f>
        <v>8</v>
      </c>
      <c r="V110" s="2">
        <v>0</v>
      </c>
      <c r="W110" s="2">
        <f>((L110/25)+(M110*4)-(N110*2)+(Q110/10)+(R110*6)+(S110*0.75)+(T110/10)+(U110*6)-(V110*2))/2</f>
        <v>100.85</v>
      </c>
      <c r="X110" s="2" t="s">
        <v>44</v>
      </c>
      <c r="Y110" s="2" t="s">
        <v>19</v>
      </c>
    </row>
    <row r="111" spans="1:25" x14ac:dyDescent="0.45">
      <c r="A111" s="2">
        <v>2023</v>
      </c>
      <c r="B111" s="2">
        <v>3</v>
      </c>
      <c r="C111" s="3">
        <v>93</v>
      </c>
      <c r="D111" s="3" t="s">
        <v>9</v>
      </c>
      <c r="E111" s="2" t="s">
        <v>134</v>
      </c>
      <c r="F111" s="18">
        <v>37120</v>
      </c>
      <c r="G111" s="22">
        <v>21.69</v>
      </c>
      <c r="H111" s="2">
        <f>2.01</f>
        <v>2.0099999999999998</v>
      </c>
      <c r="I111" s="2">
        <v>120</v>
      </c>
      <c r="J111" s="2" t="s">
        <v>453</v>
      </c>
      <c r="K111" s="2">
        <v>0</v>
      </c>
      <c r="L111" s="2">
        <v>0</v>
      </c>
      <c r="M111" s="2">
        <v>0</v>
      </c>
      <c r="N111" s="2">
        <v>0</v>
      </c>
      <c r="O111" s="2">
        <v>0</v>
      </c>
      <c r="P111" s="2">
        <v>0</v>
      </c>
      <c r="Q111" s="2">
        <v>0</v>
      </c>
      <c r="R111" s="2">
        <v>0</v>
      </c>
      <c r="S111" s="2">
        <f>9+26</f>
        <v>35</v>
      </c>
      <c r="T111" s="2">
        <f>145+417</f>
        <v>562</v>
      </c>
      <c r="U111" s="2">
        <f>1+2</f>
        <v>3</v>
      </c>
      <c r="V111" s="2">
        <v>0</v>
      </c>
      <c r="W111" s="2">
        <f>((L111/25)+(M111*4)-(N111*2)+(Q111/10)+(R111*6)+(S111*0.75)+(T111/10)+(U111*6)-(V111*2))/2</f>
        <v>50.225000000000001</v>
      </c>
      <c r="X111" s="2" t="s">
        <v>39</v>
      </c>
      <c r="Y111" s="2" t="s">
        <v>23</v>
      </c>
    </row>
    <row r="112" spans="1:25" x14ac:dyDescent="0.45">
      <c r="A112" s="2">
        <v>2023</v>
      </c>
      <c r="B112" s="2">
        <v>3</v>
      </c>
      <c r="C112" s="3">
        <v>101</v>
      </c>
      <c r="D112" s="3" t="s">
        <v>9</v>
      </c>
      <c r="E112" s="2" t="s">
        <v>314</v>
      </c>
      <c r="F112" s="18">
        <v>36580</v>
      </c>
      <c r="G112" s="22">
        <v>23.17</v>
      </c>
      <c r="H112" s="2">
        <v>1.96</v>
      </c>
      <c r="I112" s="2">
        <v>113</v>
      </c>
      <c r="J112" s="2" t="s">
        <v>465</v>
      </c>
      <c r="K112" s="2">
        <v>0</v>
      </c>
      <c r="L112" s="2">
        <v>0</v>
      </c>
      <c r="M112" s="2">
        <v>0</v>
      </c>
      <c r="N112" s="2">
        <v>0</v>
      </c>
      <c r="O112" s="2">
        <v>0</v>
      </c>
      <c r="P112" s="2">
        <v>0</v>
      </c>
      <c r="Q112" s="2">
        <v>0</v>
      </c>
      <c r="R112" s="2">
        <v>0</v>
      </c>
      <c r="S112" s="2">
        <f>20+25</f>
        <v>45</v>
      </c>
      <c r="T112" s="2">
        <f>299+323</f>
        <v>622</v>
      </c>
      <c r="U112" s="2">
        <f>6+3</f>
        <v>9</v>
      </c>
      <c r="V112" s="2">
        <v>0</v>
      </c>
      <c r="W112" s="2">
        <f>((L112/25)+(M112*4)-(N112*2)+(Q112/10)+(R112*6)+(S112*0.75)+(T112/10)+(U112*6)-(V112*2))/2</f>
        <v>74.974999999999994</v>
      </c>
      <c r="X112" s="2" t="s">
        <v>47</v>
      </c>
      <c r="Y112" s="2" t="s">
        <v>23</v>
      </c>
    </row>
    <row r="113" spans="1:25" x14ac:dyDescent="0.45">
      <c r="A113" s="2">
        <v>2024</v>
      </c>
      <c r="B113" s="2">
        <v>1</v>
      </c>
      <c r="C113" s="6">
        <v>1</v>
      </c>
      <c r="D113" s="3" t="s">
        <v>32</v>
      </c>
      <c r="E113" s="7" t="s">
        <v>224</v>
      </c>
      <c r="F113" s="20">
        <v>37213</v>
      </c>
      <c r="G113" s="25">
        <v>22.44</v>
      </c>
      <c r="H113" s="7">
        <v>1.85</v>
      </c>
      <c r="I113" s="7">
        <v>98</v>
      </c>
      <c r="J113" s="7" t="s">
        <v>480</v>
      </c>
      <c r="K113" s="7">
        <f>(66.2+66.8)/2</f>
        <v>66.5</v>
      </c>
      <c r="L113" s="7">
        <f>4537+3633</f>
        <v>8170</v>
      </c>
      <c r="M113" s="7">
        <f>42+30</f>
        <v>72</v>
      </c>
      <c r="N113" s="7">
        <f>5+5</f>
        <v>10</v>
      </c>
      <c r="O113" s="7">
        <f>(168.5+170.1)/2</f>
        <v>169.3</v>
      </c>
      <c r="P113" s="7">
        <f>113+97</f>
        <v>210</v>
      </c>
      <c r="Q113" s="7">
        <f>382+97</f>
        <v>479</v>
      </c>
      <c r="R113" s="7">
        <f>10+11</f>
        <v>21</v>
      </c>
      <c r="S113" s="2">
        <v>0</v>
      </c>
      <c r="T113" s="2">
        <v>0</v>
      </c>
      <c r="U113" s="2">
        <v>0</v>
      </c>
      <c r="V113" s="2">
        <v>0</v>
      </c>
      <c r="W113" s="2">
        <f>((L113/25)+(M113*4)-(N113*2)+(Q113/10)+(R113*6)+(S113*0.5)+(T113/10)+(U113*6)-(V113*2))/2</f>
        <v>384.34999999999997</v>
      </c>
      <c r="X113" s="2" t="s">
        <v>63</v>
      </c>
      <c r="Y113" s="2" t="s">
        <v>6</v>
      </c>
    </row>
    <row r="114" spans="1:25" x14ac:dyDescent="0.45">
      <c r="A114" s="2">
        <v>2024</v>
      </c>
      <c r="B114" s="2">
        <v>1</v>
      </c>
      <c r="C114" s="6">
        <v>2</v>
      </c>
      <c r="D114" s="3" t="s">
        <v>32</v>
      </c>
      <c r="E114" s="7" t="s">
        <v>232</v>
      </c>
      <c r="F114" s="20">
        <v>36878</v>
      </c>
      <c r="G114" s="25">
        <v>23.35</v>
      </c>
      <c r="H114" s="7">
        <v>1.93</v>
      </c>
      <c r="I114" s="7">
        <v>95</v>
      </c>
      <c r="J114" s="7" t="s">
        <v>461</v>
      </c>
      <c r="K114" s="7">
        <f>(68.6+72.2)/2</f>
        <v>70.400000000000006</v>
      </c>
      <c r="L114" s="7">
        <f>2913+3812</f>
        <v>6725</v>
      </c>
      <c r="M114" s="7">
        <f>17+40</f>
        <v>57</v>
      </c>
      <c r="N114" s="7">
        <f>3+4</f>
        <v>7</v>
      </c>
      <c r="O114" s="7">
        <f>(144.5+208)/2</f>
        <v>176.25</v>
      </c>
      <c r="P114" s="7">
        <f>186+135</f>
        <v>321</v>
      </c>
      <c r="Q114" s="7">
        <f>885+1134</f>
        <v>2019</v>
      </c>
      <c r="R114" s="7">
        <f>11+10</f>
        <v>21</v>
      </c>
      <c r="S114" s="2">
        <v>0</v>
      </c>
      <c r="T114" s="2">
        <v>0</v>
      </c>
      <c r="U114" s="2">
        <v>0</v>
      </c>
      <c r="V114" s="2">
        <v>0</v>
      </c>
      <c r="W114" s="2">
        <f>((L114/25)+(M114*4)-(N114*2)+(Q114/10)+(R114*6)+(S114*0.5)+(T114/10)+(U114*6)-(V114*2))/2</f>
        <v>405.45</v>
      </c>
      <c r="X114" s="2" t="s">
        <v>45</v>
      </c>
      <c r="Y114" s="2" t="s">
        <v>23</v>
      </c>
    </row>
    <row r="115" spans="1:25" x14ac:dyDescent="0.45">
      <c r="A115" s="2">
        <v>2024</v>
      </c>
      <c r="B115" s="2">
        <v>1</v>
      </c>
      <c r="C115" s="6">
        <v>3</v>
      </c>
      <c r="D115" s="3" t="s">
        <v>32</v>
      </c>
      <c r="E115" s="7" t="s">
        <v>225</v>
      </c>
      <c r="F115" s="20">
        <v>37498</v>
      </c>
      <c r="G115" s="25">
        <v>21.65</v>
      </c>
      <c r="H115" s="7">
        <v>1.93</v>
      </c>
      <c r="I115" s="7">
        <v>104</v>
      </c>
      <c r="J115" s="7" t="s">
        <v>459</v>
      </c>
      <c r="K115" s="7">
        <f>(66.2+63.3)/2</f>
        <v>64.75</v>
      </c>
      <c r="L115" s="7">
        <f>4321+3608</f>
        <v>7929</v>
      </c>
      <c r="M115" s="7">
        <f>38+24</f>
        <v>62</v>
      </c>
      <c r="N115" s="7">
        <f>7+9</f>
        <v>16</v>
      </c>
      <c r="O115" s="7">
        <f>(157.9+149)/2</f>
        <v>153.44999999999999</v>
      </c>
      <c r="P115" s="7">
        <f>184+112</f>
        <v>296</v>
      </c>
      <c r="Q115" s="7">
        <f>698+449</f>
        <v>1147</v>
      </c>
      <c r="R115" s="7">
        <f>7+9</f>
        <v>16</v>
      </c>
      <c r="S115" s="2">
        <v>0</v>
      </c>
      <c r="T115" s="2">
        <v>0</v>
      </c>
      <c r="U115" s="2">
        <v>0</v>
      </c>
      <c r="V115" s="2">
        <v>0</v>
      </c>
      <c r="W115" s="2">
        <f>((L115/25)+(M115*4)-(N115*2)+(Q115/10)+(R115*6)+(S115*0.5)+(T115/10)+(U115*6)-(V115*2))/2</f>
        <v>371.93000000000006</v>
      </c>
      <c r="X115" s="2" t="s">
        <v>5</v>
      </c>
      <c r="Y115" s="2" t="s">
        <v>4</v>
      </c>
    </row>
    <row r="116" spans="1:25" x14ac:dyDescent="0.45">
      <c r="A116" s="2">
        <v>2024</v>
      </c>
      <c r="B116" s="2">
        <v>1</v>
      </c>
      <c r="C116" s="6">
        <v>8</v>
      </c>
      <c r="D116" s="3" t="s">
        <v>32</v>
      </c>
      <c r="E116" s="7" t="s">
        <v>234</v>
      </c>
      <c r="F116" s="20">
        <v>36654</v>
      </c>
      <c r="G116" s="25">
        <v>23.97</v>
      </c>
      <c r="H116" s="7">
        <v>1.91</v>
      </c>
      <c r="I116" s="7">
        <v>97</v>
      </c>
      <c r="J116" s="7" t="s">
        <v>457</v>
      </c>
      <c r="K116" s="7">
        <f>(65.3+65.4)/2</f>
        <v>65.349999999999994</v>
      </c>
      <c r="L116" s="7">
        <f>4641+4903</f>
        <v>9544</v>
      </c>
      <c r="M116" s="7">
        <f>31+36</f>
        <v>67</v>
      </c>
      <c r="N116" s="7">
        <f>8+11</f>
        <v>19</v>
      </c>
      <c r="O116" s="7">
        <f>(151.3+161.4)/2</f>
        <v>156.35000000000002</v>
      </c>
      <c r="P116" s="7">
        <f>35+35</f>
        <v>70</v>
      </c>
      <c r="Q116" s="7">
        <f>92+8</f>
        <v>100</v>
      </c>
      <c r="R116" s="7">
        <f>4+3</f>
        <v>7</v>
      </c>
      <c r="S116" s="2">
        <v>0</v>
      </c>
      <c r="T116" s="2">
        <v>0</v>
      </c>
      <c r="U116" s="2">
        <v>0</v>
      </c>
      <c r="V116" s="2">
        <v>0</v>
      </c>
      <c r="W116" s="2">
        <f>((L116/25)+(M116*4)-(N116*2)+(Q116/10)+(R116*6)+(S116*0.5)+(T116/10)+(U116*6)-(V116*2))/2</f>
        <v>331.88</v>
      </c>
      <c r="X116" s="2" t="s">
        <v>7</v>
      </c>
      <c r="Y116" s="2" t="s">
        <v>6</v>
      </c>
    </row>
    <row r="117" spans="1:25" x14ac:dyDescent="0.45">
      <c r="A117" s="2">
        <v>2024</v>
      </c>
      <c r="B117" s="2">
        <v>1</v>
      </c>
      <c r="C117" s="6">
        <v>10</v>
      </c>
      <c r="D117" s="3" t="s">
        <v>32</v>
      </c>
      <c r="E117" s="7" t="s">
        <v>226</v>
      </c>
      <c r="F117" s="20">
        <v>37641</v>
      </c>
      <c r="G117" s="25">
        <v>21.26</v>
      </c>
      <c r="H117" s="7">
        <v>1.91</v>
      </c>
      <c r="I117" s="7">
        <v>92</v>
      </c>
      <c r="J117" s="7" t="s">
        <v>473</v>
      </c>
      <c r="K117" s="7">
        <f>(64.6+72.3)/2</f>
        <v>68.449999999999989</v>
      </c>
      <c r="L117" s="7">
        <f>(2719+2991)</f>
        <v>5710</v>
      </c>
      <c r="M117" s="7">
        <f>22+22</f>
        <v>44</v>
      </c>
      <c r="N117" s="7">
        <f>5+4</f>
        <v>9</v>
      </c>
      <c r="O117" s="7">
        <f>(155+167.4)/2</f>
        <v>161.19999999999999</v>
      </c>
      <c r="P117" s="7">
        <f>70+64</f>
        <v>134</v>
      </c>
      <c r="Q117" s="7">
        <f>306+202</f>
        <v>508</v>
      </c>
      <c r="R117" s="7">
        <f>5+3</f>
        <v>8</v>
      </c>
      <c r="S117" s="2">
        <v>0</v>
      </c>
      <c r="T117" s="2">
        <v>0</v>
      </c>
      <c r="U117" s="2">
        <v>0</v>
      </c>
      <c r="V117" s="2">
        <v>0</v>
      </c>
      <c r="W117" s="2">
        <f>((L117/25)+(M117*4)-(N117*2)+(Q117/10)+(R117*6)+(S117*0.5)+(T117/10)+(U117*6)-(V117*2))/2</f>
        <v>242.6</v>
      </c>
      <c r="X117" s="2" t="s">
        <v>40</v>
      </c>
      <c r="Y117" s="2" t="s">
        <v>13</v>
      </c>
    </row>
    <row r="118" spans="1:25" x14ac:dyDescent="0.45">
      <c r="A118" s="2">
        <v>2024</v>
      </c>
      <c r="B118" s="2">
        <v>1</v>
      </c>
      <c r="C118" s="6">
        <v>12</v>
      </c>
      <c r="D118" s="3" t="s">
        <v>32</v>
      </c>
      <c r="E118" s="7" t="s">
        <v>233</v>
      </c>
      <c r="F118" s="20">
        <v>36581</v>
      </c>
      <c r="G118" s="25">
        <v>24.17</v>
      </c>
      <c r="H118" s="7">
        <f>1.88</f>
        <v>1.88</v>
      </c>
      <c r="I118" s="7">
        <v>98</v>
      </c>
      <c r="J118" s="7" t="s">
        <v>0</v>
      </c>
      <c r="K118" s="7">
        <f>(71.9+77.4)/2</f>
        <v>74.650000000000006</v>
      </c>
      <c r="L118" s="7">
        <f>3593+4508</f>
        <v>8101</v>
      </c>
      <c r="M118" s="7">
        <f>29+45</f>
        <v>74</v>
      </c>
      <c r="N118" s="7">
        <f>7+3</f>
        <v>10</v>
      </c>
      <c r="O118" s="7">
        <f>(165.7+188.3)/2</f>
        <v>177</v>
      </c>
      <c r="P118" s="7">
        <f>89+54</f>
        <v>143</v>
      </c>
      <c r="Q118" s="7">
        <f>510+234</f>
        <v>744</v>
      </c>
      <c r="R118" s="7">
        <f>14+6</f>
        <v>20</v>
      </c>
      <c r="S118" s="2">
        <v>0</v>
      </c>
      <c r="T118" s="2">
        <v>0</v>
      </c>
      <c r="U118" s="2">
        <v>0</v>
      </c>
      <c r="V118" s="2">
        <v>0</v>
      </c>
      <c r="W118" s="2">
        <f>((L118/25)+(M118*4)-(N118*2)+(Q118/10)+(R118*6)+(S118*0.5)+(T118/10)+(U118*6)-(V118*2))/2</f>
        <v>397.21999999999997</v>
      </c>
      <c r="X118" s="2" t="s">
        <v>74</v>
      </c>
      <c r="Y118" s="2" t="s">
        <v>6</v>
      </c>
    </row>
    <row r="119" spans="1:25" x14ac:dyDescent="0.45">
      <c r="A119" s="2">
        <v>2024</v>
      </c>
      <c r="B119" s="2">
        <v>2</v>
      </c>
      <c r="C119" s="6">
        <v>46</v>
      </c>
      <c r="D119" s="3" t="s">
        <v>10</v>
      </c>
      <c r="E119" s="7" t="s">
        <v>253</v>
      </c>
      <c r="F119" s="20">
        <v>37823</v>
      </c>
      <c r="G119" s="25">
        <v>20.76</v>
      </c>
      <c r="H119" s="7">
        <v>1.83</v>
      </c>
      <c r="I119" s="7">
        <v>94</v>
      </c>
      <c r="J119" s="7" t="s">
        <v>460</v>
      </c>
      <c r="K119" s="2">
        <v>0</v>
      </c>
      <c r="L119" s="2">
        <v>0</v>
      </c>
      <c r="M119" s="2">
        <v>0</v>
      </c>
      <c r="N119" s="2">
        <v>0</v>
      </c>
      <c r="O119" s="2">
        <v>0</v>
      </c>
      <c r="P119" s="7">
        <f>30+187</f>
        <v>217</v>
      </c>
      <c r="Q119" s="7">
        <f>197+1139</f>
        <v>1336</v>
      </c>
      <c r="R119" s="7">
        <f>5+10</f>
        <v>15</v>
      </c>
      <c r="S119" s="7">
        <f>2+25</f>
        <v>27</v>
      </c>
      <c r="T119" s="7">
        <f>37+286</f>
        <v>323</v>
      </c>
      <c r="U119" s="7">
        <f>1+1</f>
        <v>2</v>
      </c>
      <c r="V119" s="7">
        <f>0+1</f>
        <v>1</v>
      </c>
      <c r="W119" s="2">
        <f>((L119/25)+(M119*4)-(N119*2)+(Q119/10)+(R119*6)+(S119*0.5)+(T119/10)+(U119*6)-(V119*2))/2</f>
        <v>139.69999999999999</v>
      </c>
      <c r="X119" s="2" t="s">
        <v>81</v>
      </c>
      <c r="Y119" s="2" t="s">
        <v>26</v>
      </c>
    </row>
    <row r="120" spans="1:25" x14ac:dyDescent="0.45">
      <c r="A120" s="2">
        <v>2024</v>
      </c>
      <c r="B120" s="2">
        <v>3</v>
      </c>
      <c r="C120" s="6">
        <v>66</v>
      </c>
      <c r="D120" s="3" t="s">
        <v>10</v>
      </c>
      <c r="E120" s="7" t="s">
        <v>236</v>
      </c>
      <c r="F120" s="20">
        <v>37460</v>
      </c>
      <c r="G120" s="25">
        <v>21.76</v>
      </c>
      <c r="H120" s="7">
        <v>1.85</v>
      </c>
      <c r="I120" s="7">
        <v>100</v>
      </c>
      <c r="J120" s="7" t="s">
        <v>464</v>
      </c>
      <c r="K120" s="2">
        <v>0</v>
      </c>
      <c r="L120" s="2">
        <v>0</v>
      </c>
      <c r="M120" s="2">
        <v>0</v>
      </c>
      <c r="N120" s="2">
        <v>0</v>
      </c>
      <c r="O120" s="2">
        <v>0</v>
      </c>
      <c r="P120" s="7">
        <f>154+156</f>
        <v>310</v>
      </c>
      <c r="Q120" s="7">
        <f>990+905</f>
        <v>1895</v>
      </c>
      <c r="R120" s="7">
        <f>9+14</f>
        <v>23</v>
      </c>
      <c r="S120" s="7">
        <f>13+20</f>
        <v>33</v>
      </c>
      <c r="T120" s="7">
        <f>144+227</f>
        <v>371</v>
      </c>
      <c r="U120" s="7">
        <f>0+1</f>
        <v>1</v>
      </c>
      <c r="V120" s="7">
        <v>0</v>
      </c>
      <c r="W120" s="2">
        <f>((L120/25)+(M120*4)-(N120*2)+(Q120/10)+(R120*6)+(S120*0.5)+(T120/10)+(U120*6)-(V120*2))/2</f>
        <v>193.55</v>
      </c>
      <c r="X120" s="2" t="s">
        <v>71</v>
      </c>
      <c r="Y120" s="2" t="s">
        <v>4</v>
      </c>
    </row>
    <row r="121" spans="1:25" x14ac:dyDescent="0.45">
      <c r="A121" s="2">
        <v>2024</v>
      </c>
      <c r="B121" s="2">
        <v>3</v>
      </c>
      <c r="C121" s="6">
        <v>83</v>
      </c>
      <c r="D121" s="3" t="s">
        <v>10</v>
      </c>
      <c r="E121" s="7" t="s">
        <v>252</v>
      </c>
      <c r="F121" s="20">
        <v>36855</v>
      </c>
      <c r="G121" s="25">
        <v>23.42</v>
      </c>
      <c r="H121" s="7">
        <v>1.73</v>
      </c>
      <c r="I121" s="7">
        <v>97</v>
      </c>
      <c r="J121" s="7" t="s">
        <v>472</v>
      </c>
      <c r="K121" s="2">
        <v>0</v>
      </c>
      <c r="L121" s="2">
        <v>0</v>
      </c>
      <c r="M121" s="2">
        <v>0</v>
      </c>
      <c r="N121" s="2">
        <v>0</v>
      </c>
      <c r="O121" s="2">
        <v>0</v>
      </c>
      <c r="P121" s="7">
        <f>247+258</f>
        <v>505</v>
      </c>
      <c r="Q121" s="7">
        <f>1463+1245</f>
        <v>2708</v>
      </c>
      <c r="R121" s="7">
        <f>18+27</f>
        <v>45</v>
      </c>
      <c r="S121" s="7">
        <f>11+16</f>
        <v>27</v>
      </c>
      <c r="T121" s="7">
        <f>80+117</f>
        <v>197</v>
      </c>
      <c r="U121" s="7">
        <f>1+1</f>
        <v>2</v>
      </c>
      <c r="V121" s="7">
        <f>1+0</f>
        <v>1</v>
      </c>
      <c r="W121" s="2">
        <f>((L121/25)+(M121*4)-(N121*2)+(Q121/10)+(R121*6)+(S121*0.5)+(T121/10)+(U121*6)-(V121*2))/2</f>
        <v>292</v>
      </c>
      <c r="X121" s="2" t="s">
        <v>40</v>
      </c>
      <c r="Y121" s="2" t="s">
        <v>13</v>
      </c>
    </row>
    <row r="122" spans="1:25" x14ac:dyDescent="0.45">
      <c r="A122" s="2">
        <v>2024</v>
      </c>
      <c r="B122" s="2">
        <v>3</v>
      </c>
      <c r="C122" s="6">
        <v>88</v>
      </c>
      <c r="D122" s="3" t="s">
        <v>10</v>
      </c>
      <c r="E122" s="7" t="s">
        <v>259</v>
      </c>
      <c r="F122" s="20">
        <v>36896</v>
      </c>
      <c r="G122" s="25">
        <v>23.3</v>
      </c>
      <c r="H122" s="7">
        <v>1.75</v>
      </c>
      <c r="I122" s="7">
        <v>95</v>
      </c>
      <c r="J122" s="7" t="s">
        <v>476</v>
      </c>
      <c r="K122" s="2">
        <v>0</v>
      </c>
      <c r="L122" s="2">
        <v>0</v>
      </c>
      <c r="M122" s="2">
        <v>0</v>
      </c>
      <c r="N122" s="2">
        <v>0</v>
      </c>
      <c r="O122" s="2">
        <v>0</v>
      </c>
      <c r="P122" s="7">
        <f>111+116</f>
        <v>227</v>
      </c>
      <c r="Q122" s="7">
        <f>573+820</f>
        <v>1393</v>
      </c>
      <c r="R122" s="7">
        <f>9+9</f>
        <v>18</v>
      </c>
      <c r="S122" s="7">
        <f>18+13</f>
        <v>31</v>
      </c>
      <c r="T122" s="7">
        <f>176+232</f>
        <v>408</v>
      </c>
      <c r="U122" s="7">
        <f>2+0</f>
        <v>2</v>
      </c>
      <c r="V122" s="7">
        <f>1+3</f>
        <v>4</v>
      </c>
      <c r="W122" s="2">
        <f>((L122/25)+(M122*4)-(N122*2)+(Q122/10)+(R122*6)+(S122*0.5)+(T122/10)+(U122*6)-(V122*2))/2</f>
        <v>153.80000000000001</v>
      </c>
      <c r="X122" s="2" t="s">
        <v>63</v>
      </c>
      <c r="Y122" s="2" t="s">
        <v>6</v>
      </c>
    </row>
    <row r="123" spans="1:25" x14ac:dyDescent="0.45">
      <c r="A123" s="2">
        <v>2024</v>
      </c>
      <c r="B123" s="2">
        <v>4</v>
      </c>
      <c r="C123" s="6">
        <v>120</v>
      </c>
      <c r="D123" s="3" t="s">
        <v>10</v>
      </c>
      <c r="E123" s="7" t="s">
        <v>267</v>
      </c>
      <c r="F123" s="20">
        <v>37712</v>
      </c>
      <c r="G123" s="25">
        <v>21.07</v>
      </c>
      <c r="H123" s="7">
        <v>1.8</v>
      </c>
      <c r="I123" s="7">
        <v>95</v>
      </c>
      <c r="J123" s="7" t="s">
        <v>455</v>
      </c>
      <c r="K123" s="2">
        <v>0</v>
      </c>
      <c r="L123" s="2">
        <v>0</v>
      </c>
      <c r="M123" s="2">
        <v>0</v>
      </c>
      <c r="N123" s="2">
        <v>0</v>
      </c>
      <c r="O123" s="2">
        <v>0</v>
      </c>
      <c r="P123" s="7">
        <f>146+137</f>
        <v>283</v>
      </c>
      <c r="Q123" s="7">
        <f>875+1013</f>
        <v>1888</v>
      </c>
      <c r="R123" s="7">
        <f>10+4</f>
        <v>14</v>
      </c>
      <c r="S123" s="7">
        <f>2+22</f>
        <v>24</v>
      </c>
      <c r="T123" s="7">
        <f>8+141</f>
        <v>149</v>
      </c>
      <c r="U123" s="7">
        <v>0</v>
      </c>
      <c r="V123" s="7">
        <v>3</v>
      </c>
      <c r="W123" s="2">
        <f>((L123/25)+(M123*4)-(N123*2)+(Q123/10)+(R123*6)+(S123*0.5)+(T123/10)+(U123*6)-(V123*2))/2</f>
        <v>146.85</v>
      </c>
      <c r="X123" s="2" t="s">
        <v>62</v>
      </c>
      <c r="Y123" s="2" t="s">
        <v>23</v>
      </c>
    </row>
    <row r="124" spans="1:25" x14ac:dyDescent="0.45">
      <c r="A124" s="2">
        <v>2024</v>
      </c>
      <c r="B124" s="2">
        <v>4</v>
      </c>
      <c r="C124" s="6">
        <v>125</v>
      </c>
      <c r="D124" s="3" t="s">
        <v>10</v>
      </c>
      <c r="E124" s="7" t="s">
        <v>245</v>
      </c>
      <c r="F124" s="20">
        <v>37487</v>
      </c>
      <c r="G124" s="25">
        <v>21.68</v>
      </c>
      <c r="H124" s="7">
        <v>1.78</v>
      </c>
      <c r="I124" s="7">
        <v>88</v>
      </c>
      <c r="J124" s="7" t="s">
        <v>467</v>
      </c>
      <c r="K124" s="2">
        <v>0</v>
      </c>
      <c r="L124" s="2">
        <v>0</v>
      </c>
      <c r="M124" s="2">
        <v>0</v>
      </c>
      <c r="N124" s="2">
        <v>0</v>
      </c>
      <c r="O124" s="2">
        <v>0</v>
      </c>
      <c r="P124" s="7">
        <f>156+186</f>
        <v>342</v>
      </c>
      <c r="Q124" s="7">
        <f>1058+1180</f>
        <v>2238</v>
      </c>
      <c r="R124" s="7">
        <f>5+11</f>
        <v>16</v>
      </c>
      <c r="S124" s="7">
        <f>31+56</f>
        <v>87</v>
      </c>
      <c r="T124" s="7">
        <f>299+413</f>
        <v>712</v>
      </c>
      <c r="U124" s="7">
        <f>3+2</f>
        <v>5</v>
      </c>
      <c r="V124" s="7">
        <v>1</v>
      </c>
      <c r="W124" s="2">
        <f>((L124/25)+(M124*4)-(N124*2)+(Q124/10)+(R124*6)+(S124*0.5)+(T124/10)+(U124*6)-(V124*2))/2</f>
        <v>231.25</v>
      </c>
      <c r="X124" s="2" t="s">
        <v>74</v>
      </c>
      <c r="Y124" s="2" t="s">
        <v>6</v>
      </c>
    </row>
    <row r="125" spans="1:25" x14ac:dyDescent="0.45">
      <c r="A125" s="2">
        <v>2024</v>
      </c>
      <c r="B125" s="2">
        <v>4</v>
      </c>
      <c r="C125" s="6">
        <v>127</v>
      </c>
      <c r="D125" s="3" t="s">
        <v>10</v>
      </c>
      <c r="E125" s="7" t="s">
        <v>257</v>
      </c>
      <c r="F125" s="20">
        <v>37497</v>
      </c>
      <c r="G125" s="25">
        <v>21.66</v>
      </c>
      <c r="H125" s="7">
        <v>1.8</v>
      </c>
      <c r="I125" s="7">
        <v>95</v>
      </c>
      <c r="J125" s="7" t="s">
        <v>483</v>
      </c>
      <c r="K125" s="2">
        <v>0</v>
      </c>
      <c r="L125" s="2">
        <v>0</v>
      </c>
      <c r="M125" s="2">
        <v>0</v>
      </c>
      <c r="N125" s="2">
        <v>0</v>
      </c>
      <c r="O125" s="2">
        <v>0</v>
      </c>
      <c r="P125" s="7">
        <f>210+167</f>
        <v>377</v>
      </c>
      <c r="Q125" s="7">
        <f>1182+827</f>
        <v>2009</v>
      </c>
      <c r="R125" s="7">
        <f>15+5</f>
        <v>20</v>
      </c>
      <c r="S125" s="7">
        <f>38+31</f>
        <v>69</v>
      </c>
      <c r="T125" s="7">
        <f>242+244</f>
        <v>486</v>
      </c>
      <c r="U125" s="7">
        <f>0+2</f>
        <v>2</v>
      </c>
      <c r="V125" s="7">
        <f>2+2</f>
        <v>4</v>
      </c>
      <c r="W125" s="2">
        <f>((L125/25)+(M125*4)-(N125*2)+(Q125/10)+(R125*6)+(S125*0.5)+(T125/10)+(U125*6)-(V125*2))/2</f>
        <v>204</v>
      </c>
      <c r="X125" s="2" t="s">
        <v>67</v>
      </c>
      <c r="Y125" s="2" t="s">
        <v>4</v>
      </c>
    </row>
    <row r="126" spans="1:25" x14ac:dyDescent="0.45">
      <c r="A126" s="2">
        <v>2024</v>
      </c>
      <c r="B126" s="2">
        <v>4</v>
      </c>
      <c r="C126" s="6">
        <v>128</v>
      </c>
      <c r="D126" s="3" t="s">
        <v>10</v>
      </c>
      <c r="E126" s="7" t="s">
        <v>258</v>
      </c>
      <c r="F126" s="20">
        <v>36475</v>
      </c>
      <c r="G126" s="25">
        <v>24.46</v>
      </c>
      <c r="H126" s="7">
        <v>1.78</v>
      </c>
      <c r="I126" s="7">
        <v>98</v>
      </c>
      <c r="J126" s="7" t="s">
        <v>463</v>
      </c>
      <c r="K126" s="2">
        <v>0</v>
      </c>
      <c r="L126" s="2">
        <v>0</v>
      </c>
      <c r="M126" s="2">
        <v>0</v>
      </c>
      <c r="N126" s="2">
        <v>0</v>
      </c>
      <c r="O126" s="2">
        <v>0</v>
      </c>
      <c r="P126" s="7">
        <f>232+199</f>
        <v>431</v>
      </c>
      <c r="Q126" s="7">
        <f>1042+1129</f>
        <v>2171</v>
      </c>
      <c r="R126" s="7">
        <f>5+14</f>
        <v>19</v>
      </c>
      <c r="S126" s="7">
        <f>29+33</f>
        <v>62</v>
      </c>
      <c r="T126" s="7">
        <f>169+323</f>
        <v>492</v>
      </c>
      <c r="U126" s="7">
        <f>3+7</f>
        <v>10</v>
      </c>
      <c r="V126" s="7">
        <v>1</v>
      </c>
      <c r="W126" s="2">
        <f>((L126/25)+(M126*4)-(N126*2)+(Q126/10)+(R126*6)+(S126*0.5)+(T126/10)+(U126*6)-(V126*2))/2</f>
        <v>234.65</v>
      </c>
      <c r="X126" s="2" t="s">
        <v>31</v>
      </c>
      <c r="Y126" s="2" t="s">
        <v>23</v>
      </c>
    </row>
    <row r="127" spans="1:25" x14ac:dyDescent="0.45">
      <c r="A127" s="2">
        <v>2024</v>
      </c>
      <c r="B127" s="2">
        <v>4</v>
      </c>
      <c r="C127" s="6">
        <v>129</v>
      </c>
      <c r="D127" s="3" t="s">
        <v>10</v>
      </c>
      <c r="E127" s="7" t="s">
        <v>268</v>
      </c>
      <c r="F127" s="20">
        <v>36705</v>
      </c>
      <c r="G127" s="25">
        <v>23.83</v>
      </c>
      <c r="H127" s="7">
        <f>1.83</f>
        <v>1.83</v>
      </c>
      <c r="I127" s="7">
        <v>100</v>
      </c>
      <c r="J127" s="7" t="s">
        <v>465</v>
      </c>
      <c r="K127" s="2">
        <v>0</v>
      </c>
      <c r="L127" s="2">
        <v>0</v>
      </c>
      <c r="M127" s="2">
        <v>0</v>
      </c>
      <c r="N127" s="2">
        <v>0</v>
      </c>
      <c r="O127" s="2">
        <v>0</v>
      </c>
      <c r="P127" s="7">
        <f>64+109</f>
        <v>173</v>
      </c>
      <c r="Q127" s="7">
        <f>385+649</f>
        <v>1034</v>
      </c>
      <c r="R127" s="7">
        <f>5+8</f>
        <v>13</v>
      </c>
      <c r="S127" s="7">
        <f>17+17</f>
        <v>34</v>
      </c>
      <c r="T127" s="7">
        <f>115+192</f>
        <v>307</v>
      </c>
      <c r="U127" s="7">
        <f>1+0</f>
        <v>1</v>
      </c>
      <c r="V127" s="7">
        <v>0</v>
      </c>
      <c r="W127" s="2">
        <f>((L127/25)+(M127*4)-(N127*2)+(Q127/10)+(R127*6)+(S127*0.5)+(T127/10)+(U127*6)-(V127*2))/2</f>
        <v>117.55</v>
      </c>
      <c r="X127" s="2" t="s">
        <v>85</v>
      </c>
      <c r="Y127" s="2" t="s">
        <v>4</v>
      </c>
    </row>
    <row r="128" spans="1:25" x14ac:dyDescent="0.45">
      <c r="A128" s="2">
        <v>2024</v>
      </c>
      <c r="B128" s="2">
        <v>4</v>
      </c>
      <c r="C128" s="6">
        <v>132</v>
      </c>
      <c r="D128" s="3" t="s">
        <v>10</v>
      </c>
      <c r="E128" s="7" t="s">
        <v>269</v>
      </c>
      <c r="F128" s="20">
        <v>37102</v>
      </c>
      <c r="G128" s="25">
        <v>22.74</v>
      </c>
      <c r="H128" s="7">
        <v>1.8</v>
      </c>
      <c r="I128" s="7">
        <v>95</v>
      </c>
      <c r="J128" s="7" t="s">
        <v>475</v>
      </c>
      <c r="K128" s="2">
        <v>0</v>
      </c>
      <c r="L128" s="2">
        <v>0</v>
      </c>
      <c r="M128" s="2">
        <v>0</v>
      </c>
      <c r="N128" s="2">
        <v>0</v>
      </c>
      <c r="O128" s="2">
        <v>0</v>
      </c>
      <c r="P128" s="7">
        <f>42</f>
        <v>42</v>
      </c>
      <c r="Q128" s="7">
        <v>317</v>
      </c>
      <c r="R128" s="7">
        <v>2</v>
      </c>
      <c r="S128" s="7">
        <f>11</f>
        <v>11</v>
      </c>
      <c r="T128" s="7">
        <v>203</v>
      </c>
      <c r="U128" s="7">
        <v>3</v>
      </c>
      <c r="V128" s="7">
        <v>0</v>
      </c>
      <c r="W128" s="2">
        <f>((L128/25)+(M128*4)-(N128*2)+(Q128/10)+(R128*6)+(S128*0.5)+(T128/10)+(U128*6)-(V128*2))/2</f>
        <v>43.75</v>
      </c>
      <c r="X128" s="2" t="s">
        <v>70</v>
      </c>
      <c r="Y128" s="2" t="s">
        <v>6</v>
      </c>
    </row>
    <row r="129" spans="1:25" x14ac:dyDescent="0.45">
      <c r="A129" s="2">
        <v>2024</v>
      </c>
      <c r="B129" s="2">
        <v>4</v>
      </c>
      <c r="C129" s="6">
        <v>134</v>
      </c>
      <c r="D129" s="3" t="s">
        <v>10</v>
      </c>
      <c r="E129" s="7" t="s">
        <v>240</v>
      </c>
      <c r="F129" s="20">
        <v>38006</v>
      </c>
      <c r="G129" s="25">
        <v>20.260000000000002</v>
      </c>
      <c r="H129" s="7">
        <v>1.88</v>
      </c>
      <c r="I129" s="7">
        <v>108</v>
      </c>
      <c r="J129" s="7" t="s">
        <v>454</v>
      </c>
      <c r="K129" s="2">
        <v>0</v>
      </c>
      <c r="L129" s="2">
        <v>0</v>
      </c>
      <c r="M129" s="2">
        <v>0</v>
      </c>
      <c r="N129" s="2">
        <v>0</v>
      </c>
      <c r="O129" s="2">
        <v>0</v>
      </c>
      <c r="P129" s="7">
        <f>230+181</f>
        <v>411</v>
      </c>
      <c r="Q129" s="7">
        <f>1242+984</f>
        <v>2226</v>
      </c>
      <c r="R129" s="7">
        <f>11+12</f>
        <v>23</v>
      </c>
      <c r="S129" s="7">
        <f>13+28</f>
        <v>41</v>
      </c>
      <c r="T129" s="7">
        <f>104+131</f>
        <v>235</v>
      </c>
      <c r="U129" s="7">
        <v>0</v>
      </c>
      <c r="V129" s="7">
        <v>0</v>
      </c>
      <c r="W129" s="2">
        <f>((L129/25)+(M129*4)-(N129*2)+(Q129/10)+(R129*6)+(S129*0.5)+(T129/10)+(U129*6)-(V129*2))/2</f>
        <v>202.3</v>
      </c>
      <c r="X129" s="2" t="s">
        <v>42</v>
      </c>
      <c r="Y129" s="2" t="s">
        <v>13</v>
      </c>
    </row>
    <row r="130" spans="1:25" x14ac:dyDescent="0.45">
      <c r="A130" s="2">
        <v>2024</v>
      </c>
      <c r="B130" s="2">
        <v>5</v>
      </c>
      <c r="C130" s="6">
        <v>147</v>
      </c>
      <c r="D130" s="3" t="s">
        <v>10</v>
      </c>
      <c r="E130" s="7" t="s">
        <v>242</v>
      </c>
      <c r="F130" s="20">
        <v>37870</v>
      </c>
      <c r="G130" s="25">
        <v>20.64</v>
      </c>
      <c r="H130" s="7">
        <v>1.8</v>
      </c>
      <c r="I130" s="7">
        <v>106</v>
      </c>
      <c r="J130" s="7" t="s">
        <v>0</v>
      </c>
      <c r="K130" s="2">
        <v>0</v>
      </c>
      <c r="L130" s="2">
        <v>0</v>
      </c>
      <c r="M130" s="2">
        <v>0</v>
      </c>
      <c r="N130" s="2">
        <v>0</v>
      </c>
      <c r="O130" s="2">
        <v>0</v>
      </c>
      <c r="P130" s="7">
        <f>156+210</f>
        <v>366</v>
      </c>
      <c r="Q130" s="7">
        <f>920+1341</f>
        <v>2261</v>
      </c>
      <c r="R130" s="7">
        <f>11+18</f>
        <v>29</v>
      </c>
      <c r="S130" s="7">
        <f>9+17</f>
        <v>26</v>
      </c>
      <c r="T130" s="7">
        <f>135+142</f>
        <v>277</v>
      </c>
      <c r="U130" s="7">
        <f>1+0</f>
        <v>1</v>
      </c>
      <c r="V130" s="7">
        <v>0</v>
      </c>
      <c r="W130" s="2">
        <f>((L130/25)+(M130*4)-(N130*2)+(Q130/10)+(R130*6)+(S130*0.5)+(T130/10)+(U130*6)-(V130*2))/2</f>
        <v>223.4</v>
      </c>
      <c r="X130" s="2" t="s">
        <v>15</v>
      </c>
      <c r="Y130" s="2" t="s">
        <v>14</v>
      </c>
    </row>
    <row r="131" spans="1:25" x14ac:dyDescent="0.45">
      <c r="A131" s="2">
        <v>2024</v>
      </c>
      <c r="B131" s="2">
        <v>1</v>
      </c>
      <c r="C131" s="6">
        <v>4</v>
      </c>
      <c r="D131" s="3" t="s">
        <v>17</v>
      </c>
      <c r="E131" s="7" t="s">
        <v>291</v>
      </c>
      <c r="F131" s="20">
        <v>37479</v>
      </c>
      <c r="G131" s="25">
        <v>21.71</v>
      </c>
      <c r="H131" s="7">
        <v>1.9</v>
      </c>
      <c r="I131" s="7">
        <v>91</v>
      </c>
      <c r="J131" s="7" t="s">
        <v>464</v>
      </c>
      <c r="K131" s="2">
        <v>0</v>
      </c>
      <c r="L131" s="2">
        <v>0</v>
      </c>
      <c r="M131" s="2">
        <v>0</v>
      </c>
      <c r="N131" s="2">
        <v>0</v>
      </c>
      <c r="O131" s="2">
        <v>0</v>
      </c>
      <c r="P131" s="7">
        <f>2+2</f>
        <v>4</v>
      </c>
      <c r="Q131" s="7">
        <f>32+26</f>
        <v>58</v>
      </c>
      <c r="R131" s="7">
        <f>0+1</f>
        <v>1</v>
      </c>
      <c r="S131" s="7">
        <f>77+67</f>
        <v>144</v>
      </c>
      <c r="T131" s="7">
        <f>1263+1211</f>
        <v>2474</v>
      </c>
      <c r="U131" s="7">
        <f>12+14</f>
        <v>26</v>
      </c>
      <c r="V131" s="7">
        <v>0</v>
      </c>
      <c r="W131" s="2">
        <f>((L131/25)+(M131*4)-(N131*2)+(Q131/10)+(R131*6)+(S131*0.5)+(T131/10)+(U131*6)-(V131*2))/2</f>
        <v>243.6</v>
      </c>
      <c r="X131" s="2" t="s">
        <v>20</v>
      </c>
      <c r="Y131" s="2" t="s">
        <v>13</v>
      </c>
    </row>
    <row r="132" spans="1:25" x14ac:dyDescent="0.45">
      <c r="A132" s="2">
        <v>2024</v>
      </c>
      <c r="B132" s="2">
        <v>1</v>
      </c>
      <c r="C132" s="6">
        <v>6</v>
      </c>
      <c r="D132" s="3" t="s">
        <v>17</v>
      </c>
      <c r="E132" s="7" t="s">
        <v>292</v>
      </c>
      <c r="F132" s="20">
        <v>37830</v>
      </c>
      <c r="G132" s="25">
        <v>20.75</v>
      </c>
      <c r="H132" s="7">
        <v>1.83</v>
      </c>
      <c r="I132" s="7">
        <v>91</v>
      </c>
      <c r="J132" s="7" t="s">
        <v>477</v>
      </c>
      <c r="K132" s="2">
        <v>0</v>
      </c>
      <c r="L132" s="2">
        <v>0</v>
      </c>
      <c r="M132" s="2">
        <v>0</v>
      </c>
      <c r="N132" s="2">
        <v>0</v>
      </c>
      <c r="O132" s="2">
        <v>0</v>
      </c>
      <c r="P132" s="7">
        <f>1+1</f>
        <v>2</v>
      </c>
      <c r="Q132" s="7">
        <f>5+1</f>
        <v>6</v>
      </c>
      <c r="R132" s="7">
        <v>0</v>
      </c>
      <c r="S132" s="7">
        <f>72+89</f>
        <v>161</v>
      </c>
      <c r="T132" s="7">
        <f>1017+1569</f>
        <v>2586</v>
      </c>
      <c r="U132" s="7">
        <f>3+14</f>
        <v>17</v>
      </c>
      <c r="V132" s="7">
        <v>0</v>
      </c>
      <c r="W132" s="2">
        <f>((L132/25)+(M132*4)-(N132*2)+(Q132/10)+(R132*6)+(S132*0.5)+(T132/10)+(U132*6)-(V132*2))/2</f>
        <v>220.85000000000002</v>
      </c>
      <c r="X132" s="2" t="s">
        <v>45</v>
      </c>
      <c r="Y132" s="2" t="s">
        <v>23</v>
      </c>
    </row>
    <row r="133" spans="1:25" x14ac:dyDescent="0.45">
      <c r="A133" s="2">
        <v>2024</v>
      </c>
      <c r="B133" s="2">
        <v>1</v>
      </c>
      <c r="C133" s="6">
        <v>9</v>
      </c>
      <c r="D133" s="3" t="s">
        <v>17</v>
      </c>
      <c r="E133" s="7" t="s">
        <v>229</v>
      </c>
      <c r="F133" s="20">
        <v>37410</v>
      </c>
      <c r="G133" s="25">
        <v>21.9</v>
      </c>
      <c r="H133" s="7">
        <v>1.91</v>
      </c>
      <c r="I133" s="7">
        <v>98</v>
      </c>
      <c r="J133" s="7" t="s">
        <v>480</v>
      </c>
      <c r="K133" s="2">
        <v>0</v>
      </c>
      <c r="L133" s="2">
        <v>0</v>
      </c>
      <c r="M133" s="2">
        <v>0</v>
      </c>
      <c r="N133" s="2">
        <v>0</v>
      </c>
      <c r="O133" s="2">
        <v>0</v>
      </c>
      <c r="P133" s="7">
        <f>3+2</f>
        <v>5</v>
      </c>
      <c r="Q133" s="7">
        <f>6+37</f>
        <v>43</v>
      </c>
      <c r="R133" s="7">
        <f>1+1</f>
        <v>2</v>
      </c>
      <c r="S133" s="7">
        <f>75+92</f>
        <v>167</v>
      </c>
      <c r="T133" s="7">
        <f>1145+1640</f>
        <v>2785</v>
      </c>
      <c r="U133" s="7">
        <f>7+13</f>
        <v>20</v>
      </c>
      <c r="V133" s="7">
        <v>0</v>
      </c>
      <c r="W133" s="2">
        <f>((L133/25)+(M133*4)-(N133*2)+(Q133/10)+(R133*6)+(S133*0.5)+(T133/10)+(U133*6)-(V133*2))/2</f>
        <v>249.15</v>
      </c>
      <c r="X133" s="2" t="s">
        <v>7</v>
      </c>
      <c r="Y133" s="2" t="s">
        <v>6</v>
      </c>
    </row>
    <row r="134" spans="1:25" x14ac:dyDescent="0.45">
      <c r="A134" s="2">
        <v>2024</v>
      </c>
      <c r="B134" s="2">
        <v>1</v>
      </c>
      <c r="C134" s="6">
        <v>23</v>
      </c>
      <c r="D134" s="3" t="s">
        <v>17</v>
      </c>
      <c r="E134" s="7" t="s">
        <v>235</v>
      </c>
      <c r="F134" s="20">
        <v>37537</v>
      </c>
      <c r="G134" s="25">
        <v>21.55</v>
      </c>
      <c r="H134" s="7">
        <v>1.93</v>
      </c>
      <c r="I134" s="7">
        <v>93</v>
      </c>
      <c r="J134" s="7" t="s">
        <v>470</v>
      </c>
      <c r="K134" s="2">
        <v>0</v>
      </c>
      <c r="L134" s="2">
        <v>0</v>
      </c>
      <c r="M134" s="2">
        <v>0</v>
      </c>
      <c r="N134" s="2">
        <v>0</v>
      </c>
      <c r="O134" s="2">
        <v>0</v>
      </c>
      <c r="P134" s="7">
        <f>2+1</f>
        <v>3</v>
      </c>
      <c r="Q134" s="7">
        <v>0</v>
      </c>
      <c r="R134" s="7">
        <v>0</v>
      </c>
      <c r="S134" s="7">
        <f>31+68</f>
        <v>99</v>
      </c>
      <c r="T134" s="7">
        <f>361+1177</f>
        <v>1538</v>
      </c>
      <c r="U134" s="7">
        <f>5+17</f>
        <v>22</v>
      </c>
      <c r="V134" s="7">
        <v>0</v>
      </c>
      <c r="W134" s="2">
        <f>((L134/25)+(M134*4)-(N134*2)+(Q134/10)+(R134*6)+(S134*0.5)+(T134/10)+(U134*6)-(V134*2))/2</f>
        <v>167.65</v>
      </c>
      <c r="X134" s="2" t="s">
        <v>45</v>
      </c>
      <c r="Y134" s="2" t="s">
        <v>23</v>
      </c>
    </row>
    <row r="135" spans="1:25" x14ac:dyDescent="0.45">
      <c r="A135" s="2">
        <v>2024</v>
      </c>
      <c r="B135" s="2">
        <v>1</v>
      </c>
      <c r="C135" s="6">
        <v>28</v>
      </c>
      <c r="D135" s="3" t="s">
        <v>17</v>
      </c>
      <c r="E135" s="7" t="s">
        <v>228</v>
      </c>
      <c r="F135" s="20">
        <v>37738</v>
      </c>
      <c r="G135" s="25">
        <v>21</v>
      </c>
      <c r="H135" s="7">
        <v>1.85</v>
      </c>
      <c r="I135" s="7">
        <v>78</v>
      </c>
      <c r="J135" s="7" t="s">
        <v>479</v>
      </c>
      <c r="K135" s="2">
        <v>0</v>
      </c>
      <c r="L135" s="2">
        <v>0</v>
      </c>
      <c r="M135" s="2">
        <v>0</v>
      </c>
      <c r="N135" s="2">
        <v>0</v>
      </c>
      <c r="O135" s="2">
        <v>0</v>
      </c>
      <c r="P135" s="7">
        <f>2+4</f>
        <v>6</v>
      </c>
      <c r="Q135" s="7">
        <f>14+35</f>
        <v>49</v>
      </c>
      <c r="R135" s="7">
        <v>0</v>
      </c>
      <c r="S135" s="7">
        <f>60+75</f>
        <v>135</v>
      </c>
      <c r="T135" s="7">
        <f>760+1014</f>
        <v>1774</v>
      </c>
      <c r="U135" s="7">
        <f>9+5</f>
        <v>14</v>
      </c>
      <c r="V135" s="7">
        <v>0</v>
      </c>
      <c r="W135" s="2">
        <f>((L135/25)+(M135*4)-(N135*2)+(Q135/10)+(R135*6)+(S135*0.5)+(T135/10)+(U135*6)-(V135*2))/2</f>
        <v>166.9</v>
      </c>
      <c r="X135" s="2" t="s">
        <v>81</v>
      </c>
      <c r="Y135" s="2" t="s">
        <v>26</v>
      </c>
    </row>
    <row r="136" spans="1:25" x14ac:dyDescent="0.45">
      <c r="A136" s="2">
        <v>2024</v>
      </c>
      <c r="B136" s="2">
        <v>1</v>
      </c>
      <c r="C136" s="6">
        <v>31</v>
      </c>
      <c r="D136" s="3" t="s">
        <v>17</v>
      </c>
      <c r="E136" s="7" t="s">
        <v>262</v>
      </c>
      <c r="F136" s="20">
        <v>36778</v>
      </c>
      <c r="G136" s="25">
        <v>23.63</v>
      </c>
      <c r="H136" s="7">
        <v>1.85</v>
      </c>
      <c r="I136" s="7">
        <v>86</v>
      </c>
      <c r="J136" s="7" t="s">
        <v>465</v>
      </c>
      <c r="K136" s="2">
        <v>0</v>
      </c>
      <c r="L136" s="2">
        <v>0</v>
      </c>
      <c r="M136" s="2">
        <v>0</v>
      </c>
      <c r="N136" s="2">
        <v>0</v>
      </c>
      <c r="O136" s="2">
        <v>0</v>
      </c>
      <c r="P136" s="7">
        <f>8+3</f>
        <v>11</v>
      </c>
      <c r="Q136" s="7">
        <f>113+62</f>
        <v>175</v>
      </c>
      <c r="R136" s="7">
        <f>1+2</f>
        <v>3</v>
      </c>
      <c r="S136" s="7">
        <f>33+65</f>
        <v>98</v>
      </c>
      <c r="T136" s="7">
        <f>661+965</f>
        <v>1626</v>
      </c>
      <c r="U136" s="7">
        <f>5+4</f>
        <v>9</v>
      </c>
      <c r="V136" s="7">
        <v>0</v>
      </c>
      <c r="W136" s="2">
        <f>((L136/25)+(M136*4)-(N136*2)+(Q136/10)+(R136*6)+(S136*0.5)+(T136/10)+(U136*6)-(V136*2))/2</f>
        <v>150.55000000000001</v>
      </c>
      <c r="X136" s="2" t="s">
        <v>50</v>
      </c>
      <c r="Y136" s="2" t="s">
        <v>23</v>
      </c>
    </row>
    <row r="137" spans="1:25" x14ac:dyDescent="0.45">
      <c r="A137" s="2">
        <v>2024</v>
      </c>
      <c r="B137" s="2">
        <v>1</v>
      </c>
      <c r="C137" s="6">
        <v>32</v>
      </c>
      <c r="D137" s="3" t="s">
        <v>17</v>
      </c>
      <c r="E137" s="7" t="s">
        <v>237</v>
      </c>
      <c r="F137" s="20">
        <v>36920</v>
      </c>
      <c r="G137" s="25">
        <v>23.24</v>
      </c>
      <c r="H137" s="7">
        <v>1.91</v>
      </c>
      <c r="I137" s="7">
        <v>103</v>
      </c>
      <c r="J137" s="7" t="s">
        <v>460</v>
      </c>
      <c r="K137" s="2">
        <v>0</v>
      </c>
      <c r="L137" s="2">
        <v>0</v>
      </c>
      <c r="M137" s="2">
        <v>0</v>
      </c>
      <c r="N137" s="2">
        <v>0</v>
      </c>
      <c r="O137" s="2">
        <v>0</v>
      </c>
      <c r="P137" s="7">
        <f>7+9</f>
        <v>16</v>
      </c>
      <c r="Q137" s="7">
        <f>21-9</f>
        <v>12</v>
      </c>
      <c r="R137" s="7">
        <v>0</v>
      </c>
      <c r="S137" s="7">
        <f>18+71</f>
        <v>89</v>
      </c>
      <c r="T137" s="7">
        <f>167+1255</f>
        <v>1422</v>
      </c>
      <c r="U137" s="7">
        <f>3+7</f>
        <v>10</v>
      </c>
      <c r="V137" s="7">
        <v>0</v>
      </c>
      <c r="W137" s="2">
        <f>((L137/25)+(M137*4)-(N137*2)+(Q137/10)+(R137*6)+(S137*0.5)+(T137/10)+(U137*6)-(V137*2))/2</f>
        <v>123.94999999999999</v>
      </c>
      <c r="X137" s="2" t="s">
        <v>80</v>
      </c>
      <c r="Y137" s="2" t="s">
        <v>23</v>
      </c>
    </row>
    <row r="138" spans="1:25" x14ac:dyDescent="0.45">
      <c r="A138" s="2">
        <v>2024</v>
      </c>
      <c r="B138" s="2">
        <v>2</v>
      </c>
      <c r="C138" s="6">
        <v>33</v>
      </c>
      <c r="D138" s="3" t="s">
        <v>17</v>
      </c>
      <c r="E138" s="7" t="s">
        <v>230</v>
      </c>
      <c r="F138" s="20">
        <v>37758</v>
      </c>
      <c r="G138" s="25">
        <v>20.94</v>
      </c>
      <c r="H138" s="7">
        <v>1.93</v>
      </c>
      <c r="I138" s="7">
        <v>98</v>
      </c>
      <c r="J138" s="7" t="s">
        <v>463</v>
      </c>
      <c r="K138" s="2">
        <v>0</v>
      </c>
      <c r="L138" s="2">
        <v>0</v>
      </c>
      <c r="M138" s="2">
        <v>0</v>
      </c>
      <c r="N138" s="2">
        <v>0</v>
      </c>
      <c r="O138" s="2">
        <v>0</v>
      </c>
      <c r="P138" s="7">
        <v>1</v>
      </c>
      <c r="Q138" s="7">
        <v>2</v>
      </c>
      <c r="R138" s="7">
        <v>0</v>
      </c>
      <c r="S138" s="7">
        <f>58+50</f>
        <v>108</v>
      </c>
      <c r="T138" s="7">
        <f>798+658</f>
        <v>1456</v>
      </c>
      <c r="U138" s="7">
        <f>7+11</f>
        <v>18</v>
      </c>
      <c r="V138" s="7">
        <v>0</v>
      </c>
      <c r="W138" s="2">
        <f>((L138/25)+(M138*4)-(N138*2)+(Q138/10)+(R138*6)+(S138*0.5)+(T138/10)+(U138*6)-(V138*2))/2</f>
        <v>153.9</v>
      </c>
      <c r="X138" s="2" t="s">
        <v>71</v>
      </c>
      <c r="Y138" s="2" t="s">
        <v>4</v>
      </c>
    </row>
    <row r="139" spans="1:25" x14ac:dyDescent="0.45">
      <c r="A139" s="2">
        <v>2024</v>
      </c>
      <c r="B139" s="2">
        <v>2</v>
      </c>
      <c r="C139" s="6">
        <v>34</v>
      </c>
      <c r="D139" s="3" t="s">
        <v>17</v>
      </c>
      <c r="E139" s="7" t="s">
        <v>238</v>
      </c>
      <c r="F139" s="20">
        <v>37206</v>
      </c>
      <c r="G139" s="25">
        <v>22.45</v>
      </c>
      <c r="H139" s="7">
        <v>1.83</v>
      </c>
      <c r="I139" s="7">
        <v>84</v>
      </c>
      <c r="J139" s="7" t="s">
        <v>469</v>
      </c>
      <c r="K139" s="2">
        <v>0</v>
      </c>
      <c r="L139" s="2">
        <v>0</v>
      </c>
      <c r="M139" s="2">
        <v>0</v>
      </c>
      <c r="N139" s="2">
        <v>0</v>
      </c>
      <c r="O139" s="2">
        <v>0</v>
      </c>
      <c r="P139" s="7">
        <f>7+1</f>
        <v>8</v>
      </c>
      <c r="Q139" s="7">
        <f>134+11</f>
        <v>145</v>
      </c>
      <c r="R139" s="7">
        <f>2+0</f>
        <v>2</v>
      </c>
      <c r="S139" s="7">
        <f>58+30</f>
        <v>88</v>
      </c>
      <c r="T139" s="7">
        <f>762+478</f>
        <v>1240</v>
      </c>
      <c r="U139" s="7">
        <f>7+2</f>
        <v>9</v>
      </c>
      <c r="V139" s="7">
        <v>0</v>
      </c>
      <c r="W139" s="2">
        <f>((L139/25)+(M139*4)-(N139*2)+(Q139/10)+(R139*6)+(S139*0.5)+(T139/10)+(U139*6)-(V139*2))/2</f>
        <v>124.25</v>
      </c>
      <c r="X139" s="2" t="s">
        <v>39</v>
      </c>
      <c r="Y139" s="2" t="s">
        <v>23</v>
      </c>
    </row>
    <row r="140" spans="1:25" x14ac:dyDescent="0.45">
      <c r="A140" s="2">
        <v>2024</v>
      </c>
      <c r="B140" s="2">
        <v>2</v>
      </c>
      <c r="C140" s="6">
        <v>37</v>
      </c>
      <c r="D140" s="3" t="s">
        <v>17</v>
      </c>
      <c r="E140" s="7" t="s">
        <v>254</v>
      </c>
      <c r="F140" s="20">
        <v>37357</v>
      </c>
      <c r="G140" s="25">
        <v>22.04</v>
      </c>
      <c r="H140" s="7">
        <v>1.88</v>
      </c>
      <c r="I140" s="7">
        <v>93</v>
      </c>
      <c r="J140" s="7" t="s">
        <v>459</v>
      </c>
      <c r="K140" s="2">
        <v>0</v>
      </c>
      <c r="L140" s="2">
        <v>0</v>
      </c>
      <c r="M140" s="2">
        <v>0</v>
      </c>
      <c r="N140" s="2">
        <v>0</v>
      </c>
      <c r="O140" s="2">
        <v>0</v>
      </c>
      <c r="P140" s="7">
        <f>1+4</f>
        <v>5</v>
      </c>
      <c r="Q140" s="7">
        <f>15+32</f>
        <v>47</v>
      </c>
      <c r="R140" s="7">
        <f>0+1</f>
        <v>1</v>
      </c>
      <c r="S140" s="7">
        <f>41+69</f>
        <v>110</v>
      </c>
      <c r="T140" s="7">
        <f>694+1159</f>
        <v>1853</v>
      </c>
      <c r="U140" s="7">
        <f>6+9</f>
        <v>15</v>
      </c>
      <c r="V140" s="7">
        <v>0</v>
      </c>
      <c r="W140" s="2">
        <f>((L140/25)+(M140*4)-(N140*2)+(Q140/10)+(R140*6)+(S140*0.5)+(T140/10)+(U140*6)-(V140*2))/2</f>
        <v>170.5</v>
      </c>
      <c r="X140" s="2" t="s">
        <v>7</v>
      </c>
      <c r="Y140" s="2" t="s">
        <v>6</v>
      </c>
    </row>
    <row r="141" spans="1:25" x14ac:dyDescent="0.45">
      <c r="A141" s="2">
        <v>2024</v>
      </c>
      <c r="B141" s="2">
        <v>2</v>
      </c>
      <c r="C141" s="6">
        <v>52</v>
      </c>
      <c r="D141" s="3" t="s">
        <v>17</v>
      </c>
      <c r="E141" s="7" t="s">
        <v>239</v>
      </c>
      <c r="F141" s="20">
        <v>37537</v>
      </c>
      <c r="G141" s="25">
        <v>21.55</v>
      </c>
      <c r="H141" s="7">
        <v>1.93</v>
      </c>
      <c r="I141" s="7">
        <v>89</v>
      </c>
      <c r="J141" s="7" t="s">
        <v>478</v>
      </c>
      <c r="K141" s="2">
        <v>0</v>
      </c>
      <c r="L141" s="2">
        <v>0</v>
      </c>
      <c r="M141" s="2">
        <v>0</v>
      </c>
      <c r="N141" s="2">
        <v>0</v>
      </c>
      <c r="O141" s="2">
        <v>0</v>
      </c>
      <c r="P141" s="7">
        <v>2</v>
      </c>
      <c r="Q141" s="7">
        <v>1</v>
      </c>
      <c r="R141" s="7">
        <v>0</v>
      </c>
      <c r="S141" s="7">
        <f>9+55</f>
        <v>64</v>
      </c>
      <c r="T141" s="7">
        <f>134+845</f>
        <v>979</v>
      </c>
      <c r="U141" s="7">
        <f>3+11</f>
        <v>14</v>
      </c>
      <c r="V141" s="7">
        <v>0</v>
      </c>
      <c r="W141" s="2">
        <f>((L141/25)+(M141*4)-(N141*2)+(Q141/10)+(R141*6)+(S141*0.5)+(T141/10)+(U141*6)-(V141*2))/2</f>
        <v>107</v>
      </c>
      <c r="X141" s="2" t="s">
        <v>81</v>
      </c>
      <c r="Y141" s="2" t="s">
        <v>26</v>
      </c>
    </row>
    <row r="142" spans="1:25" x14ac:dyDescent="0.45">
      <c r="A142" s="2">
        <v>2024</v>
      </c>
      <c r="B142" s="2">
        <v>3</v>
      </c>
      <c r="C142" s="6">
        <v>65</v>
      </c>
      <c r="D142" s="3" t="s">
        <v>17</v>
      </c>
      <c r="E142" s="7" t="s">
        <v>241</v>
      </c>
      <c r="F142" s="20">
        <v>37336</v>
      </c>
      <c r="G142" s="25">
        <v>22.1</v>
      </c>
      <c r="H142" s="7">
        <v>1.8</v>
      </c>
      <c r="I142" s="7">
        <v>95</v>
      </c>
      <c r="J142" s="7" t="s">
        <v>454</v>
      </c>
      <c r="K142" s="2">
        <v>0</v>
      </c>
      <c r="L142" s="2">
        <v>0</v>
      </c>
      <c r="M142" s="2">
        <v>0</v>
      </c>
      <c r="N142" s="2">
        <v>0</v>
      </c>
      <c r="O142" s="2">
        <v>0</v>
      </c>
      <c r="P142" s="7">
        <f>11+4</f>
        <v>15</v>
      </c>
      <c r="Q142" s="7">
        <f>87+11</f>
        <v>98</v>
      </c>
      <c r="R142" s="7">
        <f>0</f>
        <v>0</v>
      </c>
      <c r="S142" s="7">
        <f>101+79</f>
        <v>180</v>
      </c>
      <c r="T142" s="7">
        <f>1293+984</f>
        <v>2277</v>
      </c>
      <c r="U142" s="7">
        <f>11+11</f>
        <v>22</v>
      </c>
      <c r="V142" s="7">
        <v>0</v>
      </c>
      <c r="W142" s="2">
        <f>((L142/25)+(M142*4)-(N142*2)+(Q142/10)+(R142*6)+(S142*0.5)+(T142/10)+(U142*6)-(V142*2))/2</f>
        <v>229.75</v>
      </c>
      <c r="X142" s="2" t="s">
        <v>37</v>
      </c>
      <c r="Y142" s="2" t="s">
        <v>25</v>
      </c>
    </row>
    <row r="143" spans="1:25" x14ac:dyDescent="0.45">
      <c r="A143" s="2">
        <v>2024</v>
      </c>
      <c r="B143" s="2">
        <v>3</v>
      </c>
      <c r="C143" s="6">
        <v>80</v>
      </c>
      <c r="D143" s="3" t="s">
        <v>17</v>
      </c>
      <c r="E143" s="7" t="s">
        <v>263</v>
      </c>
      <c r="F143" s="20">
        <v>37070</v>
      </c>
      <c r="G143" s="25">
        <v>22.83</v>
      </c>
      <c r="H143" s="7">
        <v>1.83</v>
      </c>
      <c r="I143" s="7">
        <v>89</v>
      </c>
      <c r="J143" s="7" t="s">
        <v>482</v>
      </c>
      <c r="K143" s="2">
        <v>0</v>
      </c>
      <c r="L143" s="2">
        <v>0</v>
      </c>
      <c r="M143" s="2">
        <v>0</v>
      </c>
      <c r="N143" s="2">
        <v>0</v>
      </c>
      <c r="O143" s="2">
        <v>0</v>
      </c>
      <c r="P143" s="7">
        <f>4</f>
        <v>4</v>
      </c>
      <c r="Q143" s="7">
        <f>50</f>
        <v>50</v>
      </c>
      <c r="R143" s="7">
        <f>0</f>
        <v>0</v>
      </c>
      <c r="S143" s="7">
        <f>40+39</f>
        <v>79</v>
      </c>
      <c r="T143" s="7">
        <f>677+789</f>
        <v>1466</v>
      </c>
      <c r="U143" s="7">
        <f>7+8</f>
        <v>15</v>
      </c>
      <c r="V143" s="7">
        <v>0</v>
      </c>
      <c r="W143" s="2">
        <f>((L143/25)+(M143*4)-(N143*2)+(Q143/10)+(R143*6)+(S143*0.5)+(T143/10)+(U143*6)-(V143*2))/2</f>
        <v>140.55000000000001</v>
      </c>
      <c r="X143" s="2" t="s">
        <v>47</v>
      </c>
      <c r="Y143" s="2" t="s">
        <v>23</v>
      </c>
    </row>
    <row r="144" spans="1:25" x14ac:dyDescent="0.45">
      <c r="A144" s="2">
        <v>2024</v>
      </c>
      <c r="B144" s="2">
        <v>3</v>
      </c>
      <c r="C144" s="6">
        <v>84</v>
      </c>
      <c r="D144" s="3" t="s">
        <v>17</v>
      </c>
      <c r="E144" s="7" t="s">
        <v>256</v>
      </c>
      <c r="F144" s="20">
        <v>37061</v>
      </c>
      <c r="G144" s="25">
        <v>22.85</v>
      </c>
      <c r="H144" s="7">
        <v>1.83</v>
      </c>
      <c r="I144" s="7">
        <v>87</v>
      </c>
      <c r="J144" s="7" t="s">
        <v>453</v>
      </c>
      <c r="K144" s="2">
        <v>0</v>
      </c>
      <c r="L144" s="2">
        <v>0</v>
      </c>
      <c r="M144" s="2">
        <v>0</v>
      </c>
      <c r="N144" s="2">
        <v>0</v>
      </c>
      <c r="O144" s="2">
        <v>0</v>
      </c>
      <c r="P144" s="7">
        <f>2+1</f>
        <v>3</v>
      </c>
      <c r="Q144" s="7">
        <f>39+10</f>
        <v>49</v>
      </c>
      <c r="R144" s="7">
        <f>2+0</f>
        <v>2</v>
      </c>
      <c r="S144" s="7">
        <f>25+48</f>
        <v>73</v>
      </c>
      <c r="T144" s="7">
        <f>376+789</f>
        <v>1165</v>
      </c>
      <c r="U144" s="7">
        <f>4+12</f>
        <v>16</v>
      </c>
      <c r="V144" s="7">
        <v>0</v>
      </c>
      <c r="W144" s="2">
        <f>((L144/25)+(M144*4)-(N144*2)+(Q144/10)+(R144*6)+(S144*0.5)+(T144/10)+(U144*6)-(V144*2))/2</f>
        <v>132.94999999999999</v>
      </c>
      <c r="X144" s="2" t="s">
        <v>40</v>
      </c>
      <c r="Y144" s="2" t="s">
        <v>13</v>
      </c>
    </row>
    <row r="145" spans="1:25" x14ac:dyDescent="0.45">
      <c r="A145" s="2">
        <v>2024</v>
      </c>
      <c r="B145" s="2">
        <v>3</v>
      </c>
      <c r="C145" s="6">
        <v>92</v>
      </c>
      <c r="D145" s="3" t="s">
        <v>17</v>
      </c>
      <c r="E145" s="7" t="s">
        <v>243</v>
      </c>
      <c r="F145" s="20">
        <v>37232</v>
      </c>
      <c r="G145" s="25">
        <v>22.38</v>
      </c>
      <c r="H145" s="7">
        <v>1.85</v>
      </c>
      <c r="I145" s="7">
        <v>86</v>
      </c>
      <c r="J145" s="7" t="s">
        <v>467</v>
      </c>
      <c r="K145" s="2">
        <v>0</v>
      </c>
      <c r="L145" s="2">
        <v>0</v>
      </c>
      <c r="M145" s="2">
        <v>0</v>
      </c>
      <c r="N145" s="2">
        <v>0</v>
      </c>
      <c r="O145" s="2">
        <v>0</v>
      </c>
      <c r="P145" s="7">
        <f>1+3</f>
        <v>4</v>
      </c>
      <c r="Q145" s="7">
        <f>2+30</f>
        <v>32</v>
      </c>
      <c r="R145" s="7">
        <f>0+1</f>
        <v>1</v>
      </c>
      <c r="S145" s="7">
        <f>79+45</f>
        <v>124</v>
      </c>
      <c r="T145" s="7">
        <f>1098+559</f>
        <v>1657</v>
      </c>
      <c r="U145" s="7">
        <f>9+5</f>
        <v>14</v>
      </c>
      <c r="V145" s="7">
        <v>0</v>
      </c>
      <c r="W145" s="2">
        <f>((L145/25)+(M145*4)-(N145*2)+(Q145/10)+(R145*6)+(S145*0.5)+(T145/10)+(U145*6)-(V145*2))/2</f>
        <v>160.44999999999999</v>
      </c>
      <c r="X145" s="2" t="s">
        <v>7</v>
      </c>
      <c r="Y145" s="2" t="s">
        <v>6</v>
      </c>
    </row>
    <row r="146" spans="1:25" x14ac:dyDescent="0.45">
      <c r="A146" s="2">
        <v>2024</v>
      </c>
      <c r="B146" s="2">
        <v>3</v>
      </c>
      <c r="C146" s="6">
        <v>100</v>
      </c>
      <c r="D146" s="3" t="s">
        <v>17</v>
      </c>
      <c r="E146" s="7" t="s">
        <v>264</v>
      </c>
      <c r="F146" s="20">
        <v>36983</v>
      </c>
      <c r="G146" s="25">
        <v>23.06</v>
      </c>
      <c r="H146" s="7">
        <v>1.88</v>
      </c>
      <c r="I146" s="7">
        <v>90</v>
      </c>
      <c r="J146" s="7" t="s">
        <v>461</v>
      </c>
      <c r="K146" s="2">
        <v>0</v>
      </c>
      <c r="L146" s="2">
        <v>0</v>
      </c>
      <c r="M146" s="2">
        <v>0</v>
      </c>
      <c r="N146" s="2">
        <v>0</v>
      </c>
      <c r="O146" s="2">
        <v>0</v>
      </c>
      <c r="P146" s="7">
        <f>12+15</f>
        <v>27</v>
      </c>
      <c r="Q146" s="7">
        <f>148+117</f>
        <v>265</v>
      </c>
      <c r="R146" s="7">
        <f>1+0</f>
        <v>1</v>
      </c>
      <c r="S146" s="7">
        <f>58+71</f>
        <v>129</v>
      </c>
      <c r="T146" s="7">
        <f>723+992</f>
        <v>1715</v>
      </c>
      <c r="U146" s="7">
        <f>6+13</f>
        <v>19</v>
      </c>
      <c r="V146" s="7">
        <f>0</f>
        <v>0</v>
      </c>
      <c r="W146" s="2">
        <f>((L146/25)+(M146*4)-(N146*2)+(Q146/10)+(R146*6)+(S146*0.5)+(T146/10)+(U146*6)-(V146*2))/2</f>
        <v>191.25</v>
      </c>
      <c r="X146" s="2" t="s">
        <v>261</v>
      </c>
      <c r="Y146" s="2" t="s">
        <v>21</v>
      </c>
    </row>
    <row r="147" spans="1:25" x14ac:dyDescent="0.45">
      <c r="A147" s="2">
        <v>2024</v>
      </c>
      <c r="B147" s="2">
        <v>4</v>
      </c>
      <c r="C147" s="6">
        <v>102</v>
      </c>
      <c r="D147" s="3" t="s">
        <v>17</v>
      </c>
      <c r="E147" s="7" t="s">
        <v>227</v>
      </c>
      <c r="F147" s="20">
        <v>37658</v>
      </c>
      <c r="G147" s="25">
        <v>21.22</v>
      </c>
      <c r="H147" s="7">
        <v>1.91</v>
      </c>
      <c r="I147" s="7">
        <v>85</v>
      </c>
      <c r="J147" s="7" t="s">
        <v>0</v>
      </c>
      <c r="K147" s="2">
        <v>0</v>
      </c>
      <c r="L147" s="2">
        <v>0</v>
      </c>
      <c r="M147" s="2">
        <v>0</v>
      </c>
      <c r="N147" s="2">
        <v>0</v>
      </c>
      <c r="O147" s="2">
        <v>0</v>
      </c>
      <c r="P147" s="7">
        <v>0</v>
      </c>
      <c r="Q147" s="7">
        <v>0</v>
      </c>
      <c r="R147" s="7">
        <v>0</v>
      </c>
      <c r="S147" s="7">
        <f>61+81</f>
        <v>142</v>
      </c>
      <c r="T147" s="7">
        <f>891+1383</f>
        <v>2274</v>
      </c>
      <c r="U147" s="7">
        <f>9+14</f>
        <v>23</v>
      </c>
      <c r="V147" s="7">
        <v>0</v>
      </c>
      <c r="W147" s="2">
        <f>((L147/25)+(M147*4)-(N147*2)+(Q147/10)+(R147*6)+(S147*0.5)+(T147/10)+(U147*6)-(V147*2))/2</f>
        <v>218.2</v>
      </c>
      <c r="X147" s="2" t="s">
        <v>74</v>
      </c>
      <c r="Y147" s="2" t="s">
        <v>6</v>
      </c>
    </row>
    <row r="148" spans="1:25" x14ac:dyDescent="0.45">
      <c r="A148" s="2">
        <v>2024</v>
      </c>
      <c r="B148" s="2">
        <v>4</v>
      </c>
      <c r="C148" s="6">
        <v>110</v>
      </c>
      <c r="D148" s="3" t="s">
        <v>17</v>
      </c>
      <c r="E148" s="7" t="s">
        <v>265</v>
      </c>
      <c r="F148" s="20">
        <v>37305</v>
      </c>
      <c r="G148" s="25">
        <v>22.18</v>
      </c>
      <c r="H148" s="7">
        <v>1.85</v>
      </c>
      <c r="I148" s="7">
        <v>94</v>
      </c>
      <c r="J148" s="7" t="s">
        <v>459</v>
      </c>
      <c r="K148" s="2">
        <v>0</v>
      </c>
      <c r="L148" s="2">
        <v>0</v>
      </c>
      <c r="M148" s="2">
        <v>0</v>
      </c>
      <c r="N148" s="2">
        <v>0</v>
      </c>
      <c r="O148" s="2">
        <v>0</v>
      </c>
      <c r="P148" s="7">
        <v>0</v>
      </c>
      <c r="Q148" s="7">
        <v>0</v>
      </c>
      <c r="R148" s="7">
        <v>0</v>
      </c>
      <c r="S148" s="7">
        <f>56+52</f>
        <v>108</v>
      </c>
      <c r="T148" s="7">
        <f>796+1139</f>
        <v>1935</v>
      </c>
      <c r="U148" s="7">
        <f>5+7</f>
        <v>12</v>
      </c>
      <c r="V148" s="7">
        <v>0</v>
      </c>
      <c r="W148" s="2">
        <f>((L148/25)+(M148*4)-(N148*2)+(Q148/10)+(R148*6)+(S148*0.5)+(T148/10)+(U148*6)-(V148*2))/2</f>
        <v>159.75</v>
      </c>
      <c r="X148" s="2" t="s">
        <v>77</v>
      </c>
      <c r="Y148" s="2" t="s">
        <v>26</v>
      </c>
    </row>
    <row r="149" spans="1:25" x14ac:dyDescent="0.45">
      <c r="A149" s="2">
        <v>2024</v>
      </c>
      <c r="B149" s="2">
        <v>4</v>
      </c>
      <c r="C149" s="6">
        <v>113</v>
      </c>
      <c r="D149" s="3" t="s">
        <v>17</v>
      </c>
      <c r="E149" s="7" t="s">
        <v>255</v>
      </c>
      <c r="F149" s="20">
        <v>37061</v>
      </c>
      <c r="G149" s="25">
        <v>22.85</v>
      </c>
      <c r="H149" s="7">
        <v>1.88</v>
      </c>
      <c r="I149" s="7">
        <v>91</v>
      </c>
      <c r="J149" s="7" t="s">
        <v>456</v>
      </c>
      <c r="K149" s="2">
        <v>0</v>
      </c>
      <c r="L149" s="2">
        <v>0</v>
      </c>
      <c r="M149" s="2">
        <v>0</v>
      </c>
      <c r="N149" s="2">
        <v>0</v>
      </c>
      <c r="O149" s="2">
        <v>0</v>
      </c>
      <c r="P149" s="7">
        <f>3+3</f>
        <v>6</v>
      </c>
      <c r="Q149" s="7">
        <f>29+23</f>
        <v>52</v>
      </c>
      <c r="R149" s="7">
        <f>1+0</f>
        <v>1</v>
      </c>
      <c r="S149" s="7">
        <f>58+41</f>
        <v>99</v>
      </c>
      <c r="T149" s="7">
        <f>921+699</f>
        <v>1620</v>
      </c>
      <c r="U149" s="7">
        <f>11+7</f>
        <v>18</v>
      </c>
      <c r="V149" s="7">
        <v>0</v>
      </c>
      <c r="W149" s="2">
        <f>((L149/25)+(M149*4)-(N149*2)+(Q149/10)+(R149*6)+(S149*0.5)+(T149/10)+(U149*6)-(V149*2))/2</f>
        <v>165.35</v>
      </c>
      <c r="X149" s="2" t="s">
        <v>5</v>
      </c>
      <c r="Y149" s="2" t="s">
        <v>4</v>
      </c>
    </row>
    <row r="150" spans="1:25" x14ac:dyDescent="0.45">
      <c r="A150" s="2">
        <v>2024</v>
      </c>
      <c r="B150" s="2">
        <v>4</v>
      </c>
      <c r="C150" s="6">
        <v>135</v>
      </c>
      <c r="D150" s="3" t="s">
        <v>17</v>
      </c>
      <c r="E150" s="7" t="s">
        <v>266</v>
      </c>
      <c r="F150" s="20">
        <v>36926</v>
      </c>
      <c r="G150" s="25">
        <v>23.22</v>
      </c>
      <c r="H150" s="7">
        <v>1.73</v>
      </c>
      <c r="I150" s="7">
        <v>79</v>
      </c>
      <c r="J150" s="7" t="s">
        <v>465</v>
      </c>
      <c r="K150" s="2">
        <v>0</v>
      </c>
      <c r="L150" s="2">
        <v>0</v>
      </c>
      <c r="M150" s="2">
        <v>0</v>
      </c>
      <c r="N150" s="2">
        <v>0</v>
      </c>
      <c r="O150" s="2">
        <v>0</v>
      </c>
      <c r="P150" s="7">
        <f>3+5</f>
        <v>8</v>
      </c>
      <c r="Q150" s="7">
        <f>1+26</f>
        <v>27</v>
      </c>
      <c r="R150" s="7">
        <f>0</f>
        <v>0</v>
      </c>
      <c r="S150" s="7">
        <f>85+90</f>
        <v>175</v>
      </c>
      <c r="T150" s="7">
        <f>1034+848</f>
        <v>1882</v>
      </c>
      <c r="U150" s="7">
        <f>7+13</f>
        <v>20</v>
      </c>
      <c r="V150" s="7">
        <v>0</v>
      </c>
      <c r="W150" s="2">
        <f>((L150/25)+(M150*4)-(N150*2)+(Q150/10)+(R150*6)+(S150*0.5)+(T150/10)+(U150*6)-(V150*2))/2</f>
        <v>199.2</v>
      </c>
      <c r="X150" s="2" t="s">
        <v>82</v>
      </c>
      <c r="Y150" s="2" t="s">
        <v>6</v>
      </c>
    </row>
    <row r="151" spans="1:25" x14ac:dyDescent="0.45">
      <c r="A151" s="2">
        <v>2024</v>
      </c>
      <c r="B151" s="2">
        <v>1</v>
      </c>
      <c r="C151" s="6">
        <v>13</v>
      </c>
      <c r="D151" s="3" t="s">
        <v>9</v>
      </c>
      <c r="E151" s="2" t="s">
        <v>231</v>
      </c>
      <c r="F151" s="18">
        <v>37603</v>
      </c>
      <c r="G151" s="22">
        <v>21.37</v>
      </c>
      <c r="H151" s="2">
        <v>1.93</v>
      </c>
      <c r="I151" s="2">
        <v>109</v>
      </c>
      <c r="J151" s="2" t="s">
        <v>468</v>
      </c>
      <c r="K151" s="2">
        <v>0</v>
      </c>
      <c r="L151" s="2">
        <v>0</v>
      </c>
      <c r="M151" s="2">
        <v>0</v>
      </c>
      <c r="N151" s="2">
        <v>0</v>
      </c>
      <c r="O151" s="2">
        <v>0</v>
      </c>
      <c r="P151" s="2">
        <f>9+6</f>
        <v>15</v>
      </c>
      <c r="Q151" s="2">
        <f>109+28</f>
        <v>137</v>
      </c>
      <c r="R151" s="2">
        <v>0</v>
      </c>
      <c r="S151" s="2">
        <f>63+56</f>
        <v>119</v>
      </c>
      <c r="T151" s="2">
        <f>942+714</f>
        <v>1656</v>
      </c>
      <c r="U151" s="2">
        <f>7+6</f>
        <v>13</v>
      </c>
      <c r="V151" s="7">
        <v>0</v>
      </c>
      <c r="W151" s="2">
        <f>((L151/25)+(M151*4)-(N151*2)+(Q151/10)+(R151*6)+(S151*0.75)+(T151/10)+(U151*6)-(V151*2))/2</f>
        <v>173.27500000000001</v>
      </c>
      <c r="X151" s="2" t="s">
        <v>39</v>
      </c>
      <c r="Y151" s="2" t="s">
        <v>23</v>
      </c>
    </row>
    <row r="152" spans="1:25" x14ac:dyDescent="0.45">
      <c r="A152" s="2">
        <v>2024</v>
      </c>
      <c r="B152" s="2">
        <v>2</v>
      </c>
      <c r="C152" s="6">
        <v>53</v>
      </c>
      <c r="D152" s="3" t="s">
        <v>9</v>
      </c>
      <c r="E152" s="2" t="s">
        <v>270</v>
      </c>
      <c r="F152" s="18">
        <v>37421</v>
      </c>
      <c r="G152" s="22">
        <v>21.87</v>
      </c>
      <c r="H152" s="2">
        <v>1.93</v>
      </c>
      <c r="I152" s="2">
        <v>112</v>
      </c>
      <c r="J152" s="2" t="s">
        <v>461</v>
      </c>
      <c r="K152" s="2">
        <v>0</v>
      </c>
      <c r="L152" s="2">
        <v>0</v>
      </c>
      <c r="M152" s="2">
        <v>0</v>
      </c>
      <c r="N152" s="2">
        <v>0</v>
      </c>
      <c r="O152" s="2">
        <v>0</v>
      </c>
      <c r="P152" s="2">
        <v>3</v>
      </c>
      <c r="Q152" s="2">
        <v>12</v>
      </c>
      <c r="R152" s="2">
        <v>1</v>
      </c>
      <c r="S152" s="2">
        <f>28+49</f>
        <v>77</v>
      </c>
      <c r="T152" s="2">
        <f>399+676</f>
        <v>1075</v>
      </c>
      <c r="U152" s="2">
        <f>4+6</f>
        <v>10</v>
      </c>
      <c r="V152" s="7">
        <v>0</v>
      </c>
      <c r="W152" s="2">
        <f>((L152/25)+(M152*4)-(N152*2)+(Q152/10)+(R152*6)+(S152*0.75)+(T152/10)+(U152*6)-(V152*2))/2</f>
        <v>116.22499999999999</v>
      </c>
      <c r="X152" s="2" t="s">
        <v>78</v>
      </c>
      <c r="Y152" s="2" t="s">
        <v>26</v>
      </c>
    </row>
    <row r="153" spans="1:25" x14ac:dyDescent="0.45">
      <c r="A153" s="2">
        <v>2024</v>
      </c>
      <c r="B153" s="2">
        <v>3</v>
      </c>
      <c r="C153" s="6">
        <v>82</v>
      </c>
      <c r="D153" s="3" t="s">
        <v>9</v>
      </c>
      <c r="E153" s="2" t="s">
        <v>271</v>
      </c>
      <c r="F153" s="18">
        <v>37151</v>
      </c>
      <c r="G153" s="22">
        <v>22.6</v>
      </c>
      <c r="H153" s="2">
        <v>1.96</v>
      </c>
      <c r="I153" s="2">
        <v>126</v>
      </c>
      <c r="J153" s="2" t="s">
        <v>464</v>
      </c>
      <c r="K153" s="2">
        <v>0</v>
      </c>
      <c r="L153" s="2">
        <v>0</v>
      </c>
      <c r="M153" s="2">
        <v>0</v>
      </c>
      <c r="N153" s="2">
        <v>0</v>
      </c>
      <c r="O153" s="2">
        <v>0</v>
      </c>
      <c r="P153" s="2">
        <v>0</v>
      </c>
      <c r="Q153" s="2">
        <v>0</v>
      </c>
      <c r="R153" s="2">
        <v>0</v>
      </c>
      <c r="S153" s="2">
        <f>17+19</f>
        <v>36</v>
      </c>
      <c r="T153" s="2">
        <f>156+203</f>
        <v>359</v>
      </c>
      <c r="U153" s="2">
        <f>1+3</f>
        <v>4</v>
      </c>
      <c r="V153" s="7">
        <v>0</v>
      </c>
      <c r="W153" s="2">
        <f>((L153/25)+(M153*4)-(N153*2)+(Q153/10)+(R153*6)+(S153*0.75)+(T153/10)+(U153*6)-(V153*2))/2</f>
        <v>43.45</v>
      </c>
      <c r="X153" s="2" t="s">
        <v>55</v>
      </c>
      <c r="Y153" s="2" t="s">
        <v>13</v>
      </c>
    </row>
    <row r="154" spans="1:25" x14ac:dyDescent="0.45">
      <c r="A154" s="2">
        <v>2024</v>
      </c>
      <c r="B154" s="2">
        <v>4</v>
      </c>
      <c r="C154" s="6">
        <v>101</v>
      </c>
      <c r="D154" s="3" t="s">
        <v>9</v>
      </c>
      <c r="E154" s="2" t="s">
        <v>244</v>
      </c>
      <c r="F154" s="18">
        <v>37707</v>
      </c>
      <c r="G154" s="22">
        <v>21.08</v>
      </c>
      <c r="H154" s="2">
        <v>1.93</v>
      </c>
      <c r="I154" s="2">
        <v>110</v>
      </c>
      <c r="J154" s="2" t="s">
        <v>460</v>
      </c>
      <c r="K154" s="2">
        <v>0</v>
      </c>
      <c r="L154" s="2">
        <v>0</v>
      </c>
      <c r="M154" s="2">
        <v>0</v>
      </c>
      <c r="N154" s="2">
        <v>0</v>
      </c>
      <c r="O154" s="2">
        <v>0</v>
      </c>
      <c r="P154" s="2">
        <f>1</f>
        <v>1</v>
      </c>
      <c r="Q154" s="2">
        <v>12</v>
      </c>
      <c r="R154" s="2">
        <v>0</v>
      </c>
      <c r="S154" s="2">
        <f>54+45</f>
        <v>99</v>
      </c>
      <c r="T154" s="2">
        <f>613+682</f>
        <v>1295</v>
      </c>
      <c r="U154" s="2">
        <f>5+2</f>
        <v>7</v>
      </c>
      <c r="V154" s="7">
        <v>0</v>
      </c>
      <c r="W154" s="2">
        <f>((L154/25)+(M154*4)-(N154*2)+(Q154/10)+(R154*6)+(S154*0.75)+(T154/10)+(U154*6)-(V154*2))/2</f>
        <v>123.47499999999999</v>
      </c>
      <c r="X154" s="2" t="s">
        <v>81</v>
      </c>
      <c r="Y154" s="2" t="s">
        <v>26</v>
      </c>
    </row>
  </sheetData>
  <autoFilter ref="A1:Y154" xr:uid="{8C2053EA-6AC9-488B-A8C7-4402735123C2}"/>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44EA9-D4DC-423B-A6BD-DD2E6AF05788}">
  <dimension ref="A3:D117"/>
  <sheetViews>
    <sheetView topLeftCell="A13" workbookViewId="0">
      <selection activeCell="A29" sqref="A19:XFD29"/>
    </sheetView>
  </sheetViews>
  <sheetFormatPr baseColWidth="10" defaultRowHeight="14.25" x14ac:dyDescent="0.45"/>
  <cols>
    <col min="1" max="1" width="20.19921875" bestFit="1" customWidth="1"/>
    <col min="2" max="2" width="22.33203125" bestFit="1" customWidth="1"/>
    <col min="3" max="3" width="13.73046875" bestFit="1" customWidth="1"/>
    <col min="4" max="4" width="11.06640625" bestFit="1" customWidth="1"/>
    <col min="5" max="13" width="22.19921875" bestFit="1" customWidth="1"/>
    <col min="14" max="14" width="14.46484375" bestFit="1" customWidth="1"/>
    <col min="15" max="15" width="6.59765625" bestFit="1" customWidth="1"/>
    <col min="16" max="16" width="11.265625" bestFit="1" customWidth="1"/>
    <col min="17" max="17" width="11.1328125" bestFit="1" customWidth="1"/>
    <col min="18" max="18" width="7.3984375" bestFit="1" customWidth="1"/>
    <col min="19" max="19" width="7.796875" bestFit="1" customWidth="1"/>
    <col min="20" max="20" width="6.46484375" bestFit="1" customWidth="1"/>
    <col min="21" max="21" width="4.86328125" bestFit="1" customWidth="1"/>
    <col min="22" max="22" width="9.53125" bestFit="1" customWidth="1"/>
    <col min="23" max="23" width="11.1328125" bestFit="1" customWidth="1"/>
    <col min="24" max="24" width="8.46484375" bestFit="1" customWidth="1"/>
    <col min="25" max="25" width="6.59765625" bestFit="1" customWidth="1"/>
    <col min="26" max="26" width="8.73046875" bestFit="1" customWidth="1"/>
    <col min="27" max="27" width="3.9296875" bestFit="1" customWidth="1"/>
    <col min="28" max="28" width="8.73046875" bestFit="1" customWidth="1"/>
    <col min="29" max="29" width="8.46484375" bestFit="1" customWidth="1"/>
    <col min="30" max="30" width="13.1328125" bestFit="1" customWidth="1"/>
    <col min="31" max="31" width="8.59765625" bestFit="1" customWidth="1"/>
    <col min="32" max="32" width="12.86328125" bestFit="1" customWidth="1"/>
    <col min="33" max="33" width="16.59765625" bestFit="1" customWidth="1"/>
    <col min="34" max="34" width="12.46484375" bestFit="1" customWidth="1"/>
    <col min="35" max="35" width="10.86328125" bestFit="1" customWidth="1"/>
    <col min="36" max="36" width="9.53125" bestFit="1" customWidth="1"/>
    <col min="37" max="37" width="9.265625" bestFit="1" customWidth="1"/>
    <col min="38" max="38" width="8.06640625" bestFit="1" customWidth="1"/>
    <col min="39" max="39" width="7" bestFit="1" customWidth="1"/>
    <col min="40" max="40" width="11.6640625" bestFit="1" customWidth="1"/>
    <col min="41" max="41" width="9.796875" bestFit="1" customWidth="1"/>
    <col min="42" max="42" width="9.3984375" bestFit="1" customWidth="1"/>
    <col min="43" max="43" width="8.86328125" bestFit="1" customWidth="1"/>
    <col min="44" max="44" width="6.86328125" bestFit="1" customWidth="1"/>
    <col min="45" max="45" width="4.33203125" bestFit="1" customWidth="1"/>
    <col min="46" max="46" width="13.6640625" bestFit="1" customWidth="1"/>
    <col min="47" max="47" width="4.86328125" bestFit="1" customWidth="1"/>
    <col min="48" max="48" width="13.265625" bestFit="1" customWidth="1"/>
    <col min="49" max="49" width="12.86328125" bestFit="1" customWidth="1"/>
    <col min="50" max="50" width="16.59765625" bestFit="1" customWidth="1"/>
    <col min="51" max="51" width="7.9296875" bestFit="1" customWidth="1"/>
    <col min="52" max="52" width="4.19921875" bestFit="1" customWidth="1"/>
    <col min="53" max="53" width="9.796875" bestFit="1" customWidth="1"/>
    <col min="54" max="54" width="5.53125" bestFit="1" customWidth="1"/>
    <col min="55" max="55" width="10.33203125" bestFit="1" customWidth="1"/>
    <col min="56" max="56" width="6.46484375" bestFit="1" customWidth="1"/>
    <col min="57" max="57" width="4.46484375" bestFit="1" customWidth="1"/>
    <col min="58" max="58" width="4.19921875" bestFit="1" customWidth="1"/>
    <col min="59" max="59" width="5.265625" bestFit="1" customWidth="1"/>
    <col min="60" max="60" width="4.19921875" bestFit="1" customWidth="1"/>
    <col min="61" max="61" width="4.86328125" bestFit="1" customWidth="1"/>
    <col min="62" max="62" width="7.265625" bestFit="1" customWidth="1"/>
    <col min="63" max="63" width="11.265625" bestFit="1" customWidth="1"/>
    <col min="64" max="64" width="10.86328125" bestFit="1" customWidth="1"/>
    <col min="65" max="66" width="16.19921875" bestFit="1" customWidth="1"/>
    <col min="67" max="67" width="9.3984375" bestFit="1" customWidth="1"/>
    <col min="68" max="68" width="14.46484375" bestFit="1" customWidth="1"/>
    <col min="69" max="69" width="12.86328125" bestFit="1" customWidth="1"/>
    <col min="70" max="70" width="11.265625" bestFit="1" customWidth="1"/>
    <col min="71" max="72" width="14.06640625" bestFit="1" customWidth="1"/>
    <col min="73" max="73" width="15.265625" bestFit="1" customWidth="1"/>
    <col min="74" max="78" width="13.73046875" bestFit="1" customWidth="1"/>
    <col min="79" max="79" width="19.9296875" bestFit="1" customWidth="1"/>
    <col min="80" max="80" width="14.46484375" bestFit="1" customWidth="1"/>
    <col min="81" max="258" width="22.19921875" bestFit="1" customWidth="1"/>
    <col min="259" max="259" width="29.3984375" bestFit="1" customWidth="1"/>
    <col min="260" max="260" width="29.1328125" bestFit="1" customWidth="1"/>
    <col min="261" max="261" width="12.59765625" bestFit="1" customWidth="1"/>
    <col min="262" max="262" width="7.53125" bestFit="1" customWidth="1"/>
    <col min="263" max="263" width="12.59765625" bestFit="1" customWidth="1"/>
    <col min="264" max="264" width="7.53125" bestFit="1" customWidth="1"/>
    <col min="265" max="265" width="12.59765625" bestFit="1" customWidth="1"/>
    <col min="266" max="266" width="7.53125" bestFit="1" customWidth="1"/>
    <col min="267" max="267" width="12.59765625" bestFit="1" customWidth="1"/>
    <col min="268" max="268" width="7.53125" bestFit="1" customWidth="1"/>
    <col min="269" max="269" width="12.59765625" bestFit="1" customWidth="1"/>
    <col min="270" max="270" width="7.53125" bestFit="1" customWidth="1"/>
    <col min="271" max="271" width="12.59765625" bestFit="1" customWidth="1"/>
    <col min="272" max="272" width="7.53125" bestFit="1" customWidth="1"/>
    <col min="273" max="273" width="12.59765625" bestFit="1" customWidth="1"/>
    <col min="274" max="274" width="7.53125" bestFit="1" customWidth="1"/>
    <col min="275" max="275" width="12.59765625" bestFit="1" customWidth="1"/>
    <col min="276" max="276" width="7.53125" bestFit="1" customWidth="1"/>
    <col min="277" max="277" width="12.59765625" bestFit="1" customWidth="1"/>
    <col min="278" max="278" width="7.53125" bestFit="1" customWidth="1"/>
    <col min="279" max="279" width="12.59765625" bestFit="1" customWidth="1"/>
    <col min="280" max="280" width="6.53125" bestFit="1" customWidth="1"/>
    <col min="281" max="281" width="11.6640625" bestFit="1" customWidth="1"/>
    <col min="282" max="282" width="14.46484375" bestFit="1" customWidth="1"/>
    <col min="283" max="283" width="11.6640625" bestFit="1" customWidth="1"/>
    <col min="284" max="284" width="12.59765625" bestFit="1" customWidth="1"/>
    <col min="285" max="285" width="7.53125" bestFit="1" customWidth="1"/>
    <col min="286" max="286" width="11.6640625" bestFit="1" customWidth="1"/>
    <col min="287" max="287" width="12.59765625" bestFit="1" customWidth="1"/>
    <col min="288" max="288" width="7.53125" bestFit="1" customWidth="1"/>
    <col min="289" max="289" width="10.73046875" bestFit="1" customWidth="1"/>
    <col min="290" max="290" width="12.59765625" bestFit="1" customWidth="1"/>
    <col min="291" max="291" width="7.53125" bestFit="1" customWidth="1"/>
    <col min="292" max="292" width="11.6640625" bestFit="1" customWidth="1"/>
    <col min="293" max="293" width="12.59765625" bestFit="1" customWidth="1"/>
    <col min="294" max="294" width="7.53125" bestFit="1" customWidth="1"/>
    <col min="295" max="295" width="11.6640625" bestFit="1" customWidth="1"/>
    <col min="296" max="296" width="6.53125" bestFit="1" customWidth="1"/>
    <col min="297" max="297" width="11.6640625" bestFit="1" customWidth="1"/>
    <col min="298" max="298" width="12.59765625" bestFit="1" customWidth="1"/>
    <col min="299" max="299" width="6.53125" bestFit="1" customWidth="1"/>
    <col min="300" max="301" width="11.6640625" bestFit="1" customWidth="1"/>
    <col min="302" max="302" width="7.53125" bestFit="1" customWidth="1"/>
    <col min="303" max="303" width="11.6640625" bestFit="1" customWidth="1"/>
    <col min="304" max="304" width="12.59765625" bestFit="1" customWidth="1"/>
    <col min="305" max="305" width="7.53125" bestFit="1" customWidth="1"/>
    <col min="306" max="306" width="11.6640625" bestFit="1" customWidth="1"/>
    <col min="307" max="307" width="12.59765625" bestFit="1" customWidth="1"/>
    <col min="308" max="308" width="6.53125" bestFit="1" customWidth="1"/>
    <col min="309" max="309" width="11.6640625" bestFit="1" customWidth="1"/>
    <col min="310" max="310" width="10.19921875" bestFit="1" customWidth="1"/>
    <col min="311" max="311" width="7.53125" bestFit="1" customWidth="1"/>
    <col min="312" max="312" width="11.6640625" bestFit="1" customWidth="1"/>
    <col min="313" max="313" width="6.53125" bestFit="1" customWidth="1"/>
    <col min="314" max="314" width="11.6640625" bestFit="1" customWidth="1"/>
    <col min="315" max="315" width="12.59765625" bestFit="1" customWidth="1"/>
    <col min="316" max="316" width="7.53125" bestFit="1" customWidth="1"/>
    <col min="317" max="317" width="11.6640625" bestFit="1" customWidth="1"/>
    <col min="318" max="318" width="12.59765625" bestFit="1" customWidth="1"/>
    <col min="319" max="319" width="7.53125" bestFit="1" customWidth="1"/>
    <col min="320" max="320" width="11.6640625" bestFit="1" customWidth="1"/>
    <col min="321" max="321" width="12.59765625" bestFit="1" customWidth="1"/>
    <col min="322" max="322" width="7.53125" bestFit="1" customWidth="1"/>
    <col min="323" max="323" width="11.6640625" bestFit="1" customWidth="1"/>
    <col min="324" max="324" width="12.59765625" bestFit="1" customWidth="1"/>
    <col min="325" max="325" width="7.53125" bestFit="1" customWidth="1"/>
    <col min="326" max="326" width="11.6640625" bestFit="1" customWidth="1"/>
    <col min="327" max="327" width="12.59765625" bestFit="1" customWidth="1"/>
    <col min="328" max="328" width="6.53125" bestFit="1" customWidth="1"/>
    <col min="329" max="329" width="11.6640625" bestFit="1" customWidth="1"/>
    <col min="330" max="330" width="6.53125" bestFit="1" customWidth="1"/>
    <col min="331" max="332" width="11.6640625" bestFit="1" customWidth="1"/>
    <col min="333" max="333" width="7.53125" bestFit="1" customWidth="1"/>
    <col min="334" max="334" width="11.6640625" bestFit="1" customWidth="1"/>
    <col min="335" max="335" width="12.59765625" bestFit="1" customWidth="1"/>
    <col min="336" max="336" width="7.53125" bestFit="1" customWidth="1"/>
    <col min="337" max="337" width="11.6640625" bestFit="1" customWidth="1"/>
    <col min="338" max="338" width="6.53125" bestFit="1" customWidth="1"/>
    <col min="339" max="339" width="11.6640625" bestFit="1" customWidth="1"/>
    <col min="340" max="340" width="6.53125" bestFit="1" customWidth="1"/>
    <col min="341" max="341" width="11.6640625" bestFit="1" customWidth="1"/>
    <col min="342" max="342" width="12.59765625" bestFit="1" customWidth="1"/>
    <col min="343" max="343" width="7.53125" bestFit="1" customWidth="1"/>
    <col min="344" max="344" width="11.6640625" bestFit="1" customWidth="1"/>
    <col min="345" max="345" width="12.59765625" bestFit="1" customWidth="1"/>
    <col min="346" max="346" width="7.53125" bestFit="1" customWidth="1"/>
    <col min="347" max="347" width="11.6640625" bestFit="1" customWidth="1"/>
    <col min="348" max="348" width="12.59765625" bestFit="1" customWidth="1"/>
    <col min="349" max="349" width="7.53125" bestFit="1" customWidth="1"/>
    <col min="350" max="350" width="11.6640625" bestFit="1" customWidth="1"/>
    <col min="351" max="351" width="6.53125" bestFit="1" customWidth="1"/>
    <col min="352" max="352" width="11.6640625" bestFit="1" customWidth="1"/>
    <col min="353" max="353" width="12.59765625" bestFit="1" customWidth="1"/>
    <col min="354" max="354" width="7.53125" bestFit="1" customWidth="1"/>
    <col min="355" max="355" width="11.6640625" bestFit="1" customWidth="1"/>
    <col min="356" max="356" width="12.59765625" bestFit="1" customWidth="1"/>
    <col min="357" max="357" width="7.53125" bestFit="1" customWidth="1"/>
    <col min="358" max="358" width="11.6640625" bestFit="1" customWidth="1"/>
    <col min="359" max="359" width="12.59765625" bestFit="1" customWidth="1"/>
    <col min="360" max="360" width="6.53125" bestFit="1" customWidth="1"/>
    <col min="361" max="362" width="11.6640625" bestFit="1" customWidth="1"/>
    <col min="363" max="363" width="7.53125" bestFit="1" customWidth="1"/>
    <col min="364" max="364" width="11.6640625" bestFit="1" customWidth="1"/>
    <col min="365" max="365" width="12.59765625" bestFit="1" customWidth="1"/>
    <col min="366" max="366" width="7.53125" bestFit="1" customWidth="1"/>
    <col min="367" max="367" width="10.73046875" bestFit="1" customWidth="1"/>
    <col min="368" max="368" width="12.59765625" bestFit="1" customWidth="1"/>
    <col min="369" max="369" width="7.53125" bestFit="1" customWidth="1"/>
    <col min="370" max="370" width="11.6640625" bestFit="1" customWidth="1"/>
    <col min="371" max="371" width="12.59765625" bestFit="1" customWidth="1"/>
    <col min="372" max="372" width="7.53125" bestFit="1" customWidth="1"/>
    <col min="373" max="373" width="11.6640625" bestFit="1" customWidth="1"/>
    <col min="374" max="374" width="12.59765625" bestFit="1" customWidth="1"/>
    <col min="375" max="375" width="7.53125" bestFit="1" customWidth="1"/>
    <col min="376" max="376" width="11.6640625" bestFit="1" customWidth="1"/>
    <col min="377" max="377" width="12.59765625" bestFit="1" customWidth="1"/>
    <col min="378" max="378" width="6.53125" bestFit="1" customWidth="1"/>
    <col min="379" max="380" width="11.6640625" bestFit="1" customWidth="1"/>
    <col min="381" max="381" width="7.53125" bestFit="1" customWidth="1"/>
    <col min="382" max="382" width="11.6640625" bestFit="1" customWidth="1"/>
    <col min="383" max="383" width="12.59765625" bestFit="1" customWidth="1"/>
    <col min="384" max="384" width="7.53125" bestFit="1" customWidth="1"/>
    <col min="385" max="385" width="11.6640625" bestFit="1" customWidth="1"/>
    <col min="386" max="386" width="12.59765625" bestFit="1" customWidth="1"/>
    <col min="387" max="387" width="7.53125" bestFit="1" customWidth="1"/>
    <col min="388" max="388" width="11.6640625" bestFit="1" customWidth="1"/>
    <col min="389" max="389" width="12.59765625" bestFit="1" customWidth="1"/>
    <col min="390" max="390" width="7.53125" bestFit="1" customWidth="1"/>
    <col min="391" max="391" width="11.6640625" bestFit="1" customWidth="1"/>
    <col min="392" max="392" width="12.59765625" bestFit="1" customWidth="1"/>
    <col min="393" max="393" width="7.53125" bestFit="1" customWidth="1"/>
    <col min="394" max="394" width="11.6640625" bestFit="1" customWidth="1"/>
    <col min="395" max="395" width="6.53125" bestFit="1" customWidth="1"/>
    <col min="396" max="396" width="11.6640625" bestFit="1" customWidth="1"/>
    <col min="397" max="397" width="12.59765625" bestFit="1" customWidth="1"/>
    <col min="398" max="398" width="7.53125" bestFit="1" customWidth="1"/>
    <col min="399" max="399" width="10.73046875" bestFit="1" customWidth="1"/>
    <col min="400" max="400" width="12.59765625" bestFit="1" customWidth="1"/>
    <col min="401" max="401" width="7.53125" bestFit="1" customWidth="1"/>
    <col min="402" max="402" width="10.73046875" bestFit="1" customWidth="1"/>
    <col min="403" max="403" width="12.59765625" bestFit="1" customWidth="1"/>
    <col min="404" max="404" width="7.53125" bestFit="1" customWidth="1"/>
    <col min="405" max="405" width="11.6640625" bestFit="1" customWidth="1"/>
    <col min="406" max="406" width="12.59765625" bestFit="1" customWidth="1"/>
    <col min="407" max="407" width="7.53125" bestFit="1" customWidth="1"/>
    <col min="408" max="408" width="11.6640625" bestFit="1" customWidth="1"/>
    <col min="409" max="409" width="12.59765625" bestFit="1" customWidth="1"/>
    <col min="410" max="410" width="7.53125" bestFit="1" customWidth="1"/>
    <col min="411" max="411" width="11.6640625" bestFit="1" customWidth="1"/>
    <col min="412" max="412" width="12.59765625" bestFit="1" customWidth="1"/>
    <col min="413" max="413" width="7.53125" bestFit="1" customWidth="1"/>
    <col min="414" max="414" width="11.6640625" bestFit="1" customWidth="1"/>
    <col min="415" max="415" width="12.59765625" bestFit="1" customWidth="1"/>
    <col min="416" max="416" width="7.53125" bestFit="1" customWidth="1"/>
    <col min="417" max="417" width="11.6640625" bestFit="1" customWidth="1"/>
    <col min="418" max="418" width="12.59765625" bestFit="1" customWidth="1"/>
    <col min="419" max="419" width="7.53125" bestFit="1" customWidth="1"/>
    <col min="420" max="420" width="11.6640625" bestFit="1" customWidth="1"/>
    <col min="421" max="421" width="12.59765625" bestFit="1" customWidth="1"/>
    <col min="422" max="422" width="7.53125" bestFit="1" customWidth="1"/>
    <col min="423" max="423" width="11.6640625" bestFit="1" customWidth="1"/>
    <col min="424" max="424" width="12.59765625" bestFit="1" customWidth="1"/>
    <col min="425" max="425" width="7.53125" bestFit="1" customWidth="1"/>
    <col min="426" max="426" width="11.6640625" bestFit="1" customWidth="1"/>
    <col min="427" max="427" width="12.59765625" bestFit="1" customWidth="1"/>
    <col min="428" max="428" width="7.53125" bestFit="1" customWidth="1"/>
    <col min="429" max="429" width="11.6640625" bestFit="1" customWidth="1"/>
    <col min="430" max="430" width="12.59765625" bestFit="1" customWidth="1"/>
    <col min="431" max="431" width="6.53125" bestFit="1" customWidth="1"/>
    <col min="432" max="432" width="10.73046875" bestFit="1" customWidth="1"/>
    <col min="433" max="433" width="11.6640625" bestFit="1" customWidth="1"/>
    <col min="434" max="434" width="14.46484375" bestFit="1" customWidth="1"/>
  </cols>
  <sheetData>
    <row r="3" spans="1:2" x14ac:dyDescent="0.45">
      <c r="A3" s="8" t="s">
        <v>293</v>
      </c>
      <c r="B3" t="s">
        <v>297</v>
      </c>
    </row>
    <row r="4" spans="1:2" x14ac:dyDescent="0.45">
      <c r="A4" s="9" t="s">
        <v>235</v>
      </c>
      <c r="B4" s="26">
        <v>167.65</v>
      </c>
    </row>
    <row r="5" spans="1:2" x14ac:dyDescent="0.45">
      <c r="A5" s="9" t="s">
        <v>292</v>
      </c>
      <c r="B5" s="26">
        <v>220.85000000000002</v>
      </c>
    </row>
    <row r="6" spans="1:2" x14ac:dyDescent="0.45">
      <c r="A6" s="9" t="s">
        <v>291</v>
      </c>
      <c r="B6" s="26">
        <v>243.6</v>
      </c>
    </row>
    <row r="7" spans="1:2" x14ac:dyDescent="0.45">
      <c r="A7" s="9" t="s">
        <v>262</v>
      </c>
      <c r="B7" s="26">
        <v>150.55000000000001</v>
      </c>
    </row>
    <row r="8" spans="1:2" x14ac:dyDescent="0.45">
      <c r="A8" s="9" t="s">
        <v>229</v>
      </c>
      <c r="B8" s="26">
        <v>249.15</v>
      </c>
    </row>
    <row r="9" spans="1:2" x14ac:dyDescent="0.45">
      <c r="A9" s="9" t="s">
        <v>237</v>
      </c>
      <c r="B9" s="26">
        <v>123.94999999999999</v>
      </c>
    </row>
    <row r="10" spans="1:2" x14ac:dyDescent="0.45">
      <c r="A10" s="9" t="s">
        <v>228</v>
      </c>
      <c r="B10" s="26">
        <v>166.9</v>
      </c>
    </row>
    <row r="11" spans="1:2" x14ac:dyDescent="0.45">
      <c r="A11" s="9" t="s">
        <v>294</v>
      </c>
      <c r="B11" s="26">
        <v>1322.6500000000003</v>
      </c>
    </row>
    <row r="42" spans="1:2" x14ac:dyDescent="0.45">
      <c r="A42" s="8" t="s">
        <v>293</v>
      </c>
      <c r="B42" t="s">
        <v>498</v>
      </c>
    </row>
    <row r="43" spans="1:2" x14ac:dyDescent="0.45">
      <c r="A43" s="9" t="s">
        <v>32</v>
      </c>
      <c r="B43" s="26">
        <v>6</v>
      </c>
    </row>
    <row r="44" spans="1:2" x14ac:dyDescent="0.45">
      <c r="A44" s="9" t="s">
        <v>10</v>
      </c>
      <c r="B44" s="26">
        <v>12</v>
      </c>
    </row>
    <row r="45" spans="1:2" x14ac:dyDescent="0.45">
      <c r="A45" s="9" t="s">
        <v>9</v>
      </c>
      <c r="B45" s="26">
        <v>4</v>
      </c>
    </row>
    <row r="46" spans="1:2" x14ac:dyDescent="0.45">
      <c r="A46" s="9" t="s">
        <v>17</v>
      </c>
      <c r="B46" s="26">
        <v>20</v>
      </c>
    </row>
    <row r="47" spans="1:2" x14ac:dyDescent="0.45">
      <c r="A47" s="9" t="s">
        <v>294</v>
      </c>
      <c r="B47" s="26">
        <v>42</v>
      </c>
    </row>
    <row r="56" spans="1:4" x14ac:dyDescent="0.45">
      <c r="A56" s="8" t="s">
        <v>293</v>
      </c>
      <c r="B56" t="s">
        <v>500</v>
      </c>
      <c r="C56" t="s">
        <v>499</v>
      </c>
      <c r="D56" t="s">
        <v>501</v>
      </c>
    </row>
    <row r="57" spans="1:4" x14ac:dyDescent="0.45">
      <c r="A57" s="9" t="s">
        <v>32</v>
      </c>
      <c r="B57" s="26">
        <v>21.26</v>
      </c>
      <c r="C57" s="10">
        <v>22.806666666666668</v>
      </c>
      <c r="D57" s="10">
        <v>24.17</v>
      </c>
    </row>
    <row r="58" spans="1:4" x14ac:dyDescent="0.45">
      <c r="A58" s="9" t="s">
        <v>10</v>
      </c>
      <c r="B58" s="26">
        <v>20.260000000000002</v>
      </c>
      <c r="C58" s="10">
        <v>22.131666666666664</v>
      </c>
      <c r="D58" s="10">
        <v>24.46</v>
      </c>
    </row>
    <row r="59" spans="1:4" x14ac:dyDescent="0.45">
      <c r="A59" s="9" t="s">
        <v>9</v>
      </c>
      <c r="B59" s="26">
        <v>21.08</v>
      </c>
      <c r="C59" s="10">
        <v>21.73</v>
      </c>
      <c r="D59" s="10">
        <v>22.6</v>
      </c>
    </row>
    <row r="60" spans="1:4" x14ac:dyDescent="0.45">
      <c r="A60" s="9" t="s">
        <v>17</v>
      </c>
      <c r="B60" s="26">
        <v>20.75</v>
      </c>
      <c r="C60" s="10">
        <v>22.172499999999996</v>
      </c>
      <c r="D60" s="10">
        <v>23.63</v>
      </c>
    </row>
    <row r="61" spans="1:4" x14ac:dyDescent="0.45">
      <c r="A61" s="9" t="s">
        <v>294</v>
      </c>
      <c r="B61" s="26">
        <v>20.260000000000002</v>
      </c>
      <c r="C61" s="10">
        <v>22.209285714285716</v>
      </c>
      <c r="D61" s="10">
        <v>24.46</v>
      </c>
    </row>
    <row r="72" spans="1:4" x14ac:dyDescent="0.45">
      <c r="A72" s="8" t="s">
        <v>293</v>
      </c>
      <c r="B72" t="s">
        <v>502</v>
      </c>
      <c r="C72" t="s">
        <v>503</v>
      </c>
      <c r="D72" t="s">
        <v>504</v>
      </c>
    </row>
    <row r="73" spans="1:4" x14ac:dyDescent="0.45">
      <c r="A73" s="9" t="s">
        <v>32</v>
      </c>
      <c r="B73" s="26">
        <v>1.85</v>
      </c>
      <c r="C73" s="10">
        <v>1.9016666666666666</v>
      </c>
      <c r="D73" s="10">
        <v>1.93</v>
      </c>
    </row>
    <row r="74" spans="1:4" x14ac:dyDescent="0.45">
      <c r="A74" s="9" t="s">
        <v>10</v>
      </c>
      <c r="B74" s="26">
        <v>1.73</v>
      </c>
      <c r="C74" s="10">
        <v>1.8025000000000002</v>
      </c>
      <c r="D74" s="10">
        <v>1.88</v>
      </c>
    </row>
    <row r="75" spans="1:4" x14ac:dyDescent="0.45">
      <c r="A75" s="9" t="s">
        <v>9</v>
      </c>
      <c r="B75" s="26">
        <v>1.93</v>
      </c>
      <c r="C75" s="10">
        <v>1.9374999999999998</v>
      </c>
      <c r="D75" s="10">
        <v>1.96</v>
      </c>
    </row>
    <row r="76" spans="1:4" x14ac:dyDescent="0.45">
      <c r="A76" s="9" t="s">
        <v>17</v>
      </c>
      <c r="B76" s="26">
        <v>1.73</v>
      </c>
      <c r="C76" s="10">
        <v>1.8654999999999997</v>
      </c>
      <c r="D76" s="10">
        <v>1.93</v>
      </c>
    </row>
    <row r="77" spans="1:4" x14ac:dyDescent="0.45">
      <c r="A77" s="9" t="s">
        <v>294</v>
      </c>
      <c r="B77" s="26">
        <v>1.73</v>
      </c>
      <c r="C77" s="10">
        <v>1.8595238095238094</v>
      </c>
      <c r="D77" s="10">
        <v>1.96</v>
      </c>
    </row>
    <row r="89" spans="1:4" x14ac:dyDescent="0.45">
      <c r="A89" s="8" t="s">
        <v>293</v>
      </c>
      <c r="B89" t="s">
        <v>505</v>
      </c>
      <c r="C89" t="s">
        <v>506</v>
      </c>
      <c r="D89" t="s">
        <v>507</v>
      </c>
    </row>
    <row r="90" spans="1:4" x14ac:dyDescent="0.45">
      <c r="A90" s="9" t="s">
        <v>32</v>
      </c>
      <c r="B90" s="26">
        <v>92</v>
      </c>
      <c r="C90" s="10">
        <v>97.333333333333329</v>
      </c>
      <c r="D90" s="10">
        <v>104</v>
      </c>
    </row>
    <row r="91" spans="1:4" x14ac:dyDescent="0.45">
      <c r="A91" s="9" t="s">
        <v>10</v>
      </c>
      <c r="B91" s="26">
        <v>88</v>
      </c>
      <c r="C91" s="10">
        <v>97.583333333333329</v>
      </c>
      <c r="D91" s="10">
        <v>108</v>
      </c>
    </row>
    <row r="92" spans="1:4" x14ac:dyDescent="0.45">
      <c r="A92" s="9" t="s">
        <v>9</v>
      </c>
      <c r="B92" s="26">
        <v>109</v>
      </c>
      <c r="C92" s="10">
        <v>114.25</v>
      </c>
      <c r="D92" s="10">
        <v>126</v>
      </c>
    </row>
    <row r="93" spans="1:4" x14ac:dyDescent="0.45">
      <c r="A93" s="9" t="s">
        <v>17</v>
      </c>
      <c r="B93" s="26">
        <v>78</v>
      </c>
      <c r="C93" s="10">
        <v>90</v>
      </c>
      <c r="D93" s="10">
        <v>103</v>
      </c>
    </row>
    <row r="94" spans="1:4" x14ac:dyDescent="0.45">
      <c r="A94" s="9" t="s">
        <v>294</v>
      </c>
      <c r="B94" s="26">
        <v>78</v>
      </c>
      <c r="C94" s="10">
        <v>95.523809523809518</v>
      </c>
      <c r="D94" s="10">
        <v>126</v>
      </c>
    </row>
    <row r="108" spans="1:2" x14ac:dyDescent="0.45">
      <c r="A108" s="8" t="s">
        <v>293</v>
      </c>
      <c r="B108" t="s">
        <v>508</v>
      </c>
    </row>
    <row r="109" spans="1:2" x14ac:dyDescent="0.45">
      <c r="A109" s="9" t="s">
        <v>4</v>
      </c>
      <c r="B109" s="26">
        <v>6</v>
      </c>
    </row>
    <row r="110" spans="1:2" x14ac:dyDescent="0.45">
      <c r="A110" s="9" t="s">
        <v>26</v>
      </c>
      <c r="B110" s="26">
        <v>6</v>
      </c>
    </row>
    <row r="111" spans="1:2" x14ac:dyDescent="0.45">
      <c r="A111" s="9" t="s">
        <v>13</v>
      </c>
      <c r="B111" s="26">
        <v>6</v>
      </c>
    </row>
    <row r="112" spans="1:2" x14ac:dyDescent="0.45">
      <c r="A112" s="9" t="s">
        <v>25</v>
      </c>
      <c r="B112" s="26">
        <v>1</v>
      </c>
    </row>
    <row r="113" spans="1:2" x14ac:dyDescent="0.45">
      <c r="A113" s="9" t="s">
        <v>14</v>
      </c>
      <c r="B113" s="26">
        <v>1</v>
      </c>
    </row>
    <row r="114" spans="1:2" x14ac:dyDescent="0.45">
      <c r="A114" s="9" t="s">
        <v>6</v>
      </c>
      <c r="B114" s="26">
        <v>11</v>
      </c>
    </row>
    <row r="115" spans="1:2" x14ac:dyDescent="0.45">
      <c r="A115" s="9" t="s">
        <v>23</v>
      </c>
      <c r="B115" s="26">
        <v>10</v>
      </c>
    </row>
    <row r="116" spans="1:2" x14ac:dyDescent="0.45">
      <c r="A116" s="9" t="s">
        <v>21</v>
      </c>
      <c r="B116" s="26">
        <v>1</v>
      </c>
    </row>
    <row r="117" spans="1:2" x14ac:dyDescent="0.45">
      <c r="A117" s="9" t="s">
        <v>294</v>
      </c>
      <c r="B117" s="26">
        <v>42</v>
      </c>
    </row>
  </sheetData>
  <pageMargins left="0.7" right="0.7" top="0.78740157499999996" bottom="0.78740157499999996"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67B65-FE70-4662-9C16-AFC49985CF76}">
  <dimension ref="A1:V40"/>
  <sheetViews>
    <sheetView showGridLines="0" zoomScale="87" workbookViewId="0">
      <selection activeCell="G42" sqref="G42"/>
    </sheetView>
  </sheetViews>
  <sheetFormatPr baseColWidth="10" defaultRowHeight="14.25" x14ac:dyDescent="0.45"/>
  <cols>
    <col min="1" max="1" width="2.59765625" style="31" customWidth="1"/>
    <col min="22" max="22" width="2.59765625" customWidth="1"/>
  </cols>
  <sheetData>
    <row r="1" spans="1:22" ht="24" customHeight="1" x14ac:dyDescent="0.45">
      <c r="A1" s="15" t="s">
        <v>509</v>
      </c>
      <c r="B1" s="15"/>
      <c r="C1" s="15"/>
      <c r="D1" s="15"/>
      <c r="E1" s="15"/>
      <c r="F1" s="15"/>
      <c r="G1" s="15"/>
      <c r="H1" s="15"/>
      <c r="I1" s="15"/>
      <c r="J1" s="15"/>
      <c r="K1" s="15"/>
      <c r="L1" s="15"/>
      <c r="M1" s="15"/>
      <c r="N1" s="15"/>
      <c r="O1" s="15"/>
      <c r="P1" s="15"/>
      <c r="Q1" s="15"/>
      <c r="R1" s="15"/>
      <c r="S1" s="15"/>
      <c r="T1" s="15"/>
      <c r="U1" s="15"/>
      <c r="V1" s="15"/>
    </row>
    <row r="2" spans="1:22" x14ac:dyDescent="0.45">
      <c r="A2" s="11"/>
      <c r="B2" s="11"/>
      <c r="C2" s="11"/>
      <c r="D2" s="11"/>
      <c r="E2" s="11"/>
      <c r="F2" s="11"/>
      <c r="G2" s="11"/>
      <c r="H2" s="11"/>
      <c r="I2" s="11"/>
      <c r="J2" s="11"/>
      <c r="K2" s="11"/>
      <c r="L2" s="11"/>
      <c r="M2" s="11"/>
      <c r="N2" s="11"/>
      <c r="O2" s="11"/>
      <c r="P2" s="11"/>
      <c r="Q2" s="11"/>
      <c r="R2" s="11"/>
      <c r="S2" s="11"/>
      <c r="T2" s="11"/>
      <c r="U2" s="11"/>
      <c r="V2" s="11"/>
    </row>
    <row r="3" spans="1:22" x14ac:dyDescent="0.45">
      <c r="A3" s="11"/>
      <c r="V3" s="11"/>
    </row>
    <row r="4" spans="1:22" x14ac:dyDescent="0.45">
      <c r="A4" s="11"/>
      <c r="V4" s="11"/>
    </row>
    <row r="5" spans="1:22" x14ac:dyDescent="0.45">
      <c r="A5" s="11"/>
      <c r="V5" s="11"/>
    </row>
    <row r="6" spans="1:22" x14ac:dyDescent="0.45">
      <c r="A6" s="11"/>
      <c r="V6" s="11"/>
    </row>
    <row r="7" spans="1:22" x14ac:dyDescent="0.45">
      <c r="A7" s="11"/>
      <c r="V7" s="11"/>
    </row>
    <row r="8" spans="1:22" x14ac:dyDescent="0.45">
      <c r="A8" s="11"/>
      <c r="V8" s="11"/>
    </row>
    <row r="9" spans="1:22" x14ac:dyDescent="0.45">
      <c r="A9" s="11"/>
      <c r="V9" s="11"/>
    </row>
    <row r="10" spans="1:22" x14ac:dyDescent="0.45">
      <c r="A10" s="11"/>
      <c r="V10" s="11"/>
    </row>
    <row r="11" spans="1:22" x14ac:dyDescent="0.45">
      <c r="A11" s="11"/>
      <c r="V11" s="11"/>
    </row>
    <row r="12" spans="1:22" x14ac:dyDescent="0.45">
      <c r="A12" s="11"/>
      <c r="V12" s="11"/>
    </row>
    <row r="13" spans="1:22" x14ac:dyDescent="0.45">
      <c r="A13" s="11"/>
      <c r="V13" s="11"/>
    </row>
    <row r="14" spans="1:22" x14ac:dyDescent="0.45">
      <c r="A14" s="11"/>
      <c r="V14" s="11"/>
    </row>
    <row r="15" spans="1:22" x14ac:dyDescent="0.45">
      <c r="A15" s="11"/>
      <c r="V15" s="11"/>
    </row>
    <row r="16" spans="1:22" x14ac:dyDescent="0.45">
      <c r="A16" s="11"/>
      <c r="V16" s="11"/>
    </row>
    <row r="17" spans="1:22" x14ac:dyDescent="0.45">
      <c r="A17" s="11"/>
      <c r="V17" s="11"/>
    </row>
    <row r="18" spans="1:22" x14ac:dyDescent="0.45">
      <c r="A18" s="11"/>
      <c r="V18" s="11"/>
    </row>
    <row r="19" spans="1:22" x14ac:dyDescent="0.45">
      <c r="A19" s="11"/>
      <c r="V19" s="11"/>
    </row>
    <row r="20" spans="1:22" x14ac:dyDescent="0.45">
      <c r="A20" s="11"/>
      <c r="V20" s="11"/>
    </row>
    <row r="21" spans="1:22" x14ac:dyDescent="0.45">
      <c r="A21" s="11"/>
      <c r="V21" s="11"/>
    </row>
    <row r="22" spans="1:22" x14ac:dyDescent="0.45">
      <c r="A22" s="11"/>
      <c r="V22" s="11"/>
    </row>
    <row r="23" spans="1:22" x14ac:dyDescent="0.45">
      <c r="A23" s="11"/>
      <c r="V23" s="11"/>
    </row>
    <row r="24" spans="1:22" x14ac:dyDescent="0.45">
      <c r="A24" s="11"/>
      <c r="V24" s="11"/>
    </row>
    <row r="25" spans="1:22" x14ac:dyDescent="0.45">
      <c r="A25" s="11"/>
      <c r="V25" s="11"/>
    </row>
    <row r="26" spans="1:22" x14ac:dyDescent="0.45">
      <c r="A26" s="11"/>
      <c r="V26" s="11"/>
    </row>
    <row r="27" spans="1:22" x14ac:dyDescent="0.45">
      <c r="A27" s="11"/>
      <c r="V27" s="11"/>
    </row>
    <row r="28" spans="1:22" x14ac:dyDescent="0.45">
      <c r="A28" s="11"/>
      <c r="V28" s="11"/>
    </row>
    <row r="29" spans="1:22" x14ac:dyDescent="0.45">
      <c r="A29" s="11"/>
      <c r="V29" s="11"/>
    </row>
    <row r="30" spans="1:22" x14ac:dyDescent="0.45">
      <c r="A30" s="11"/>
      <c r="V30" s="11"/>
    </row>
    <row r="31" spans="1:22" x14ac:dyDescent="0.45">
      <c r="A31" s="11"/>
      <c r="V31" s="11"/>
    </row>
    <row r="32" spans="1:22" x14ac:dyDescent="0.45">
      <c r="A32" s="11"/>
      <c r="V32" s="11"/>
    </row>
    <row r="33" spans="1:22" x14ac:dyDescent="0.45">
      <c r="A33" s="11"/>
      <c r="V33" s="11"/>
    </row>
    <row r="34" spans="1:22" x14ac:dyDescent="0.45">
      <c r="A34" s="11"/>
      <c r="V34" s="11"/>
    </row>
    <row r="35" spans="1:22" x14ac:dyDescent="0.45">
      <c r="A35" s="11"/>
      <c r="V35" s="11"/>
    </row>
    <row r="36" spans="1:22" x14ac:dyDescent="0.45">
      <c r="A36" s="11"/>
      <c r="V36" s="11"/>
    </row>
    <row r="37" spans="1:22" x14ac:dyDescent="0.45">
      <c r="A37" s="11"/>
      <c r="V37" s="11"/>
    </row>
    <row r="38" spans="1:22" x14ac:dyDescent="0.45">
      <c r="A38" s="11"/>
      <c r="V38" s="11"/>
    </row>
    <row r="39" spans="1:22" ht="28.9" customHeight="1" x14ac:dyDescent="0.45">
      <c r="A39" s="11"/>
      <c r="V39" s="11"/>
    </row>
    <row r="40" spans="1:22" x14ac:dyDescent="0.45">
      <c r="A40" s="11"/>
      <c r="B40" s="11"/>
      <c r="C40" s="11"/>
      <c r="D40" s="11"/>
      <c r="E40" s="11"/>
      <c r="F40" s="11"/>
      <c r="G40" s="11"/>
      <c r="H40" s="11"/>
      <c r="I40" s="11"/>
      <c r="J40" s="11"/>
      <c r="K40" s="11"/>
      <c r="L40" s="11"/>
      <c r="M40" s="11"/>
      <c r="N40" s="11"/>
      <c r="O40" s="11"/>
      <c r="P40" s="11"/>
      <c r="Q40" s="11"/>
      <c r="R40" s="11"/>
      <c r="S40" s="11"/>
      <c r="T40" s="11"/>
      <c r="U40" s="11"/>
      <c r="V40" s="11"/>
    </row>
  </sheetData>
  <mergeCells count="1">
    <mergeCell ref="A1:V1"/>
  </mergeCells>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26FE5-0392-4AAB-9C1A-6130AFC36D2E}">
  <dimension ref="A1:P2"/>
  <sheetViews>
    <sheetView tabSelected="1" zoomScaleNormal="100" workbookViewId="0">
      <selection activeCell="R14" sqref="R14"/>
    </sheetView>
  </sheetViews>
  <sheetFormatPr baseColWidth="10" defaultRowHeight="14.25" x14ac:dyDescent="0.45"/>
  <cols>
    <col min="1" max="1" width="2.59765625" style="11" customWidth="1"/>
  </cols>
  <sheetData>
    <row r="1" spans="2:16" ht="23.65" customHeight="1" x14ac:dyDescent="0.45">
      <c r="B1" s="15" t="s">
        <v>298</v>
      </c>
      <c r="C1" s="15"/>
      <c r="D1" s="15"/>
      <c r="E1" s="15"/>
      <c r="F1" s="15"/>
      <c r="G1" s="15"/>
      <c r="H1" s="15"/>
      <c r="I1" s="15"/>
      <c r="J1" s="15"/>
      <c r="K1" s="15"/>
      <c r="L1" s="15"/>
      <c r="M1" s="15"/>
      <c r="N1" s="15"/>
      <c r="O1" s="15"/>
      <c r="P1" s="15"/>
    </row>
    <row r="2" spans="2:16" x14ac:dyDescent="0.45">
      <c r="B2" s="16" t="s">
        <v>299</v>
      </c>
      <c r="C2" s="16"/>
      <c r="D2" s="16"/>
      <c r="E2" s="16"/>
      <c r="F2" s="16"/>
      <c r="G2" s="16"/>
      <c r="H2" s="16"/>
      <c r="I2" s="16"/>
      <c r="J2" s="16"/>
      <c r="K2" s="16"/>
      <c r="L2" s="16"/>
      <c r="M2" s="16"/>
      <c r="N2" s="16"/>
      <c r="O2" s="16"/>
      <c r="P2" s="16"/>
    </row>
  </sheetData>
  <mergeCells count="2">
    <mergeCell ref="B1:P1"/>
    <mergeCell ref="B2:P2"/>
  </mergeCells>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Y D A A B Q S w M E F A A C A A g A 1 K o X W R 7 i T z q k A A A A 9 g A A A B I A H A B D b 2 5 m a W c v U G F j a 2 F n Z S 5 4 b W w g o h g A K K A U A A A A A A A A A A A A A A A A A A A A A A A A A A A A h Y 9 L C s I w G I S v U r J v X k W Q 8 j d d q D s L g i B u Q x r b Y J t K k 5 r e z Y V H 8 g p W f O 5 c z j f f Y u Z 2 u U I + t k 1 0 1 r 0 z n c 0 Q w x R F 2 q q u N L b K 0 O A P 8 R z l A j Z S H W W l o 0 m 2 L h 1 d m a H a + 1 N K S A g B h w R 3 f U U 4 p Y z s i / V W 1 b q V 6 C O b / 3 J s r P P S K o 0 E 7 J 5 j B M c s Y X h G O a Z A 3 h A K Y 7 8 C n / Y + 2 h 8 I i 6 H x Q 6 9 F q e P l C s g 7 A n l 9 E H d Q S w M E F A A C A A g A 1 K o X W 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N S q F 1 k 0 v w / Z + Q A A A M A B A A A T A B w A R m 9 y b X V s Y X M v U 2 V j d G l v b j E u b S C i G A A o o B Q A A A A A A A A A A A A A A A A A A A A A A A A A A A B 1 k N F q w j A U h u 8 L v s M h 3 r R Q 0 m n v J l 4 p e j P E b Y V d j C H R n t Z g m p T k y C a l b 7 M 3 2 Y s t t d 6 M u t w k 5 / v J l 5 8 4 P J A 0 G l 7 7 f T I L A n c U F n M Y s 0 z s F U L K Y A 4 K a R S A X 8 9 n V B 7 O 4 Q 3 3 f C t K D L v D w m h C T S 5 k R 6 L a P S Y J a v 4 p T 7 L G X A p u b J l 0 U z J 9 m E 5 2 m 9 X T b m l F Q S y K 4 t 6 6 F C R S L + 3 t T d q + d + T j l o 7 Z G n + + d Y 6 W 0 E J 2 q b t G 1 3 I 8 s 0 K 7 w t h q Y d S 5 0 j 5 D F 1 5 t c d M w F g N 5 A o R f 1 M b Q s B e d 8 w H c y s M J N m Y Y + K J + E N X w h h I X t E N s 3 F D i i y k s 8 Q 7 X x Z 0 n D a H 7 Q 9 t o F E j 9 3 0 f M f g F Q S w E C L Q A U A A I A C A D U q h d Z H u J P O q Q A A A D 2 A A A A E g A A A A A A A A A A A A A A A A A A A A A A Q 2 9 u Z m l n L 1 B h Y 2 t h Z 2 U u e G 1 s U E s B A i 0 A F A A C A A g A 1 K o X W V N y O C y b A A A A 4 Q A A A B M A A A A A A A A A A A A A A A A A 8 A A A A F t D b 2 5 0 Z W 5 0 X 1 R 5 c G V z X S 5 4 b W x Q S w E C L Q A U A A I A C A D U q h d Z N L 8 P 2 f k A A A D A A Q A A E w A A A A A A A A A A A A A A A A D Y A Q A A R m 9 y b X V s Y X M v U 2 V j d G l v b j E u b V B L B Q Y A A A A A A w A D A M I A A A A 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D A A A A A A A A H 4 M 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U Y W J s Z S U y M D M 8 L 0 l 0 Z W 1 Q Y X R o P j w v S X R l b U x v Y 2 F 0 a W 9 u P j x T d G F i b G V F b n R y a W V z P j x F b n R y e S B U e X B l P S J G a W x s Q 2 9 s d W 1 u T m F t Z X M i I F Z h b H V l P S J z W y Z x d W 9 0 O 0 N v b H V t b j E m c X V v d D s s J n F 1 b 3 Q 7 U m 5 k L i Z x d W 9 0 O y w m c X V v d D t Q a W N r I E 5 v L i Z x d W 9 0 O y w m c X V v d D t O R k w g d G V h b S Z x d W 9 0 O y w m c X V v d D t Q b G F 5 Z X I m c X V v d D s s J n F 1 b 3 Q 7 U G 9 z L i Z x d W 9 0 O y w m c X V v d D t D b 2 x s Z W d l J n F 1 b 3 Q 7 L C Z x d W 9 0 O 0 N v b m Y u J n F 1 b 3 Q 7 L C Z x d W 9 0 O 0 5 v d G V z J n F 1 b 3 Q 7 X S I g L z 4 8 R W 5 0 c n k g V H l w Z T 0 i Q n V m Z m V y T m V 4 d F J l Z n J l c 2 g i I F Z h b H V l P S J s M S I g L z 4 8 R W 5 0 c n k g V H l w Z T 0 i R m l s b E V u Y W J s Z W Q i I F Z h b H V l P S J s M C I g L z 4 8 R W 5 0 c n k g V H l w Z T 0 i R m l s b E N v b H V t b l R 5 c G V z I i B W Y W x 1 Z T 0 i c 0 J n W U d C Z 1 l H Q m d Z R y I g L z 4 8 R W 5 0 c n k g V H l w Z T 0 i R m l s b E x h c 3 R V c G R h d G V k I i B W Y W x 1 Z T 0 i Z D I w M j Q t M D g t M j N U M T k 6 M j I 6 N D E u N D Q 3 N T k 4 N V o i I C 8 + P E V u d H J 5 I F R 5 c G U 9 I k Z p b G x F c n J v c k N v d W 5 0 I i B W Y W x 1 Z T 0 i b D A i I C 8 + P E V u d H J 5 I F R 5 c G U 9 I k Z p b G x F c n J v c k N v Z G U i I F Z h b H V l P S J z V W 5 r b m 9 3 b i I g L z 4 8 R W 5 0 c n k g V H l w Z T 0 i R m l s b G V k Q 2 9 t c G x l d G V S Z X N 1 b H R U b 1 d v c m t z a G V l d C I g V m F s d W U 9 I m w x I i A v P j x F b n R y e S B U e X B l P S J G a W x s V G 9 E Y X R h T W 9 k Z W x F b m F i b G V k I i B W Y W x 1 Z T 0 i b D A i I C 8 + P E V u d H J 5 I F R 5 c G U 9 I k l z U H J p d m F 0 Z S I g V m F s d W U 9 I m w w I i A v P j x F b n R y e S B U e X B l P S J R d W V y e U l E I i B W Y W x 1 Z T 0 i c 2 U 1 N D M 3 Z T E 4 L T B k N 2 M t N D U z Y S 0 4 N G V j L T R m O D h h O T Y x Z j F k Z S I g L z 4 8 R W 5 0 c n k g V H l w Z T 0 i Q W R k Z W R U b 0 R h d G F N b 2 R l b C I g V m F s d W U 9 I m w w I i A v P j x F b n R y e S B U e X B l P S J S Z X N 1 b H R U e X B l I i B W Y W x 1 Z T 0 i c 1 R h Y m x l I i A v P j x F b n R y e S B U e X B l P S J G a W x s T 2 J q Z W N 0 V H l w Z S I g V m F s d W U 9 I n N D b 2 5 u Z W N 0 a W 9 u T 2 5 s e S I g L z 4 8 R W 5 0 c n k g V H l w Z T 0 i T m F t Z V V w Z G F 0 Z W R B Z n R l c k Z p b G w i I F Z h b H V l P S J s M C 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g M y 9 B d X R v U m V t b 3 Z l Z E N v b H V t b n M x L n t D b 2 x 1 b W 4 x L D B 9 J n F 1 b 3 Q 7 L C Z x d W 9 0 O 1 N l Y 3 R p b 2 4 x L 1 R h Y m x l I D M v Q X V 0 b 1 J l b W 9 2 Z W R D b 2 x 1 b W 5 z M S 5 7 U m 5 k L i w x f S Z x d W 9 0 O y w m c X V v d D t T Z W N 0 a W 9 u M S 9 U Y W J s Z S A z L 0 F 1 d G 9 S Z W 1 v d m V k Q 2 9 s d W 1 u c z E u e 1 B p Y 2 s g T m 8 u L D J 9 J n F 1 b 3 Q 7 L C Z x d W 9 0 O 1 N l Y 3 R p b 2 4 x L 1 R h Y m x l I D M v Q X V 0 b 1 J l b W 9 2 Z W R D b 2 x 1 b W 5 z M S 5 7 T k Z M I H R l Y W 0 s M 3 0 m c X V v d D s s J n F 1 b 3 Q 7 U 2 V j d G l v b j E v V G F i b G U g M y 9 B d X R v U m V t b 3 Z l Z E N v b H V t b n M x L n t Q b G F 5 Z X I s N H 0 m c X V v d D s s J n F 1 b 3 Q 7 U 2 V j d G l v b j E v V G F i b G U g M y 9 B d X R v U m V t b 3 Z l Z E N v b H V t b n M x L n t Q b 3 M u L D V 9 J n F 1 b 3 Q 7 L C Z x d W 9 0 O 1 N l Y 3 R p b 2 4 x L 1 R h Y m x l I D M v Q X V 0 b 1 J l b W 9 2 Z W R D b 2 x 1 b W 5 z M S 5 7 Q 2 9 s b G V n Z S w 2 f S Z x d W 9 0 O y w m c X V v d D t T Z W N 0 a W 9 u M S 9 U Y W J s Z S A z L 0 F 1 d G 9 S Z W 1 v d m V k Q 2 9 s d W 1 u c z E u e 0 N v b m Y u L D d 9 J n F 1 b 3 Q 7 L C Z x d W 9 0 O 1 N l Y 3 R p b 2 4 x L 1 R h Y m x l I D M v Q X V 0 b 1 J l b W 9 2 Z W R D b 2 x 1 b W 5 z M S 5 7 T m 9 0 Z X M s O H 0 m c X V v d D t d L C Z x d W 9 0 O 0 N v b H V t b k N v d W 5 0 J n F 1 b 3 Q 7 O j k s J n F 1 b 3 Q 7 S 2 V 5 Q 2 9 s d W 1 u T m F t Z X M m c X V v d D s 6 W 1 0 s J n F 1 b 3 Q 7 Q 2 9 s d W 1 u S W R l b n R p d G l l c y Z x d W 9 0 O z p b J n F 1 b 3 Q 7 U 2 V j d G l v b j E v V G F i b G U g M y 9 B d X R v U m V t b 3 Z l Z E N v b H V t b n M x L n t D b 2 x 1 b W 4 x L D B 9 J n F 1 b 3 Q 7 L C Z x d W 9 0 O 1 N l Y 3 R p b 2 4 x L 1 R h Y m x l I D M v Q X V 0 b 1 J l b W 9 2 Z W R D b 2 x 1 b W 5 z M S 5 7 U m 5 k L i w x f S Z x d W 9 0 O y w m c X V v d D t T Z W N 0 a W 9 u M S 9 U Y W J s Z S A z L 0 F 1 d G 9 S Z W 1 v d m V k Q 2 9 s d W 1 u c z E u e 1 B p Y 2 s g T m 8 u L D J 9 J n F 1 b 3 Q 7 L C Z x d W 9 0 O 1 N l Y 3 R p b 2 4 x L 1 R h Y m x l I D M v Q X V 0 b 1 J l b W 9 2 Z W R D b 2 x 1 b W 5 z M S 5 7 T k Z M I H R l Y W 0 s M 3 0 m c X V v d D s s J n F 1 b 3 Q 7 U 2 V j d G l v b j E v V G F i b G U g M y 9 B d X R v U m V t b 3 Z l Z E N v b H V t b n M x L n t Q b G F 5 Z X I s N H 0 m c X V v d D s s J n F 1 b 3 Q 7 U 2 V j d G l v b j E v V G F i b G U g M y 9 B d X R v U m V t b 3 Z l Z E N v b H V t b n M x L n t Q b 3 M u L D V 9 J n F 1 b 3 Q 7 L C Z x d W 9 0 O 1 N l Y 3 R p b 2 4 x L 1 R h Y m x l I D M v Q X V 0 b 1 J l b W 9 2 Z W R D b 2 x 1 b W 5 z M S 5 7 Q 2 9 s b G V n Z S w 2 f S Z x d W 9 0 O y w m c X V v d D t T Z W N 0 a W 9 u M S 9 U Y W J s Z S A z L 0 F 1 d G 9 S Z W 1 v d m V k Q 2 9 s d W 1 u c z E u e 0 N v b m Y u L D d 9 J n F 1 b 3 Q 7 L C Z x d W 9 0 O 1 N l Y 3 R p b 2 4 x L 1 R h Y m x l I D M v Q X V 0 b 1 J l b W 9 2 Z W R D b 2 x 1 b W 5 z M S 5 7 T m 9 0 Z X M s O H 0 m c X V v d D t d L C Z x d W 9 0 O 1 J l b G F 0 a W 9 u c 2 h p c E l u Z m 8 m c X V v d D s 6 W 1 1 9 I i A v P j w v U 3 R h Y m x l R W 5 0 c m l l c z 4 8 L 0 l 0 Z W 0 + P E l 0 Z W 0 + P E l 0 Z W 1 M b 2 N h d G l v b j 4 8 S X R l b V R 5 c G U + R m 9 y b X V s Y T w v S X R l b V R 5 c G U + P E l 0 Z W 1 Q Y X R o P l N l Y 3 R p b 2 4 x L 1 R h Y m x l J T I w M y 9 R d W V s b G U 8 L 0 l 0 Z W 1 Q Y X R o P j w v S X R l b U x v Y 2 F 0 a W 9 u P j x T d G F i b G V F b n R y a W V z I C 8 + P C 9 J d G V t P j x J d G V t P j x J d G V t T G 9 j Y X R p b 2 4 + P E l 0 Z W 1 U e X B l P k Z v c m 1 1 b G E 8 L 0 l 0 Z W 1 U e X B l P j x J d G V t U G F 0 a D 5 T Z W N 0 a W 9 u M S 9 U Y W J s Z S U y M D M v R G F 0 Y T M 8 L 0 l 0 Z W 1 Q Y X R o P j w v S X R l b U x v Y 2 F 0 a W 9 u P j x T d G F i b G V F b n R y a W V z I C 8 + P C 9 J d G V t P j x J d G V t P j x J d G V t T G 9 j Y X R p b 2 4 + P E l 0 Z W 1 U e X B l P k Z v c m 1 1 b G E 8 L 0 l 0 Z W 1 U e X B l P j x J d G V t U G F 0 a D 5 T Z W N 0 a W 9 u M S 9 U Y W J s Z S U y M D M v R 2 U l Q z M l Q T R u Z G V y d G V y J T I w V H l w P C 9 J d G V t U G F 0 a D 4 8 L 0 l 0 Z W 1 M b 2 N h d G l v b j 4 8 U 3 R h Y m x l R W 5 0 c m l l c y A v P j w v S X R l b T 4 8 S X R l b T 4 8 S X R l b U x v Y 2 F 0 a W 9 u P j x J d G V t V H l w Z T 5 B b G x G b 3 J t d W x h c z w v S X R l b V R 5 c G U + P E l 0 Z W 1 Q Y X R o I C 8 + P C 9 J d G V t T G 9 j Y X R p b 2 4 + P F N 0 Y W J s Z U V u d H J p Z X M g L z 4 8 L 0 l 0 Z W 0 + P C 9 J d G V t c z 4 8 L 0 x v Y 2 F s U G F j a 2 F n Z U 1 l d G F k Y X R h R m l s Z T 4 W A A A A U E s F B g A A A A A A A A A A A A A A A A A A A A A A A C Y B A A A B A A A A 0 I y d 3 w E V 0 R G M e g D A T 8 K X 6 w E A A A A G 1 s A K / e G c R r + f 2 4 r 1 p t w O A A A A A A I A A A A A A B B m A A A A A Q A A I A A A A I / y f L O e m Z R x X 5 t H b s a Z / Y G x q A Y q + u 2 K l G A S x K Q O F 9 r w A A A A A A 6 A A A A A A g A A I A A A A C C n q O C i y 1 m R L l v p m 1 c B h o 5 O U c 8 9 I 8 E c M a c a / z u H c n 1 V U A A A A O K P E c 2 8 b g q X L Y Z E r p z m 4 + A p Y u f N a 5 N g J y D n J l z T L 9 N v K W 6 M + + i c Z P 5 l i y m W Q t X g 7 2 P s 9 5 v Q b Y X O O i j H a U c + 6 b M b T z 6 / 4 N Y m 9 P 7 w c Z y S W s j e Q A A A A I 9 f + E r 7 P P J E T L T x 8 U 4 v z U D J U L C A k x E J S / C 3 U y K u 1 W K i D i p w h X y 3 l I d j V 9 0 5 y k o T t T + E X a R m W x z r w L O K p 5 i j J Q Q = < / D a t a M a s h u p > 
</file>

<file path=customXml/itemProps1.xml><?xml version="1.0" encoding="utf-8"?>
<ds:datastoreItem xmlns:ds="http://schemas.openxmlformats.org/officeDocument/2006/customXml" ds:itemID="{1B7FB4B0-F8F7-403B-A71C-D926AC1EE0C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Explanation</vt:lpstr>
      <vt:lpstr>Raw Data</vt:lpstr>
      <vt:lpstr>Working Sheet</vt:lpstr>
      <vt:lpstr>Pivot Table</vt:lpstr>
      <vt:lpstr>Demographics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Etzel</dc:creator>
  <cp:lastModifiedBy>Etzel, Dennis</cp:lastModifiedBy>
  <dcterms:created xsi:type="dcterms:W3CDTF">2022-08-17T07:16:53Z</dcterms:created>
  <dcterms:modified xsi:type="dcterms:W3CDTF">2024-08-27T18:09:04Z</dcterms:modified>
</cp:coreProperties>
</file>